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N:\공유\공유받은\_동일유리(주) CLOUD\2. 부서별폴더\A00. 생산.생산관리\A00. 오창공장\A11. 생산_재단\절단일보\"/>
    </mc:Choice>
  </mc:AlternateContent>
  <xr:revisionPtr revIDLastSave="0" documentId="13_ncr:1_{4B7C4777-BE25-49AA-ADF7-D283BF9139C5}" xr6:coauthVersionLast="36" xr6:coauthVersionMax="36" xr10:uidLastSave="{00000000-0000-0000-0000-000000000000}"/>
  <bookViews>
    <workbookView xWindow="150" yWindow="-120" windowWidth="29040" windowHeight="15840" tabRatio="736" xr2:uid="{00000000-000D-0000-FFFF-FFFF00000000}"/>
  </bookViews>
  <sheets>
    <sheet name="8월25일" sheetId="188" r:id="rId1"/>
    <sheet name="8월24일" sheetId="187" r:id="rId2"/>
    <sheet name="8월22일" sheetId="186" r:id="rId3"/>
    <sheet name="8월21일" sheetId="185" r:id="rId4"/>
    <sheet name="8월20일" sheetId="184" r:id="rId5"/>
    <sheet name="8월19일" sheetId="183" r:id="rId6"/>
    <sheet name="8월18일" sheetId="182" r:id="rId7"/>
    <sheet name="8월14일" sheetId="181" r:id="rId8"/>
    <sheet name="8월13일" sheetId="180" r:id="rId9"/>
    <sheet name="8월12일" sheetId="179" r:id="rId10"/>
    <sheet name="8월11일" sheetId="178" r:id="rId11"/>
    <sheet name="8월10일" sheetId="177" r:id="rId12"/>
    <sheet name="8월8일" sheetId="176" r:id="rId13"/>
    <sheet name="8월7일" sheetId="175" r:id="rId14"/>
    <sheet name="8월6일" sheetId="174" r:id="rId15"/>
    <sheet name="8월5일" sheetId="173" r:id="rId16"/>
    <sheet name="8월4일" sheetId="172" r:id="rId17"/>
    <sheet name="8월3일" sheetId="171" r:id="rId18"/>
    <sheet name="8월1일" sheetId="170" r:id="rId19"/>
    <sheet name="7월31일" sheetId="169" r:id="rId20"/>
    <sheet name="7월30일" sheetId="168" r:id="rId21"/>
    <sheet name="7월29일" sheetId="167" r:id="rId22"/>
    <sheet name="7월28일" sheetId="166" r:id="rId23"/>
    <sheet name="7월27일" sheetId="165" r:id="rId24"/>
    <sheet name="7월25일" sheetId="164" r:id="rId25"/>
    <sheet name="7월24일" sheetId="163" r:id="rId26"/>
    <sheet name="7월23일" sheetId="162" r:id="rId27"/>
    <sheet name="7월22일" sheetId="161" r:id="rId28"/>
    <sheet name="7월21일" sheetId="160" r:id="rId29"/>
    <sheet name="7월20일" sheetId="159" r:id="rId30"/>
    <sheet name="7월18일" sheetId="158" r:id="rId31"/>
    <sheet name="7월17일" sheetId="157" r:id="rId32"/>
    <sheet name="7월16일" sheetId="156" r:id="rId33"/>
    <sheet name="7월15일" sheetId="155" r:id="rId34"/>
    <sheet name="7월14일" sheetId="154" r:id="rId35"/>
    <sheet name="7월13일" sheetId="153" r:id="rId36"/>
    <sheet name="7월11일" sheetId="152" r:id="rId37"/>
    <sheet name="7월10일" sheetId="151" r:id="rId38"/>
    <sheet name="7월09일" sheetId="150" r:id="rId39"/>
    <sheet name="7월08일" sheetId="149" r:id="rId40"/>
    <sheet name="7월07일" sheetId="148" r:id="rId41"/>
    <sheet name="7월06일" sheetId="147" r:id="rId42"/>
    <sheet name="7월04일" sheetId="146" r:id="rId43"/>
    <sheet name="7월03일" sheetId="145" r:id="rId44"/>
    <sheet name="7월02일" sheetId="144" r:id="rId45"/>
    <sheet name="7월01일" sheetId="143" r:id="rId46"/>
    <sheet name="6월30일" sheetId="142" r:id="rId47"/>
    <sheet name="6월29일" sheetId="141" r:id="rId48"/>
    <sheet name="6월27일" sheetId="140" r:id="rId49"/>
    <sheet name="6월26일" sheetId="139" r:id="rId50"/>
    <sheet name="6월25일" sheetId="138" r:id="rId51"/>
    <sheet name="6월24일" sheetId="137" r:id="rId52"/>
    <sheet name="6월23일" sheetId="136" r:id="rId53"/>
    <sheet name="6월22일" sheetId="135" r:id="rId54"/>
    <sheet name="6월20일" sheetId="134" r:id="rId55"/>
    <sheet name="6월19일" sheetId="133" r:id="rId56"/>
    <sheet name="6월18일" sheetId="132" r:id="rId57"/>
    <sheet name="6월17일" sheetId="131" r:id="rId58"/>
    <sheet name="6월16일" sheetId="130" r:id="rId59"/>
    <sheet name="6월15일" sheetId="129" r:id="rId60"/>
    <sheet name="6월13일" sheetId="128" r:id="rId61"/>
    <sheet name="6월12일" sheetId="127" r:id="rId62"/>
    <sheet name="6월11일" sheetId="126" r:id="rId63"/>
    <sheet name="6월10일" sheetId="125" r:id="rId64"/>
    <sheet name="6월09일" sheetId="124" r:id="rId65"/>
    <sheet name="6월08일" sheetId="123" r:id="rId66"/>
    <sheet name="6월06일" sheetId="122" r:id="rId67"/>
    <sheet name="6월05일" sheetId="121" r:id="rId68"/>
    <sheet name="6월04일" sheetId="120" r:id="rId69"/>
    <sheet name="6월03일" sheetId="119" r:id="rId70"/>
    <sheet name="6월02일" sheetId="118" r:id="rId71"/>
    <sheet name="6월01일" sheetId="117" r:id="rId72"/>
    <sheet name="5월30일" sheetId="116" r:id="rId73"/>
    <sheet name="5월29일" sheetId="115" r:id="rId74"/>
    <sheet name="5월28일" sheetId="114" r:id="rId75"/>
    <sheet name="5월27일" sheetId="113" r:id="rId76"/>
    <sheet name="5월26일" sheetId="112" r:id="rId77"/>
    <sheet name="5월25일" sheetId="111" r:id="rId78"/>
    <sheet name="5월23일" sheetId="110" r:id="rId79"/>
    <sheet name="5월22일" sheetId="109" r:id="rId80"/>
    <sheet name="5월21일" sheetId="108" r:id="rId81"/>
    <sheet name="5월20일" sheetId="107" r:id="rId82"/>
    <sheet name="5월19일" sheetId="106" r:id="rId83"/>
    <sheet name="5월18일" sheetId="105" r:id="rId84"/>
    <sheet name="5월16일" sheetId="104" r:id="rId85"/>
    <sheet name="5월15일" sheetId="103" r:id="rId86"/>
    <sheet name="5월14일" sheetId="102" r:id="rId87"/>
    <sheet name="5월13일" sheetId="101" r:id="rId88"/>
    <sheet name="5월12일" sheetId="100" r:id="rId89"/>
    <sheet name="5월11일" sheetId="99" r:id="rId90"/>
    <sheet name="5월10일" sheetId="98" r:id="rId91"/>
    <sheet name="5월9일" sheetId="97" r:id="rId92"/>
    <sheet name="5월8일" sheetId="96" r:id="rId93"/>
    <sheet name="5월7일" sheetId="95" r:id="rId94"/>
    <sheet name="5월6일" sheetId="94" r:id="rId95"/>
    <sheet name="5월5일" sheetId="93" r:id="rId96"/>
    <sheet name="5월4일" sheetId="92" r:id="rId97"/>
    <sheet name="4월30일" sheetId="91" r:id="rId98"/>
    <sheet name="4월29일" sheetId="90" r:id="rId99"/>
    <sheet name="4월28일" sheetId="89" r:id="rId100"/>
    <sheet name="4월27일" sheetId="88" r:id="rId101"/>
    <sheet name="4월25일" sheetId="87" r:id="rId102"/>
    <sheet name="4월24일" sheetId="86" r:id="rId103"/>
    <sheet name="4월23일" sheetId="85" r:id="rId104"/>
    <sheet name="4월22일" sheetId="84" r:id="rId105"/>
    <sheet name="4월21일" sheetId="83" r:id="rId106"/>
    <sheet name="4월20일" sheetId="82" r:id="rId107"/>
    <sheet name="4월18일" sheetId="81" r:id="rId108"/>
    <sheet name="4월17일" sheetId="80" r:id="rId109"/>
    <sheet name="4월16일" sheetId="79" r:id="rId110"/>
    <sheet name="4월15일" sheetId="78" r:id="rId111"/>
    <sheet name="4월14일" sheetId="77" r:id="rId112"/>
    <sheet name="4월13일" sheetId="76" r:id="rId113"/>
    <sheet name="4월11일" sheetId="75" r:id="rId114"/>
    <sheet name="4월10일 " sheetId="74" r:id="rId115"/>
    <sheet name="4월09일" sheetId="73" r:id="rId116"/>
    <sheet name="4월08일" sheetId="72" r:id="rId117"/>
    <sheet name="4월07일" sheetId="71" r:id="rId118"/>
    <sheet name="4월06일" sheetId="70" r:id="rId119"/>
    <sheet name="4월03일" sheetId="69" r:id="rId120"/>
    <sheet name="4월02일" sheetId="68" r:id="rId121"/>
    <sheet name="4월01일" sheetId="67" r:id="rId122"/>
    <sheet name="3월31일" sheetId="66" r:id="rId123"/>
    <sheet name="3월30일" sheetId="65" r:id="rId124"/>
    <sheet name="3월27일" sheetId="64" r:id="rId125"/>
    <sheet name="3월26일" sheetId="63" r:id="rId126"/>
    <sheet name="3월25일" sheetId="62" r:id="rId127"/>
    <sheet name="3월24일" sheetId="61" r:id="rId128"/>
    <sheet name="3월23일" sheetId="60" r:id="rId129"/>
    <sheet name="3월20일" sheetId="59" r:id="rId130"/>
    <sheet name="3월19일" sheetId="58" r:id="rId131"/>
    <sheet name="3월18일" sheetId="57" r:id="rId132"/>
    <sheet name="3월17일" sheetId="56" r:id="rId133"/>
    <sheet name="3월16일" sheetId="55" r:id="rId134"/>
    <sheet name="3월13일" sheetId="54" r:id="rId135"/>
    <sheet name="3월12일" sheetId="53" r:id="rId136"/>
    <sheet name="3월11일" sheetId="52" r:id="rId137"/>
    <sheet name="3월10일" sheetId="51" r:id="rId138"/>
    <sheet name="3월09일" sheetId="50" r:id="rId139"/>
    <sheet name="3월06일" sheetId="49" r:id="rId140"/>
    <sheet name="3월05일" sheetId="48" r:id="rId141"/>
    <sheet name="3월04일" sheetId="47" r:id="rId142"/>
    <sheet name="3월03일" sheetId="46" r:id="rId143"/>
    <sheet name="2월27일" sheetId="45" r:id="rId144"/>
    <sheet name="2월26일" sheetId="44" r:id="rId145"/>
    <sheet name="2월25일" sheetId="43" r:id="rId146"/>
    <sheet name="2월24일" sheetId="42" r:id="rId147"/>
    <sheet name="2월23일" sheetId="41" r:id="rId148"/>
    <sheet name="2월21일" sheetId="40" r:id="rId149"/>
    <sheet name="2월20일" sheetId="39" r:id="rId150"/>
    <sheet name="2월19일" sheetId="38" r:id="rId151"/>
    <sheet name="2월13일" sheetId="37" r:id="rId152"/>
    <sheet name="2월12일" sheetId="36" r:id="rId153"/>
    <sheet name="2월11일" sheetId="35" r:id="rId154"/>
    <sheet name="2월10일" sheetId="34" r:id="rId155"/>
    <sheet name="2월09일" sheetId="33" r:id="rId156"/>
    <sheet name="2월07일" sheetId="32" r:id="rId157"/>
    <sheet name="2월06일" sheetId="31" r:id="rId158"/>
    <sheet name="2월05일" sheetId="30" r:id="rId159"/>
    <sheet name="2월04일" sheetId="29" r:id="rId160"/>
    <sheet name="2월03일" sheetId="28" r:id="rId161"/>
    <sheet name="2월02일" sheetId="27" r:id="rId162"/>
    <sheet name="1월31일" sheetId="26" r:id="rId163"/>
    <sheet name="1월30일" sheetId="25" r:id="rId164"/>
    <sheet name="1월29일" sheetId="24" r:id="rId165"/>
    <sheet name="1월28일" sheetId="23" r:id="rId166"/>
    <sheet name="1월27일" sheetId="22" r:id="rId167"/>
    <sheet name="1월26일" sheetId="21" r:id="rId168"/>
    <sheet name="1월24일" sheetId="20" r:id="rId169"/>
    <sheet name="1월23일" sheetId="19" r:id="rId170"/>
    <sheet name="1월22일" sheetId="18" r:id="rId171"/>
    <sheet name="1월21일" sheetId="17" r:id="rId172"/>
    <sheet name="1월20일" sheetId="16" r:id="rId173"/>
    <sheet name="1월19일" sheetId="15" r:id="rId174"/>
    <sheet name="1월17일" sheetId="14" r:id="rId175"/>
    <sheet name="1월16일" sheetId="13" r:id="rId176"/>
    <sheet name="1월15일" sheetId="12" r:id="rId177"/>
    <sheet name="1월14일" sheetId="11" r:id="rId178"/>
    <sheet name="1월13일" sheetId="10" r:id="rId179"/>
    <sheet name="1월12일" sheetId="9" r:id="rId180"/>
    <sheet name="1월10일" sheetId="8" r:id="rId181"/>
    <sheet name="1월9일" sheetId="7" r:id="rId182"/>
    <sheet name="1월8일" sheetId="6" r:id="rId183"/>
    <sheet name="1월7일" sheetId="5" r:id="rId184"/>
    <sheet name="1월6일" sheetId="4" r:id="rId185"/>
    <sheet name="1월5일" sheetId="3" r:id="rId186"/>
    <sheet name="1월3일" sheetId="2" r:id="rId187"/>
    <sheet name="26년1월2일" sheetId="1" r:id="rId188"/>
  </sheets>
  <definedNames>
    <definedName name="_xlnm._FilterDatabase" localSheetId="180" hidden="1">'1월10일'!$6:$70</definedName>
    <definedName name="_xlnm._FilterDatabase" localSheetId="179" hidden="1">'1월12일'!$6:$90</definedName>
    <definedName name="_xlnm._FilterDatabase" localSheetId="178" hidden="1">'1월13일'!$6:$78</definedName>
    <definedName name="_xlnm._FilterDatabase" localSheetId="177" hidden="1">'1월14일'!$6:$55</definedName>
    <definedName name="_xlnm._FilterDatabase" localSheetId="176" hidden="1">'1월15일'!$6:$70</definedName>
    <definedName name="_xlnm._FilterDatabase" localSheetId="175" hidden="1">'1월16일'!$6:$55</definedName>
    <definedName name="_xlnm._FilterDatabase" localSheetId="174" hidden="1">'1월17일'!$6:$59</definedName>
    <definedName name="_xlnm._FilterDatabase" localSheetId="173" hidden="1">'1월19일'!$6:$57</definedName>
    <definedName name="_xlnm._FilterDatabase" localSheetId="172" hidden="1">'1월20일'!$6:$62</definedName>
    <definedName name="_xlnm._FilterDatabase" localSheetId="171" hidden="1">'1월21일'!$6:$72</definedName>
    <definedName name="_xlnm._FilterDatabase" localSheetId="170" hidden="1">'1월22일'!$6:$92</definedName>
    <definedName name="_xlnm._FilterDatabase" localSheetId="169" hidden="1">'1월23일'!$6:$48</definedName>
    <definedName name="_xlnm._FilterDatabase" localSheetId="168" hidden="1">'1월24일'!$6:$60</definedName>
    <definedName name="_xlnm._FilterDatabase" localSheetId="167" hidden="1">'1월26일'!$6:$82</definedName>
    <definedName name="_xlnm._FilterDatabase" localSheetId="166" hidden="1">'1월27일'!$6:$83</definedName>
    <definedName name="_xlnm._FilterDatabase" localSheetId="165" hidden="1">'1월28일'!$6:$83</definedName>
    <definedName name="_xlnm._FilterDatabase" localSheetId="164" hidden="1">'1월29일'!$6:$52</definedName>
    <definedName name="_xlnm._FilterDatabase" localSheetId="163" hidden="1">'1월30일'!$6:$77</definedName>
    <definedName name="_xlnm._FilterDatabase" localSheetId="162" hidden="1">'1월31일'!$6:$53</definedName>
    <definedName name="_xlnm._FilterDatabase" localSheetId="186" hidden="1">'1월3일'!$6:$49</definedName>
    <definedName name="_xlnm._FilterDatabase" localSheetId="185" hidden="1">'1월5일'!$6:$57</definedName>
    <definedName name="_xlnm._FilterDatabase" localSheetId="184" hidden="1">'1월6일'!$6:$69</definedName>
    <definedName name="_xlnm._FilterDatabase" localSheetId="183" hidden="1">'1월7일'!$6:$72</definedName>
    <definedName name="_xlnm._FilterDatabase" localSheetId="182" hidden="1">'1월8일'!$6:$78</definedName>
    <definedName name="_xlnm._FilterDatabase" localSheetId="181" hidden="1">'1월9일'!$6:$78</definedName>
    <definedName name="_xlnm._FilterDatabase" localSheetId="187" hidden="1">'26년1월2일'!$6:$69</definedName>
    <definedName name="_xlnm._FilterDatabase" localSheetId="161" hidden="1">'2월02일'!$6:$57</definedName>
    <definedName name="_xlnm._FilterDatabase" localSheetId="160" hidden="1">'2월03일'!$6:$73</definedName>
    <definedName name="_xlnm._FilterDatabase" localSheetId="159" hidden="1">'2월04일'!$6:$77</definedName>
    <definedName name="_xlnm._FilterDatabase" localSheetId="158" hidden="1">'2월05일'!$6:$62</definedName>
    <definedName name="_xlnm._FilterDatabase" localSheetId="157" hidden="1">'2월06일'!$6:$80</definedName>
    <definedName name="_xlnm._FilterDatabase" localSheetId="156" hidden="1">'2월07일'!$6:$62</definedName>
    <definedName name="_xlnm._FilterDatabase" localSheetId="155" hidden="1">'2월09일'!$6:$62</definedName>
    <definedName name="_xlnm._FilterDatabase" localSheetId="154" hidden="1">'2월10일'!$6:$62</definedName>
    <definedName name="_xlnm._FilterDatabase" localSheetId="153" hidden="1">'2월11일'!$6:$72</definedName>
    <definedName name="_xlnm._FilterDatabase" localSheetId="152" hidden="1">'2월12일'!$6:$49</definedName>
    <definedName name="_xlnm._FilterDatabase" localSheetId="151" hidden="1">'2월13일'!$6:$49</definedName>
    <definedName name="_xlnm._FilterDatabase" localSheetId="150" hidden="1">'2월19일'!$6:$69</definedName>
    <definedName name="_xlnm._FilterDatabase" localSheetId="149" hidden="1">'2월20일'!$6:$69</definedName>
    <definedName name="_xlnm._FilterDatabase" localSheetId="148" hidden="1">'2월21일'!$6:$73</definedName>
    <definedName name="_xlnm._FilterDatabase" localSheetId="147" hidden="1">'2월23일'!$6:$65</definedName>
    <definedName name="_xlnm._FilterDatabase" localSheetId="146" hidden="1">'2월24일'!$6:$65</definedName>
    <definedName name="_xlnm._FilterDatabase" localSheetId="145" hidden="1">'2월25일'!$6:$60</definedName>
    <definedName name="_xlnm._FilterDatabase" localSheetId="144" hidden="1">'2월26일'!$6:$60</definedName>
    <definedName name="_xlnm._FilterDatabase" localSheetId="143" hidden="1">'2월27일'!$6:$60</definedName>
    <definedName name="_xlnm._FilterDatabase" localSheetId="142" hidden="1">'3월03일'!$6:$54</definedName>
    <definedName name="_xlnm._FilterDatabase" localSheetId="141" hidden="1">'3월04일'!$6:$54</definedName>
    <definedName name="_xlnm._FilterDatabase" localSheetId="140" hidden="1">'3월05일'!$6:$59</definedName>
    <definedName name="_xlnm._FilterDatabase" localSheetId="139" hidden="1">'3월06일'!$6:$56</definedName>
    <definedName name="_xlnm._FilterDatabase" localSheetId="138" hidden="1">'3월09일'!$6:$50</definedName>
    <definedName name="_xlnm._FilterDatabase" localSheetId="137" hidden="1">'3월10일'!$6:$50</definedName>
    <definedName name="_xlnm._FilterDatabase" localSheetId="136" hidden="1">'3월11일'!$6:$50</definedName>
    <definedName name="_xlnm._FilterDatabase" localSheetId="135" hidden="1">'3월12일'!$6:$56</definedName>
    <definedName name="_xlnm._FilterDatabase" localSheetId="134" hidden="1">'3월13일'!$6:$48</definedName>
    <definedName name="_xlnm._FilterDatabase" localSheetId="133" hidden="1">'3월16일'!$6:$52</definedName>
    <definedName name="_xlnm._FilterDatabase" localSheetId="132" hidden="1">'3월17일'!$6:$57</definedName>
    <definedName name="_xlnm._FilterDatabase" localSheetId="131" hidden="1">'3월18일'!$6:$45</definedName>
    <definedName name="_xlnm._FilterDatabase" localSheetId="130" hidden="1">'3월19일'!$6:$57</definedName>
    <definedName name="_xlnm._FilterDatabase" localSheetId="129" hidden="1">'3월20일'!$6:$57</definedName>
    <definedName name="_xlnm._FilterDatabase" localSheetId="128" hidden="1">'3월23일'!$6:$57</definedName>
    <definedName name="_xlnm._FilterDatabase" localSheetId="127" hidden="1">'3월24일'!$6:$50</definedName>
    <definedName name="_xlnm._FilterDatabase" localSheetId="126" hidden="1">'3월25일'!$6:$41</definedName>
    <definedName name="_xlnm._FilterDatabase" localSheetId="125" hidden="1">'3월26일'!$6:$45</definedName>
    <definedName name="_xlnm._FilterDatabase" localSheetId="124" hidden="1">'3월27일'!$6:$39</definedName>
    <definedName name="_xlnm._FilterDatabase" localSheetId="123" hidden="1">'3월30일'!$6:$39</definedName>
    <definedName name="_xlnm._FilterDatabase" localSheetId="122" hidden="1">'3월31일'!$6:$39</definedName>
    <definedName name="_xlnm._FilterDatabase" localSheetId="121" hidden="1">'4월01일'!$6:$39</definedName>
    <definedName name="_xlnm._FilterDatabase" localSheetId="120" hidden="1">'4월02일'!$6:$39</definedName>
    <definedName name="_xlnm._FilterDatabase" localSheetId="119" hidden="1">'4월03일'!$6:$48</definedName>
    <definedName name="_xlnm._FilterDatabase" localSheetId="118" hidden="1">'4월06일'!$6:$49</definedName>
    <definedName name="_xlnm._FilterDatabase" localSheetId="117" hidden="1">'4월07일'!$6:$49</definedName>
    <definedName name="_xlnm._FilterDatabase" localSheetId="116" hidden="1">'4월08일'!$6:$42</definedName>
    <definedName name="_xlnm._FilterDatabase" localSheetId="115" hidden="1">'4월09일'!$6:$60</definedName>
    <definedName name="_xlnm._FilterDatabase" localSheetId="114" hidden="1">'4월10일 '!$6:$60</definedName>
    <definedName name="_xlnm._FilterDatabase" localSheetId="113" hidden="1">'4월11일'!$6:$48</definedName>
    <definedName name="_xlnm._FilterDatabase" localSheetId="112" hidden="1">'4월13일'!$6:$68</definedName>
    <definedName name="_xlnm._FilterDatabase" localSheetId="111" hidden="1">'4월14일'!$6:$43</definedName>
    <definedName name="_xlnm._FilterDatabase" localSheetId="110" hidden="1">'4월15일'!$6:$62</definedName>
    <definedName name="_xlnm._FilterDatabase" localSheetId="109" hidden="1">'4월16일'!$6:$73</definedName>
    <definedName name="_xlnm._FilterDatabase" localSheetId="108" hidden="1">'4월17일'!$6:$86</definedName>
    <definedName name="_xlnm._FilterDatabase" localSheetId="107" hidden="1">'4월18일'!$6:$64</definedName>
    <definedName name="_xlnm._FilterDatabase" localSheetId="106" hidden="1">'4월20일'!$6:$67</definedName>
    <definedName name="_xlnm._FilterDatabase" localSheetId="105" hidden="1">'4월21일'!$6:$77</definedName>
    <definedName name="_xlnm._FilterDatabase" localSheetId="104" hidden="1">'4월22일'!$6:$77</definedName>
    <definedName name="_xlnm._FilterDatabase" localSheetId="103" hidden="1">'4월23일'!$6:$71</definedName>
    <definedName name="_xlnm._FilterDatabase" localSheetId="102" hidden="1">'4월24일'!$6:$62</definedName>
    <definedName name="_xlnm._FilterDatabase" localSheetId="101" hidden="1">'4월25일'!$6:$51</definedName>
    <definedName name="_xlnm._FilterDatabase" localSheetId="100" hidden="1">'4월27일'!$6:$60</definedName>
    <definedName name="_xlnm._FilterDatabase" localSheetId="99" hidden="1">'4월28일'!$6:$65</definedName>
    <definedName name="_xlnm._FilterDatabase" localSheetId="98" hidden="1">'4월29일'!$6:$52</definedName>
    <definedName name="_xlnm._FilterDatabase" localSheetId="97" hidden="1">'4월30일'!$6:$71</definedName>
    <definedName name="_xlnm._FilterDatabase" localSheetId="90" hidden="1">'5월10일'!$6:$49</definedName>
    <definedName name="_xlnm._FilterDatabase" localSheetId="89" hidden="1">'5월11일'!$6:$85</definedName>
    <definedName name="_xlnm._FilterDatabase" localSheetId="88" hidden="1">'5월12일'!$6:$58</definedName>
    <definedName name="_xlnm._FilterDatabase" localSheetId="87" hidden="1">'5월13일'!$6:$58</definedName>
    <definedName name="_xlnm._FilterDatabase" localSheetId="86" hidden="1">'5월14일'!$6:$59</definedName>
    <definedName name="_xlnm._FilterDatabase" localSheetId="85" hidden="1">'5월15일'!$6:$76</definedName>
    <definedName name="_xlnm._FilterDatabase" localSheetId="84" hidden="1">'5월16일'!$6:$75</definedName>
    <definedName name="_xlnm._FilterDatabase" localSheetId="83" hidden="1">'5월18일'!$6:$58</definedName>
    <definedName name="_xlnm._FilterDatabase" localSheetId="82" hidden="1">'5월19일'!$6:$70</definedName>
    <definedName name="_xlnm._FilterDatabase" localSheetId="81" hidden="1">'5월20일'!$6:$66</definedName>
    <definedName name="_xlnm._FilterDatabase" localSheetId="80" hidden="1">'5월21일'!$6:$73</definedName>
    <definedName name="_xlnm._FilterDatabase" localSheetId="79" hidden="1">'5월22일'!$6:$56</definedName>
    <definedName name="_xlnm._FilterDatabase" localSheetId="78" hidden="1">'5월23일'!$6:$40</definedName>
    <definedName name="_xlnm._FilterDatabase" localSheetId="77" hidden="1">'5월25일'!$6:$51</definedName>
    <definedName name="_xlnm._FilterDatabase" localSheetId="76" hidden="1">'5월26일'!$6:$79</definedName>
    <definedName name="_xlnm._FilterDatabase" localSheetId="75" hidden="1">'5월27일'!$6:$98</definedName>
    <definedName name="_xlnm._FilterDatabase" localSheetId="74" hidden="1">'5월28일'!$6:$80</definedName>
    <definedName name="_xlnm._FilterDatabase" localSheetId="73" hidden="1">'5월29일'!$6:$72</definedName>
    <definedName name="_xlnm._FilterDatabase" localSheetId="72" hidden="1">'5월30일'!$6:$54</definedName>
    <definedName name="_xlnm._FilterDatabase" localSheetId="96" hidden="1">'5월4일'!$6:$74</definedName>
    <definedName name="_xlnm._FilterDatabase" localSheetId="95" hidden="1">'5월5일'!$6:$44</definedName>
    <definedName name="_xlnm._FilterDatabase" localSheetId="94" hidden="1">'5월6일'!$6:$67</definedName>
    <definedName name="_xlnm._FilterDatabase" localSheetId="93" hidden="1">'5월7일'!$6:$72</definedName>
    <definedName name="_xlnm._FilterDatabase" localSheetId="92" hidden="1">'5월8일'!$6:$56</definedName>
    <definedName name="_xlnm._FilterDatabase" localSheetId="91" hidden="1">'5월9일'!$6:$49</definedName>
    <definedName name="_xlnm._FilterDatabase" localSheetId="71" hidden="1">'6월01일'!$6:$65</definedName>
    <definedName name="_xlnm._FilterDatabase" localSheetId="70" hidden="1">'6월02일'!$6:$62</definedName>
    <definedName name="_xlnm._FilterDatabase" localSheetId="69" hidden="1">'6월03일'!$6:$60</definedName>
    <definedName name="_xlnm._FilterDatabase" localSheetId="68" hidden="1">'6월04일'!$6:$82</definedName>
    <definedName name="_xlnm._FilterDatabase" localSheetId="67" hidden="1">'6월05일'!$6:$74</definedName>
    <definedName name="_xlnm._FilterDatabase" localSheetId="66" hidden="1">'6월06일'!$6:$66</definedName>
    <definedName name="_xlnm._FilterDatabase" localSheetId="65" hidden="1">'6월08일'!$6:$60</definedName>
    <definedName name="_xlnm._FilterDatabase" localSheetId="64" hidden="1">'6월09일'!$6:$61</definedName>
    <definedName name="_xlnm._FilterDatabase" localSheetId="63" hidden="1">'6월10일'!$6:$64</definedName>
    <definedName name="_xlnm._FilterDatabase" localSheetId="62" hidden="1">'6월11일'!$6:$81</definedName>
    <definedName name="_xlnm._FilterDatabase" localSheetId="61" hidden="1">'6월12일'!$6:$81</definedName>
    <definedName name="_xlnm._FilterDatabase" localSheetId="60" hidden="1">'6월13일'!$6:$55</definedName>
    <definedName name="_xlnm._FilterDatabase" localSheetId="59" hidden="1">'6월15일'!$6:$63</definedName>
    <definedName name="_xlnm._FilterDatabase" localSheetId="58" hidden="1">'6월16일'!$6:$63</definedName>
    <definedName name="_xlnm._FilterDatabase" localSheetId="57" hidden="1">'6월17일'!$6:$63</definedName>
    <definedName name="_xlnm._FilterDatabase" localSheetId="56" hidden="1">'6월18일'!$6:$69</definedName>
    <definedName name="_xlnm._FilterDatabase" localSheetId="55" hidden="1">'6월19일'!$6:$68</definedName>
    <definedName name="_xlnm._FilterDatabase" localSheetId="54" hidden="1">'6월20일'!$6:$74</definedName>
    <definedName name="_xlnm._FilterDatabase" localSheetId="53" hidden="1">'6월22일'!$6:$62</definedName>
    <definedName name="_xlnm._FilterDatabase" localSheetId="52" hidden="1">'6월23일'!$6:$75</definedName>
    <definedName name="_xlnm._FilterDatabase" localSheetId="51" hidden="1">'6월24일'!$6:$63</definedName>
    <definedName name="_xlnm._FilterDatabase" localSheetId="50" hidden="1">'6월25일'!$6:$45</definedName>
    <definedName name="_xlnm._FilterDatabase" localSheetId="49" hidden="1">'6월26일'!$6:$88</definedName>
    <definedName name="_xlnm._FilterDatabase" localSheetId="48" hidden="1">'6월27일'!$6:$46</definedName>
    <definedName name="_xlnm._FilterDatabase" localSheetId="47" hidden="1">'6월29일'!$6:$80</definedName>
    <definedName name="_xlnm._FilterDatabase" localSheetId="46" hidden="1">'6월30일'!$6:$61</definedName>
    <definedName name="_xlnm._FilterDatabase" localSheetId="45" hidden="1">'7월01일'!$6:$96</definedName>
    <definedName name="_xlnm._FilterDatabase" localSheetId="44" hidden="1">'7월02일'!$6:$97</definedName>
    <definedName name="_xlnm._FilterDatabase" localSheetId="43" hidden="1">'7월03일'!$6:$102</definedName>
    <definedName name="_xlnm._FilterDatabase" localSheetId="42" hidden="1">'7월04일'!$6:$63</definedName>
    <definedName name="_xlnm._FilterDatabase" localSheetId="41" hidden="1">'7월06일'!$6:$107</definedName>
    <definedName name="_xlnm._FilterDatabase" localSheetId="40" hidden="1">'7월07일'!$6:$68</definedName>
    <definedName name="_xlnm._FilterDatabase" localSheetId="39" hidden="1">'7월08일'!$6:$74</definedName>
    <definedName name="_xlnm._FilterDatabase" localSheetId="38" hidden="1">'7월09일'!$6:$66</definedName>
    <definedName name="_xlnm._FilterDatabase" localSheetId="37" hidden="1">'7월10일'!$6:$65</definedName>
    <definedName name="_xlnm._FilterDatabase" localSheetId="36" hidden="1">'7월11일'!$6:$49</definedName>
    <definedName name="_xlnm._FilterDatabase" localSheetId="35" hidden="1">'7월13일'!$6:$51</definedName>
    <definedName name="_xlnm._FilterDatabase" localSheetId="34" hidden="1">'7월14일'!$6:$53</definedName>
    <definedName name="_xlnm._FilterDatabase" localSheetId="33" hidden="1">'7월15일'!$6:$63</definedName>
    <definedName name="_xlnm._FilterDatabase" localSheetId="32" hidden="1">'7월16일'!$6:$72</definedName>
    <definedName name="_xlnm._FilterDatabase" localSheetId="31" hidden="1">'7월17일'!$6:$68</definedName>
    <definedName name="_xlnm._FilterDatabase" localSheetId="30" hidden="1">'7월18일'!$6:$65</definedName>
    <definedName name="_xlnm._FilterDatabase" localSheetId="29" hidden="1">'7월20일'!$6:$71</definedName>
    <definedName name="_xlnm._FilterDatabase" localSheetId="28" hidden="1">'7월21일'!$6:$50</definedName>
    <definedName name="_xlnm._FilterDatabase" localSheetId="27" hidden="1">'7월22일'!$6:$62</definedName>
    <definedName name="_xlnm._FilterDatabase" localSheetId="26" hidden="1">'7월23일'!$6:$66</definedName>
    <definedName name="_xlnm._FilterDatabase" localSheetId="25" hidden="1">'7월24일'!$6:$48</definedName>
    <definedName name="_xlnm._FilterDatabase" localSheetId="24" hidden="1">'7월25일'!$6:$38</definedName>
    <definedName name="_xlnm._FilterDatabase" localSheetId="23" hidden="1">'7월27일'!$6:$44</definedName>
    <definedName name="_xlnm._FilterDatabase" localSheetId="22" hidden="1">'7월28일'!$6:$52</definedName>
    <definedName name="_xlnm._FilterDatabase" localSheetId="21" hidden="1">'7월29일'!$6:$55</definedName>
    <definedName name="_xlnm._FilterDatabase" localSheetId="20" hidden="1">'7월30일'!$6:$55</definedName>
    <definedName name="_xlnm._FilterDatabase" localSheetId="19" hidden="1">'7월31일'!$6:$55</definedName>
    <definedName name="_xlnm._FilterDatabase" localSheetId="11" hidden="1">'8월10일'!$6:$81</definedName>
    <definedName name="_xlnm._FilterDatabase" localSheetId="10" hidden="1">'8월11일'!$6:$96</definedName>
    <definedName name="_xlnm._FilterDatabase" localSheetId="9" hidden="1">'8월12일'!$6:$103</definedName>
    <definedName name="_xlnm._FilterDatabase" localSheetId="8" hidden="1">'8월13일'!$6:$74</definedName>
    <definedName name="_xlnm._FilterDatabase" localSheetId="7" hidden="1">'8월14일'!$6:$40</definedName>
    <definedName name="_xlnm._FilterDatabase" localSheetId="6" hidden="1">'8월18일'!$6:$57</definedName>
    <definedName name="_xlnm._FilterDatabase" localSheetId="5" hidden="1">'8월19일'!$6:$51</definedName>
    <definedName name="_xlnm._FilterDatabase" localSheetId="18" hidden="1">'8월1일'!$6:$55</definedName>
    <definedName name="_xlnm._FilterDatabase" localSheetId="4" hidden="1">'8월20일'!$6:$76</definedName>
    <definedName name="_xlnm._FilterDatabase" localSheetId="3" hidden="1">'8월21일'!$6:$85</definedName>
    <definedName name="_xlnm._FilterDatabase" localSheetId="2" hidden="1">'8월22일'!$6:$40</definedName>
    <definedName name="_xlnm._FilterDatabase" localSheetId="1" hidden="1">'8월24일'!$6:$56</definedName>
    <definedName name="_xlnm._FilterDatabase" localSheetId="0" hidden="1">'8월25일'!$6:$102</definedName>
    <definedName name="_xlnm._FilterDatabase" localSheetId="17" hidden="1">'8월3일'!$6:$55</definedName>
    <definedName name="_xlnm._FilterDatabase" localSheetId="16" hidden="1">'8월4일'!$6:$55</definedName>
    <definedName name="_xlnm._FilterDatabase" localSheetId="15" hidden="1">'8월5일'!$6:$69</definedName>
    <definedName name="_xlnm._FilterDatabase" localSheetId="14" hidden="1">'8월6일'!$6:$59</definedName>
    <definedName name="_xlnm._FilterDatabase" localSheetId="13" hidden="1">'8월7일'!$6:$70</definedName>
    <definedName name="_xlnm._FilterDatabase" localSheetId="12" hidden="1">'8월8일'!$6:$58</definedName>
    <definedName name="_xlnm.Print_Area" localSheetId="180">'1월10일'!$A$1:$L$74</definedName>
    <definedName name="_xlnm.Print_Area" localSheetId="179">'1월12일'!$A$1:$L$94</definedName>
    <definedName name="_xlnm.Print_Area" localSheetId="178">'1월13일'!$A$1:$L$82</definedName>
    <definedName name="_xlnm.Print_Area" localSheetId="177">'1월14일'!$A$1:$L$59</definedName>
    <definedName name="_xlnm.Print_Area" localSheetId="176">'1월15일'!$A$1:$L$74</definedName>
    <definedName name="_xlnm.Print_Area" localSheetId="175">'1월16일'!$A$1:$L$59</definedName>
    <definedName name="_xlnm.Print_Area" localSheetId="174">'1월17일'!$A$1:$L$63</definedName>
    <definedName name="_xlnm.Print_Area" localSheetId="173">'1월19일'!$A$1:$L$61</definedName>
    <definedName name="_xlnm.Print_Area" localSheetId="172">'1월20일'!$A$1:$L$66</definedName>
    <definedName name="_xlnm.Print_Area" localSheetId="171">'1월21일'!$A$1:$L$76</definedName>
    <definedName name="_xlnm.Print_Area" localSheetId="170">'1월22일'!$A$1:$L$96</definedName>
    <definedName name="_xlnm.Print_Area" localSheetId="169">'1월23일'!$A$1:$L$52</definedName>
    <definedName name="_xlnm.Print_Area" localSheetId="168">'1월24일'!$A$1:$L$64</definedName>
    <definedName name="_xlnm.Print_Area" localSheetId="167">'1월26일'!$A$1:$L$86</definedName>
    <definedName name="_xlnm.Print_Area" localSheetId="166">'1월27일'!$A$1:$L$87</definedName>
    <definedName name="_xlnm.Print_Area" localSheetId="165">'1월28일'!$A$1:$L$87</definedName>
    <definedName name="_xlnm.Print_Area" localSheetId="164">'1월29일'!$A$1:$L$56</definedName>
    <definedName name="_xlnm.Print_Area" localSheetId="163">'1월30일'!$A$1:$L$81</definedName>
    <definedName name="_xlnm.Print_Area" localSheetId="162">'1월31일'!$A$1:$L$57</definedName>
    <definedName name="_xlnm.Print_Area" localSheetId="186">'1월3일'!$A$1:$L$53</definedName>
    <definedName name="_xlnm.Print_Area" localSheetId="185">'1월5일'!$A$1:$L$61</definedName>
    <definedName name="_xlnm.Print_Area" localSheetId="184">'1월6일'!$A$1:$L$73</definedName>
    <definedName name="_xlnm.Print_Area" localSheetId="183">'1월7일'!$A$1:$L$76</definedName>
    <definedName name="_xlnm.Print_Area" localSheetId="182">'1월8일'!$A$1:$L$82</definedName>
    <definedName name="_xlnm.Print_Area" localSheetId="181">'1월9일'!$A$1:$L$82</definedName>
    <definedName name="_xlnm.Print_Area" localSheetId="187">'26년1월2일'!$A$1:$L$73</definedName>
    <definedName name="_xlnm.Print_Area" localSheetId="161">'2월02일'!$A$1:$L$61</definedName>
    <definedName name="_xlnm.Print_Area" localSheetId="160">'2월03일'!$A$1:$L$77</definedName>
    <definedName name="_xlnm.Print_Area" localSheetId="159">'2월04일'!$A$1:$L$81</definedName>
    <definedName name="_xlnm.Print_Area" localSheetId="158">'2월05일'!$A$1:$L$66</definedName>
    <definedName name="_xlnm.Print_Area" localSheetId="157">'2월06일'!$A$1:$L$86</definedName>
    <definedName name="_xlnm.Print_Area" localSheetId="156">'2월07일'!$A$1:$L$66</definedName>
    <definedName name="_xlnm.Print_Area" localSheetId="155">'2월09일'!$A$1:$L$66</definedName>
    <definedName name="_xlnm.Print_Area" localSheetId="154">'2월10일'!$A$1:$L$66</definedName>
    <definedName name="_xlnm.Print_Area" localSheetId="153">'2월11일'!$A$1:$L$76</definedName>
    <definedName name="_xlnm.Print_Area" localSheetId="152">'2월12일'!$A$1:$L$53</definedName>
    <definedName name="_xlnm.Print_Area" localSheetId="151">'2월13일'!$A$1:$L$53</definedName>
    <definedName name="_xlnm.Print_Area" localSheetId="150">'2월19일'!$A$1:$L$73</definedName>
    <definedName name="_xlnm.Print_Area" localSheetId="149">'2월20일'!$A$1:$L$73</definedName>
    <definedName name="_xlnm.Print_Area" localSheetId="148">'2월21일'!$A$1:$L$77</definedName>
    <definedName name="_xlnm.Print_Area" localSheetId="147">'2월23일'!$A$1:$L$69</definedName>
    <definedName name="_xlnm.Print_Area" localSheetId="146">'2월24일'!$A$1:$L$69</definedName>
    <definedName name="_xlnm.Print_Area" localSheetId="145">'2월25일'!$A$1:$L$64</definedName>
    <definedName name="_xlnm.Print_Area" localSheetId="144">'2월26일'!$A$1:$L$72</definedName>
    <definedName name="_xlnm.Print_Area" localSheetId="143">'2월27일'!$A$1:$L$72</definedName>
    <definedName name="_xlnm.Print_Area" localSheetId="142">'3월03일'!$A$1:$L$66</definedName>
    <definedName name="_xlnm.Print_Area" localSheetId="141">'3월04일'!$A$1:$L$66</definedName>
    <definedName name="_xlnm.Print_Area" localSheetId="140">'3월05일'!$A$1:$L$77</definedName>
    <definedName name="_xlnm.Print_Area" localSheetId="139">'3월06일'!$A$1:$L$65</definedName>
    <definedName name="_xlnm.Print_Area" localSheetId="138">'3월09일'!$A$1:$L$59</definedName>
    <definedName name="_xlnm.Print_Area" localSheetId="137">'3월10일'!$A$1:$L$59</definedName>
    <definedName name="_xlnm.Print_Area" localSheetId="136">'3월11일'!$A$1:$L$59</definedName>
    <definedName name="_xlnm.Print_Area" localSheetId="135">'3월12일'!$A$1:$L$65</definedName>
    <definedName name="_xlnm.Print_Area" localSheetId="134">'3월13일'!$A$1:$L$54</definedName>
    <definedName name="_xlnm.Print_Area" localSheetId="133">'3월16일'!$A$1:$L$58</definedName>
    <definedName name="_xlnm.Print_Area" localSheetId="132">'3월17일'!$A$1:$L$74</definedName>
    <definedName name="_xlnm.Print_Area" localSheetId="131">'3월18일'!$A$1:$L$58</definedName>
    <definedName name="_xlnm.Print_Area" localSheetId="130">'3월19일'!$A$1:$L$70</definedName>
    <definedName name="_xlnm.Print_Area" localSheetId="129">'3월20일'!$A$1:$L$70</definedName>
    <definedName name="_xlnm.Print_Area" localSheetId="128">'3월23일'!$A$1:$L$85</definedName>
    <definedName name="_xlnm.Print_Area" localSheetId="127">'3월24일'!$A$1:$L$63</definedName>
    <definedName name="_xlnm.Print_Area" localSheetId="126">'3월25일'!$A$1:$L$75</definedName>
    <definedName name="_xlnm.Print_Area" localSheetId="125">'3월26일'!$A$1:$L$79</definedName>
    <definedName name="_xlnm.Print_Area" localSheetId="124">'3월27일'!$A$1:$L$61</definedName>
    <definedName name="_xlnm.Print_Area" localSheetId="123">'3월30일'!$A$1:$L$61</definedName>
    <definedName name="_xlnm.Print_Area" localSheetId="122">'3월31일'!$A$1:$L$61</definedName>
    <definedName name="_xlnm.Print_Area" localSheetId="121">'4월01일'!$A$1:$L$53</definedName>
    <definedName name="_xlnm.Print_Area" localSheetId="120">'4월02일'!$A$1:$L$53</definedName>
    <definedName name="_xlnm.Print_Area" localSheetId="119">'4월03일'!$A$1:$L$70</definedName>
    <definedName name="_xlnm.Print_Area" localSheetId="118">'4월06일'!$A$1:$L$71</definedName>
    <definedName name="_xlnm.Print_Area" localSheetId="117">'4월07일'!$A$1:$L$75</definedName>
    <definedName name="_xlnm.Print_Area" localSheetId="116">'4월08일'!$A$1:$L$68</definedName>
    <definedName name="_xlnm.Print_Area" localSheetId="115">'4월09일'!$A$1:$L$91</definedName>
    <definedName name="_xlnm.Print_Area" localSheetId="114">'4월10일 '!$A$1:$L$91</definedName>
    <definedName name="_xlnm.Print_Area" localSheetId="113">'4월11일'!$A$1:$L$70</definedName>
    <definedName name="_xlnm.Print_Area" localSheetId="112">'4월13일'!$A$1:$L$94</definedName>
    <definedName name="_xlnm.Print_Area" localSheetId="111">'4월14일'!$A$1:$L$73</definedName>
    <definedName name="_xlnm.Print_Area" localSheetId="110">'4월15일'!$A$1:$L$78</definedName>
    <definedName name="_xlnm.Print_Area" localSheetId="109">'4월16일'!$A$1:$L$89</definedName>
    <definedName name="_xlnm.Print_Area" localSheetId="108">'4월17일'!$A$1:$L$102</definedName>
    <definedName name="_xlnm.Print_Area" localSheetId="107">'4월18일'!$A$1:$L$76</definedName>
    <definedName name="_xlnm.Print_Area" localSheetId="106">'4월20일'!$A$1:$L$79</definedName>
    <definedName name="_xlnm.Print_Area" localSheetId="105">'4월21일'!$A$1:$L$94</definedName>
    <definedName name="_xlnm.Print_Area" localSheetId="104">'4월22일'!$A$1:$L$94</definedName>
    <definedName name="_xlnm.Print_Area" localSheetId="103">'4월23일'!$A$1:$L$87</definedName>
    <definedName name="_xlnm.Print_Area" localSheetId="102">'4월24일'!$A$1:$L$70</definedName>
    <definedName name="_xlnm.Print_Area" localSheetId="101">'4월25일'!$A$1:$L$59</definedName>
    <definedName name="_xlnm.Print_Area" localSheetId="100">'4월27일'!$A$1:$L$97</definedName>
    <definedName name="_xlnm.Print_Area" localSheetId="99">'4월28일'!$A$1:$L$90</definedName>
    <definedName name="_xlnm.Print_Area" localSheetId="98">'4월29일'!$A$1:$L$68</definedName>
    <definedName name="_xlnm.Print_Area" localSheetId="97">'4월30일'!$A$1:$L$103</definedName>
    <definedName name="_xlnm.Print_Area" localSheetId="90">'5월10일'!$A$1:$L$56</definedName>
    <definedName name="_xlnm.Print_Area" localSheetId="89">'5월11일'!$A$1:$L$90</definedName>
    <definedName name="_xlnm.Print_Area" localSheetId="88">'5월12일'!$A$1:$L$63</definedName>
    <definedName name="_xlnm.Print_Area" localSheetId="87">'5월13일'!$A$1:$L$68</definedName>
    <definedName name="_xlnm.Print_Area" localSheetId="86">'5월14일'!$A$1:$L$69</definedName>
    <definedName name="_xlnm.Print_Area" localSheetId="85">'5월15일'!$A$1:$L$86</definedName>
    <definedName name="_xlnm.Print_Area" localSheetId="84">'5월16일'!$A$1:$L$85</definedName>
    <definedName name="_xlnm.Print_Area" localSheetId="83">'5월18일'!$A$1:$L$68</definedName>
    <definedName name="_xlnm.Print_Area" localSheetId="82">'5월19일'!$A$1:$L$91</definedName>
    <definedName name="_xlnm.Print_Area" localSheetId="81">'5월20일'!$A$1:$L$73</definedName>
    <definedName name="_xlnm.Print_Area" localSheetId="80">'5월21일'!$A$1:$L$80</definedName>
    <definedName name="_xlnm.Print_Area" localSheetId="79">'5월22일'!$A$1:$L$60</definedName>
    <definedName name="_xlnm.Print_Area" localSheetId="78">'5월23일'!$A$1:$L$44</definedName>
    <definedName name="_xlnm.Print_Area" localSheetId="77">'5월25일'!$A$1:$L$55</definedName>
    <definedName name="_xlnm.Print_Area" localSheetId="76">'5월26일'!$A$1:$L$83</definedName>
    <definedName name="_xlnm.Print_Area" localSheetId="75">'5월27일'!$A$1:$L$102</definedName>
    <definedName name="_xlnm.Print_Area" localSheetId="74">'5월28일'!$A$1:$L$84</definedName>
    <definedName name="_xlnm.Print_Area" localSheetId="73">'5월29일'!$A$1:$L$76</definedName>
    <definedName name="_xlnm.Print_Area" localSheetId="72">'5월30일'!$A$1:$L$58</definedName>
    <definedName name="_xlnm.Print_Area" localSheetId="96">'5월4일'!$A$1:$L$84</definedName>
    <definedName name="_xlnm.Print_Area" localSheetId="95">'5월5일'!$A$1:$L$51</definedName>
    <definedName name="_xlnm.Print_Area" localSheetId="94">'5월6일'!$A$1:$L$74</definedName>
    <definedName name="_xlnm.Print_Area" localSheetId="93">'5월7일'!$A$1:$L$79</definedName>
    <definedName name="_xlnm.Print_Area" localSheetId="92">'5월8일'!$A$1:$L$63</definedName>
    <definedName name="_xlnm.Print_Area" localSheetId="91">'5월9일'!$A$1:$L$56</definedName>
    <definedName name="_xlnm.Print_Area" localSheetId="71">'6월01일'!$A$1:$L$69</definedName>
    <definedName name="_xlnm.Print_Area" localSheetId="70">'6월02일'!$A$1:$L$66</definedName>
    <definedName name="_xlnm.Print_Area" localSheetId="69">'6월03일'!$A$1:$L$64</definedName>
    <definedName name="_xlnm.Print_Area" localSheetId="68">'6월04일'!$A$1:$L$86</definedName>
    <definedName name="_xlnm.Print_Area" localSheetId="67">'6월05일'!$A$1:$L$78</definedName>
    <definedName name="_xlnm.Print_Area" localSheetId="66">'6월06일'!$A$1:$L$70</definedName>
    <definedName name="_xlnm.Print_Area" localSheetId="65">'6월08일'!$A$1:$L$64</definedName>
    <definedName name="_xlnm.Print_Area" localSheetId="64">'6월09일'!$A$1:$L$65</definedName>
    <definedName name="_xlnm.Print_Area" localSheetId="63">'6월10일'!$A$1:$L$68</definedName>
    <definedName name="_xlnm.Print_Area" localSheetId="62">'6월11일'!$A$1:$L$85</definedName>
    <definedName name="_xlnm.Print_Area" localSheetId="61">'6월12일'!$A$1:$L$89</definedName>
    <definedName name="_xlnm.Print_Area" localSheetId="60">'6월13일'!$A$1:$L$62</definedName>
    <definedName name="_xlnm.Print_Area" localSheetId="59">'6월15일'!$A$1:$L$70</definedName>
    <definedName name="_xlnm.Print_Area" localSheetId="58">'6월16일'!$A$1:$L$70</definedName>
    <definedName name="_xlnm.Print_Area" localSheetId="57">'6월17일'!$A$1:$L$70</definedName>
    <definedName name="_xlnm.Print_Area" localSheetId="56">'6월18일'!$A$1:$L$99</definedName>
    <definedName name="_xlnm.Print_Area" localSheetId="55">'6월19일'!$A$1:$L$76</definedName>
    <definedName name="_xlnm.Print_Area" localSheetId="54">'6월20일'!$A$1:$L$104</definedName>
    <definedName name="_xlnm.Print_Area" localSheetId="53">'6월22일'!$A$1:$L$70</definedName>
    <definedName name="_xlnm.Print_Area" localSheetId="52">'6월23일'!$A$1:$L$89</definedName>
    <definedName name="_xlnm.Print_Area" localSheetId="51">'6월24일'!$A$1:$L$69</definedName>
    <definedName name="_xlnm.Print_Area" localSheetId="50">'6월25일'!$A$1:$L$51</definedName>
    <definedName name="_xlnm.Print_Area" localSheetId="49">'6월26일'!$A$1:$L$94</definedName>
    <definedName name="_xlnm.Print_Area" localSheetId="48">'6월27일'!$A$1:$L$52</definedName>
    <definedName name="_xlnm.Print_Area" localSheetId="47">'6월29일'!$A$1:$L$86</definedName>
    <definedName name="_xlnm.Print_Area" localSheetId="46">'6월30일'!$A$1:$L$67</definedName>
    <definedName name="_xlnm.Print_Area" localSheetId="45">'7월01일'!$A$1:$L$102</definedName>
    <definedName name="_xlnm.Print_Area" localSheetId="44">'7월02일'!$A$1:$L$103</definedName>
    <definedName name="_xlnm.Print_Area" localSheetId="43">'7월03일'!$A$1:$L$108</definedName>
    <definedName name="_xlnm.Print_Area" localSheetId="42">'7월04일'!$A$1:$L$69</definedName>
    <definedName name="_xlnm.Print_Area" localSheetId="41">'7월06일'!$A$1:$L$113</definedName>
    <definedName name="_xlnm.Print_Area" localSheetId="40">'7월07일'!$A$1:$L$74</definedName>
    <definedName name="_xlnm.Print_Area" localSheetId="39">'7월08일'!$A$1:$L$80</definedName>
    <definedName name="_xlnm.Print_Area" localSheetId="38">'7월09일'!$A$1:$L$72</definedName>
    <definedName name="_xlnm.Print_Area" localSheetId="37">'7월10일'!$A$1:$L$71</definedName>
    <definedName name="_xlnm.Print_Area" localSheetId="36">'7월11일'!$A$1:$L$55</definedName>
    <definedName name="_xlnm.Print_Area" localSheetId="35">'7월13일'!$A$1:$L$57</definedName>
    <definedName name="_xlnm.Print_Area" localSheetId="34">'7월14일'!$A$1:$L$59</definedName>
    <definedName name="_xlnm.Print_Area" localSheetId="33">'7월15일'!$A$1:$L$83</definedName>
    <definedName name="_xlnm.Print_Area" localSheetId="32">'7월16일'!$A$1:$L$92</definedName>
    <definedName name="_xlnm.Print_Area" localSheetId="31">'7월17일'!$A$1:$L$78</definedName>
    <definedName name="_xlnm.Print_Area" localSheetId="30">'7월18일'!$A$1:$L$75</definedName>
    <definedName name="_xlnm.Print_Area" localSheetId="29">'7월20일'!$A$1:$L$81</definedName>
    <definedName name="_xlnm.Print_Area" localSheetId="28">'7월21일'!$A$1:$L$60</definedName>
    <definedName name="_xlnm.Print_Area" localSheetId="27">'7월22일'!$A$1:$L$79</definedName>
    <definedName name="_xlnm.Print_Area" localSheetId="26">'7월23일'!$A$1:$L$94</definedName>
    <definedName name="_xlnm.Print_Area" localSheetId="25">'7월24일'!$A$1:$L$55</definedName>
    <definedName name="_xlnm.Print_Area" localSheetId="24">'7월25일'!$A$1:$L$51</definedName>
    <definedName name="_xlnm.Print_Area" localSheetId="23">'7월27일'!$A$1:$L$60</definedName>
    <definedName name="_xlnm.Print_Area" localSheetId="22">'7월28일'!$A$1:$L$64</definedName>
    <definedName name="_xlnm.Print_Area" localSheetId="21">'7월29일'!$A$1:$L$67</definedName>
    <definedName name="_xlnm.Print_Area" localSheetId="20">'7월30일'!$A$1:$L$86</definedName>
    <definedName name="_xlnm.Print_Area" localSheetId="19">'7월31일'!$A$1:$L$86</definedName>
    <definedName name="_xlnm.Print_Area" localSheetId="11">'8월10일'!$A$1:$L$88</definedName>
    <definedName name="_xlnm.Print_Area" localSheetId="10">'8월11일'!$A$1:$L$103</definedName>
    <definedName name="_xlnm.Print_Area" localSheetId="9">'8월12일'!$A$1:$L$108</definedName>
    <definedName name="_xlnm.Print_Area" localSheetId="8">'8월13일'!$A$1:$L$79</definedName>
    <definedName name="_xlnm.Print_Area" localSheetId="7">'8월14일'!$A$1:$L$45</definedName>
    <definedName name="_xlnm.Print_Area" localSheetId="6">'8월18일'!$A$1:$L$62</definedName>
    <definedName name="_xlnm.Print_Area" localSheetId="5">'8월19일'!$A$1:$L$56</definedName>
    <definedName name="_xlnm.Print_Area" localSheetId="18">'8월1일'!$A$1:$L$86</definedName>
    <definedName name="_xlnm.Print_Area" localSheetId="4">'8월20일'!$A$1:$L$81</definedName>
    <definedName name="_xlnm.Print_Area" localSheetId="3">'8월21일'!$A$1:$L$90</definedName>
    <definedName name="_xlnm.Print_Area" localSheetId="2">'8월22일'!$A$1:$L$45</definedName>
    <definedName name="_xlnm.Print_Area" localSheetId="1">'8월24일'!$A$1:$L$61</definedName>
    <definedName name="_xlnm.Print_Area" localSheetId="0">'8월25일'!$A$1:$L$107</definedName>
    <definedName name="_xlnm.Print_Area" localSheetId="17">'8월3일'!$A$1:$L$86</definedName>
    <definedName name="_xlnm.Print_Area" localSheetId="16">'8월4일'!$A$1:$L$95</definedName>
    <definedName name="_xlnm.Print_Area" localSheetId="15">'8월5일'!$A$1:$L$81</definedName>
    <definedName name="_xlnm.Print_Area" localSheetId="14">'8월6일'!$A$1:$L$65</definedName>
    <definedName name="_xlnm.Print_Area" localSheetId="13">'8월7일'!$A$1:$L$82</definedName>
    <definedName name="_xlnm.Print_Area" localSheetId="12">'8월8일'!$A$1:$L$65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188" l="1"/>
  <c r="K15" i="188"/>
  <c r="K14" i="188"/>
  <c r="K13" i="188"/>
  <c r="K12" i="188"/>
  <c r="K11" i="188"/>
  <c r="K10" i="188"/>
  <c r="K9" i="188"/>
  <c r="J106" i="188" l="1"/>
  <c r="D107" i="188" s="1"/>
  <c r="K105" i="188"/>
  <c r="L104" i="188"/>
  <c r="K104" i="188"/>
  <c r="N103" i="188"/>
  <c r="O103" i="188" s="1"/>
  <c r="K103" i="188"/>
  <c r="O102" i="188"/>
  <c r="N102" i="188"/>
  <c r="K102" i="188"/>
  <c r="O101" i="188"/>
  <c r="N101" i="188"/>
  <c r="K101" i="188"/>
  <c r="N100" i="188"/>
  <c r="O100" i="188" s="1"/>
  <c r="K100" i="188"/>
  <c r="N99" i="188"/>
  <c r="O99" i="188" s="1"/>
  <c r="K99" i="188"/>
  <c r="N98" i="188"/>
  <c r="O98" i="188" s="1"/>
  <c r="K98" i="188"/>
  <c r="N97" i="188"/>
  <c r="O97" i="188" s="1"/>
  <c r="K97" i="188"/>
  <c r="N96" i="188"/>
  <c r="O96" i="188" s="1"/>
  <c r="K96" i="188"/>
  <c r="N95" i="188"/>
  <c r="O95" i="188" s="1"/>
  <c r="K95" i="188"/>
  <c r="N94" i="188"/>
  <c r="O94" i="188" s="1"/>
  <c r="K94" i="188"/>
  <c r="N93" i="188"/>
  <c r="O93" i="188" s="1"/>
  <c r="K93" i="188"/>
  <c r="N92" i="188"/>
  <c r="O92" i="188" s="1"/>
  <c r="K92" i="188"/>
  <c r="N91" i="188"/>
  <c r="O91" i="188" s="1"/>
  <c r="K91" i="188"/>
  <c r="N90" i="188"/>
  <c r="O90" i="188" s="1"/>
  <c r="K90" i="188"/>
  <c r="O89" i="188"/>
  <c r="N89" i="188"/>
  <c r="K89" i="188"/>
  <c r="N88" i="188"/>
  <c r="O88" i="188" s="1"/>
  <c r="K88" i="188"/>
  <c r="N87" i="188"/>
  <c r="O87" i="188" s="1"/>
  <c r="K87" i="188"/>
  <c r="O86" i="188"/>
  <c r="N86" i="188"/>
  <c r="K86" i="188"/>
  <c r="N85" i="188"/>
  <c r="O85" i="188" s="1"/>
  <c r="K85" i="188"/>
  <c r="N84" i="188"/>
  <c r="O84" i="188" s="1"/>
  <c r="K84" i="188"/>
  <c r="N83" i="188"/>
  <c r="O83" i="188" s="1"/>
  <c r="K83" i="188"/>
  <c r="N82" i="188"/>
  <c r="O82" i="188" s="1"/>
  <c r="K82" i="188"/>
  <c r="N81" i="188"/>
  <c r="O81" i="188" s="1"/>
  <c r="K81" i="188"/>
  <c r="N80" i="188"/>
  <c r="O80" i="188" s="1"/>
  <c r="K80" i="188"/>
  <c r="N79" i="188"/>
  <c r="O79" i="188" s="1"/>
  <c r="K79" i="188"/>
  <c r="N78" i="188"/>
  <c r="O78" i="188" s="1"/>
  <c r="K78" i="188"/>
  <c r="N77" i="188"/>
  <c r="O77" i="188" s="1"/>
  <c r="K77" i="188"/>
  <c r="N76" i="188"/>
  <c r="O76" i="188" s="1"/>
  <c r="K76" i="188"/>
  <c r="N75" i="188"/>
  <c r="O75" i="188" s="1"/>
  <c r="K75" i="188"/>
  <c r="N74" i="188"/>
  <c r="O74" i="188" s="1"/>
  <c r="K74" i="188"/>
  <c r="O73" i="188"/>
  <c r="N73" i="188"/>
  <c r="K73" i="188"/>
  <c r="N72" i="188"/>
  <c r="O72" i="188" s="1"/>
  <c r="K72" i="188"/>
  <c r="N71" i="188"/>
  <c r="O71" i="188" s="1"/>
  <c r="K71" i="188"/>
  <c r="O70" i="188"/>
  <c r="N70" i="188"/>
  <c r="K70" i="188"/>
  <c r="N69" i="188"/>
  <c r="O69" i="188" s="1"/>
  <c r="K69" i="188"/>
  <c r="N68" i="188"/>
  <c r="O68" i="188" s="1"/>
  <c r="K68" i="188"/>
  <c r="N67" i="188"/>
  <c r="O67" i="188" s="1"/>
  <c r="K67" i="188"/>
  <c r="N66" i="188"/>
  <c r="O66" i="188" s="1"/>
  <c r="K66" i="188"/>
  <c r="N65" i="188"/>
  <c r="O65" i="188" s="1"/>
  <c r="K65" i="188"/>
  <c r="N64" i="188"/>
  <c r="O64" i="188" s="1"/>
  <c r="K64" i="188"/>
  <c r="N63" i="188"/>
  <c r="O63" i="188" s="1"/>
  <c r="K63" i="188"/>
  <c r="N62" i="188"/>
  <c r="O62" i="188" s="1"/>
  <c r="K62" i="188"/>
  <c r="N61" i="188"/>
  <c r="O61" i="188" s="1"/>
  <c r="K61" i="188"/>
  <c r="N60" i="188"/>
  <c r="O60" i="188" s="1"/>
  <c r="K60" i="188"/>
  <c r="K59" i="188"/>
  <c r="N58" i="188"/>
  <c r="O58" i="188" s="1"/>
  <c r="K58" i="188"/>
  <c r="N57" i="188"/>
  <c r="O57" i="188" s="1"/>
  <c r="K57" i="188"/>
  <c r="O56" i="188"/>
  <c r="N56" i="188"/>
  <c r="K56" i="188"/>
  <c r="N55" i="188"/>
  <c r="O55" i="188" s="1"/>
  <c r="K55" i="188"/>
  <c r="N54" i="188"/>
  <c r="O54" i="188" s="1"/>
  <c r="K54" i="188"/>
  <c r="O53" i="188"/>
  <c r="N53" i="188"/>
  <c r="K53" i="188"/>
  <c r="N52" i="188"/>
  <c r="O52" i="188" s="1"/>
  <c r="K52" i="188"/>
  <c r="N51" i="188"/>
  <c r="O51" i="188" s="1"/>
  <c r="K51" i="188"/>
  <c r="N50" i="188"/>
  <c r="O50" i="188" s="1"/>
  <c r="K50" i="188"/>
  <c r="N49" i="188"/>
  <c r="O49" i="188" s="1"/>
  <c r="K49" i="188"/>
  <c r="N48" i="188"/>
  <c r="O48" i="188" s="1"/>
  <c r="K48" i="188"/>
  <c r="N47" i="188"/>
  <c r="O47" i="188" s="1"/>
  <c r="K47" i="188"/>
  <c r="N46" i="188"/>
  <c r="O46" i="188" s="1"/>
  <c r="K46" i="188"/>
  <c r="O45" i="188"/>
  <c r="N45" i="188"/>
  <c r="K45" i="188"/>
  <c r="N44" i="188"/>
  <c r="O44" i="188" s="1"/>
  <c r="K44" i="188"/>
  <c r="N43" i="188"/>
  <c r="O43" i="188" s="1"/>
  <c r="K43" i="188"/>
  <c r="N42" i="188"/>
  <c r="O42" i="188" s="1"/>
  <c r="K42" i="188"/>
  <c r="O41" i="188"/>
  <c r="N41" i="188"/>
  <c r="K41" i="188"/>
  <c r="N40" i="188"/>
  <c r="O40" i="188" s="1"/>
  <c r="K40" i="188"/>
  <c r="N39" i="188"/>
  <c r="O39" i="188" s="1"/>
  <c r="K39" i="188"/>
  <c r="N38" i="188"/>
  <c r="O38" i="188" s="1"/>
  <c r="K38" i="188"/>
  <c r="O37" i="188"/>
  <c r="N37" i="188"/>
  <c r="K37" i="188"/>
  <c r="N36" i="188"/>
  <c r="O36" i="188" s="1"/>
  <c r="K36" i="188"/>
  <c r="N35" i="188"/>
  <c r="O35" i="188" s="1"/>
  <c r="K35" i="188"/>
  <c r="N34" i="188"/>
  <c r="O34" i="188" s="1"/>
  <c r="K34" i="188"/>
  <c r="N33" i="188"/>
  <c r="O33" i="188" s="1"/>
  <c r="K33" i="188"/>
  <c r="N32" i="188"/>
  <c r="O32" i="188" s="1"/>
  <c r="K32" i="188"/>
  <c r="N31" i="188"/>
  <c r="O31" i="188" s="1"/>
  <c r="K31" i="188"/>
  <c r="N30" i="188"/>
  <c r="O30" i="188" s="1"/>
  <c r="K30" i="188"/>
  <c r="O29" i="188"/>
  <c r="N29" i="188"/>
  <c r="K29" i="188"/>
  <c r="N28" i="188"/>
  <c r="O28" i="188" s="1"/>
  <c r="K28" i="188"/>
  <c r="N27" i="188"/>
  <c r="O27" i="188" s="1"/>
  <c r="K27" i="188"/>
  <c r="N26" i="188"/>
  <c r="O26" i="188" s="1"/>
  <c r="K26" i="188"/>
  <c r="N25" i="188"/>
  <c r="O25" i="188" s="1"/>
  <c r="K25" i="188"/>
  <c r="N24" i="188"/>
  <c r="O24" i="188" s="1"/>
  <c r="K24" i="188"/>
  <c r="N23" i="188"/>
  <c r="O23" i="188" s="1"/>
  <c r="K23" i="188"/>
  <c r="N22" i="188"/>
  <c r="O22" i="188" s="1"/>
  <c r="K22" i="188"/>
  <c r="N21" i="188"/>
  <c r="O21" i="188" s="1"/>
  <c r="K21" i="188"/>
  <c r="N20" i="188"/>
  <c r="O20" i="188" s="1"/>
  <c r="K20" i="188"/>
  <c r="N19" i="188"/>
  <c r="O19" i="188" s="1"/>
  <c r="K19" i="188"/>
  <c r="N18" i="188"/>
  <c r="O18" i="188" s="1"/>
  <c r="K18" i="188"/>
  <c r="N17" i="188"/>
  <c r="O17" i="188" s="1"/>
  <c r="N16" i="188"/>
  <c r="O16" i="188" s="1"/>
  <c r="K16" i="188"/>
  <c r="N15" i="188"/>
  <c r="O15" i="188" s="1"/>
  <c r="N14" i="188"/>
  <c r="O14" i="188" s="1"/>
  <c r="N13" i="188"/>
  <c r="O13" i="188" s="1"/>
  <c r="N12" i="188"/>
  <c r="O12" i="188" s="1"/>
  <c r="N11" i="188"/>
  <c r="O11" i="188" s="1"/>
  <c r="N10" i="188"/>
  <c r="O10" i="188" s="1"/>
  <c r="N9" i="188"/>
  <c r="O9" i="188" s="1"/>
  <c r="K8" i="188"/>
  <c r="L7" i="188"/>
  <c r="K7" i="188"/>
  <c r="L105" i="188" l="1"/>
  <c r="K106" i="188"/>
  <c r="L8" i="188"/>
  <c r="J60" i="187" l="1"/>
  <c r="D61" i="187" s="1"/>
  <c r="K59" i="187"/>
  <c r="L58" i="187"/>
  <c r="K58" i="187"/>
  <c r="K57" i="187"/>
  <c r="K56" i="187"/>
  <c r="K55" i="187"/>
  <c r="K54" i="187"/>
  <c r="K53" i="187"/>
  <c r="K52" i="187"/>
  <c r="K51" i="187"/>
  <c r="K50" i="187"/>
  <c r="K49" i="187"/>
  <c r="K48" i="187"/>
  <c r="K47" i="187"/>
  <c r="K46" i="187"/>
  <c r="K45" i="187"/>
  <c r="K44" i="187"/>
  <c r="K43" i="187"/>
  <c r="K42" i="187"/>
  <c r="K41" i="187"/>
  <c r="K40" i="187"/>
  <c r="K39" i="187"/>
  <c r="K38" i="187"/>
  <c r="K37" i="187"/>
  <c r="K36" i="187"/>
  <c r="K35" i="187"/>
  <c r="K34" i="187"/>
  <c r="K33" i="187"/>
  <c r="K32" i="187"/>
  <c r="K31" i="187"/>
  <c r="K30" i="187"/>
  <c r="K29" i="187"/>
  <c r="K28" i="187"/>
  <c r="K27" i="187"/>
  <c r="K26" i="187"/>
  <c r="K25" i="187"/>
  <c r="K24" i="187"/>
  <c r="K23" i="187"/>
  <c r="K22" i="187"/>
  <c r="K21" i="187"/>
  <c r="K20" i="187"/>
  <c r="K19" i="187"/>
  <c r="K18" i="187"/>
  <c r="K17" i="187"/>
  <c r="K16" i="187"/>
  <c r="K15" i="187"/>
  <c r="K14" i="187"/>
  <c r="K13" i="187"/>
  <c r="K12" i="187"/>
  <c r="K11" i="187"/>
  <c r="K10" i="187"/>
  <c r="K9" i="187"/>
  <c r="K8" i="187"/>
  <c r="L7" i="187"/>
  <c r="K7" i="187"/>
  <c r="J35" i="185"/>
  <c r="L59" i="187" l="1"/>
  <c r="K60" i="187"/>
  <c r="L8" i="187"/>
  <c r="J44" i="186"/>
  <c r="D45" i="186" s="1"/>
  <c r="K43" i="186"/>
  <c r="L42" i="186"/>
  <c r="K42" i="186"/>
  <c r="K41" i="186"/>
  <c r="K40" i="186"/>
  <c r="K39" i="186"/>
  <c r="K38" i="186"/>
  <c r="K37" i="186"/>
  <c r="K36" i="186"/>
  <c r="K35" i="186"/>
  <c r="K34" i="186"/>
  <c r="K33" i="186"/>
  <c r="K32" i="186"/>
  <c r="K31" i="186"/>
  <c r="K30" i="186"/>
  <c r="K29" i="186"/>
  <c r="K28" i="186"/>
  <c r="K27" i="186"/>
  <c r="K26" i="186"/>
  <c r="K25" i="186"/>
  <c r="K24" i="186"/>
  <c r="K23" i="186"/>
  <c r="K22" i="186"/>
  <c r="K21" i="186"/>
  <c r="K20" i="186"/>
  <c r="K19" i="186"/>
  <c r="K18" i="186"/>
  <c r="K17" i="186"/>
  <c r="K16" i="186"/>
  <c r="K15" i="186"/>
  <c r="K14" i="186"/>
  <c r="K13" i="186"/>
  <c r="K12" i="186"/>
  <c r="K11" i="186"/>
  <c r="K10" i="186"/>
  <c r="K9" i="186"/>
  <c r="K8" i="186"/>
  <c r="L7" i="186"/>
  <c r="K7" i="186"/>
  <c r="K44" i="186" l="1"/>
  <c r="L43" i="186"/>
  <c r="L8" i="186"/>
  <c r="K79" i="185" l="1"/>
  <c r="K78" i="185"/>
  <c r="K77" i="185"/>
  <c r="K76" i="185"/>
  <c r="K75" i="185"/>
  <c r="K74" i="185"/>
  <c r="K73" i="185"/>
  <c r="F55" i="185"/>
  <c r="K38" i="185"/>
  <c r="K37" i="185"/>
  <c r="K36" i="185"/>
  <c r="K35" i="185"/>
  <c r="J89" i="185" l="1"/>
  <c r="D90" i="185" s="1"/>
  <c r="K88" i="185"/>
  <c r="L87" i="185"/>
  <c r="K87" i="185"/>
  <c r="K86" i="185"/>
  <c r="K85" i="185"/>
  <c r="K84" i="185"/>
  <c r="K83" i="185"/>
  <c r="K82" i="185"/>
  <c r="K81" i="185"/>
  <c r="K80" i="185"/>
  <c r="K72" i="185"/>
  <c r="K71" i="185"/>
  <c r="K70" i="185"/>
  <c r="K69" i="185"/>
  <c r="K68" i="185"/>
  <c r="K67" i="185"/>
  <c r="K66" i="185"/>
  <c r="K65" i="185"/>
  <c r="K64" i="185"/>
  <c r="K63" i="185"/>
  <c r="K62" i="185"/>
  <c r="K61" i="185"/>
  <c r="K60" i="185"/>
  <c r="K59" i="185"/>
  <c r="K58" i="185"/>
  <c r="K57" i="185"/>
  <c r="K56" i="185"/>
  <c r="K55" i="185"/>
  <c r="K54" i="185"/>
  <c r="K53" i="185"/>
  <c r="K52" i="185"/>
  <c r="K51" i="185"/>
  <c r="K50" i="185"/>
  <c r="K49" i="185"/>
  <c r="K48" i="185"/>
  <c r="K47" i="185"/>
  <c r="K46" i="185"/>
  <c r="K45" i="185"/>
  <c r="K44" i="185"/>
  <c r="K43" i="185"/>
  <c r="K42" i="185"/>
  <c r="K41" i="185"/>
  <c r="K40" i="185"/>
  <c r="K39" i="185"/>
  <c r="K34" i="185"/>
  <c r="K33" i="185"/>
  <c r="K32" i="185"/>
  <c r="K31" i="185"/>
  <c r="K30" i="185"/>
  <c r="K29" i="185"/>
  <c r="K28" i="185"/>
  <c r="K27" i="185"/>
  <c r="K26" i="185"/>
  <c r="K25" i="185"/>
  <c r="K24" i="185"/>
  <c r="K23" i="185"/>
  <c r="K22" i="185"/>
  <c r="K21" i="185"/>
  <c r="K20" i="185"/>
  <c r="K19" i="185"/>
  <c r="K18" i="185"/>
  <c r="K17" i="185"/>
  <c r="K16" i="185"/>
  <c r="K15" i="185"/>
  <c r="K14" i="185"/>
  <c r="K13" i="185"/>
  <c r="K12" i="185"/>
  <c r="K11" i="185"/>
  <c r="K10" i="185"/>
  <c r="K9" i="185"/>
  <c r="K8" i="185"/>
  <c r="L7" i="185"/>
  <c r="K7" i="185"/>
  <c r="K89" i="185" l="1"/>
  <c r="L88" i="185"/>
  <c r="L8" i="185"/>
  <c r="K23" i="184" l="1"/>
  <c r="K22" i="184"/>
  <c r="K35" i="184" l="1"/>
  <c r="K34" i="184"/>
  <c r="K33" i="184"/>
  <c r="K32" i="184"/>
  <c r="K31" i="184"/>
  <c r="K30" i="184"/>
  <c r="K29" i="184"/>
  <c r="K28" i="184"/>
  <c r="K27" i="184"/>
  <c r="K26" i="184"/>
  <c r="K25" i="184"/>
  <c r="K24" i="184"/>
  <c r="K21" i="184"/>
  <c r="K20" i="184"/>
  <c r="K19" i="184"/>
  <c r="K18" i="184"/>
  <c r="K17" i="184"/>
  <c r="K16" i="184"/>
  <c r="K15" i="184"/>
  <c r="K14" i="184"/>
  <c r="K13" i="184"/>
  <c r="K12" i="184"/>
  <c r="K11" i="184"/>
  <c r="K10" i="184"/>
  <c r="J80" i="184"/>
  <c r="D81" i="184" s="1"/>
  <c r="K79" i="184"/>
  <c r="L78" i="184"/>
  <c r="K78" i="184"/>
  <c r="K77" i="184"/>
  <c r="K76" i="184"/>
  <c r="K75" i="184"/>
  <c r="K74" i="184"/>
  <c r="K73" i="184"/>
  <c r="K72" i="184"/>
  <c r="K71" i="184"/>
  <c r="K70" i="184"/>
  <c r="K69" i="184"/>
  <c r="K68" i="184"/>
  <c r="K67" i="184"/>
  <c r="K66" i="184"/>
  <c r="K65" i="184"/>
  <c r="K64" i="184"/>
  <c r="K63" i="184"/>
  <c r="K62" i="184"/>
  <c r="K61" i="184"/>
  <c r="K60" i="184"/>
  <c r="K59" i="184"/>
  <c r="K58" i="184"/>
  <c r="K57" i="184"/>
  <c r="K56" i="184"/>
  <c r="K55" i="184"/>
  <c r="K54" i="184"/>
  <c r="K53" i="184"/>
  <c r="K52" i="184"/>
  <c r="K51" i="184"/>
  <c r="K50" i="184"/>
  <c r="K49" i="184"/>
  <c r="K48" i="184"/>
  <c r="K47" i="184"/>
  <c r="K46" i="184"/>
  <c r="K45" i="184"/>
  <c r="K44" i="184"/>
  <c r="K43" i="184"/>
  <c r="K42" i="184"/>
  <c r="K41" i="184"/>
  <c r="K40" i="184"/>
  <c r="K39" i="184"/>
  <c r="K38" i="184"/>
  <c r="K37" i="184"/>
  <c r="K36" i="184"/>
  <c r="K9" i="184"/>
  <c r="K8" i="184"/>
  <c r="L7" i="184"/>
  <c r="K7" i="184"/>
  <c r="K80" i="184" l="1"/>
  <c r="L79" i="184"/>
  <c r="L8" i="184"/>
  <c r="E48" i="183" l="1"/>
  <c r="K48" i="183"/>
  <c r="J55" i="183" l="1"/>
  <c r="D56" i="183" s="1"/>
  <c r="K54" i="183"/>
  <c r="L53" i="183"/>
  <c r="K53" i="183"/>
  <c r="K52" i="183"/>
  <c r="K51" i="183"/>
  <c r="K50" i="183"/>
  <c r="K49" i="183"/>
  <c r="K47" i="183"/>
  <c r="K46" i="183"/>
  <c r="K45" i="183"/>
  <c r="K44" i="183"/>
  <c r="K43" i="183"/>
  <c r="K42" i="183"/>
  <c r="K41" i="183"/>
  <c r="K40" i="183"/>
  <c r="K39" i="183"/>
  <c r="K38" i="183"/>
  <c r="K37" i="183"/>
  <c r="K36" i="183"/>
  <c r="K35" i="183"/>
  <c r="K34" i="183"/>
  <c r="K33" i="183"/>
  <c r="K32" i="183"/>
  <c r="K31" i="183"/>
  <c r="K30" i="183"/>
  <c r="K29" i="183"/>
  <c r="K28" i="183"/>
  <c r="K27" i="183"/>
  <c r="K26" i="183"/>
  <c r="K25" i="183"/>
  <c r="K24" i="183"/>
  <c r="K23" i="183"/>
  <c r="K22" i="183"/>
  <c r="K21" i="183"/>
  <c r="K20" i="183"/>
  <c r="K19" i="183"/>
  <c r="K18" i="183"/>
  <c r="K17" i="183"/>
  <c r="K16" i="183"/>
  <c r="K15" i="183"/>
  <c r="K14" i="183"/>
  <c r="K13" i="183"/>
  <c r="K12" i="183"/>
  <c r="K11" i="183"/>
  <c r="K10" i="183"/>
  <c r="K9" i="183"/>
  <c r="K8" i="183"/>
  <c r="L7" i="183"/>
  <c r="K7" i="183"/>
  <c r="L8" i="183" l="1"/>
  <c r="K55" i="183"/>
  <c r="L54" i="183"/>
  <c r="K49" i="182"/>
  <c r="K48" i="182"/>
  <c r="K47" i="182"/>
  <c r="K46" i="182"/>
  <c r="K45" i="182"/>
  <c r="K44" i="182"/>
  <c r="K43" i="182"/>
  <c r="K42" i="182"/>
  <c r="K41" i="182"/>
  <c r="K54" i="182" l="1"/>
  <c r="K53" i="182"/>
  <c r="K52" i="182"/>
  <c r="K51" i="182"/>
  <c r="K50" i="182"/>
  <c r="K40" i="182"/>
  <c r="K39" i="182"/>
  <c r="K38" i="182"/>
  <c r="K37" i="182"/>
  <c r="K36" i="182"/>
  <c r="K35" i="182"/>
  <c r="K34" i="182"/>
  <c r="K33" i="182"/>
  <c r="K32" i="182"/>
  <c r="K31" i="182"/>
  <c r="K30" i="182"/>
  <c r="K29" i="182"/>
  <c r="K28" i="182"/>
  <c r="K27" i="182"/>
  <c r="K26" i="182"/>
  <c r="K25" i="182"/>
  <c r="K24" i="182"/>
  <c r="K23" i="182"/>
  <c r="K22" i="182"/>
  <c r="K21" i="182"/>
  <c r="K20" i="182"/>
  <c r="K19" i="182"/>
  <c r="K18" i="182"/>
  <c r="K17" i="182"/>
  <c r="K16" i="182"/>
  <c r="K15" i="182"/>
  <c r="J61" i="182"/>
  <c r="D62" i="182" s="1"/>
  <c r="K60" i="182"/>
  <c r="L59" i="182"/>
  <c r="K59" i="182"/>
  <c r="K58" i="182"/>
  <c r="K57" i="182"/>
  <c r="K56" i="182"/>
  <c r="K55" i="182"/>
  <c r="K14" i="182"/>
  <c r="K13" i="182"/>
  <c r="K12" i="182"/>
  <c r="K11" i="182"/>
  <c r="K10" i="182"/>
  <c r="K9" i="182"/>
  <c r="K8" i="182"/>
  <c r="L7" i="182"/>
  <c r="K7" i="182"/>
  <c r="L60" i="182" l="1"/>
  <c r="L8" i="182"/>
  <c r="K61" i="182"/>
  <c r="K43" i="181"/>
  <c r="L42" i="181"/>
  <c r="K42" i="181"/>
  <c r="K41" i="181"/>
  <c r="K40" i="181"/>
  <c r="K39" i="181"/>
  <c r="K38" i="181"/>
  <c r="K37" i="181"/>
  <c r="K36" i="181"/>
  <c r="K35" i="181"/>
  <c r="K34" i="181"/>
  <c r="J44" i="181"/>
  <c r="D45" i="181" s="1"/>
  <c r="K33" i="181"/>
  <c r="K32" i="181"/>
  <c r="K31" i="181"/>
  <c r="K30" i="181"/>
  <c r="K29" i="181"/>
  <c r="K28" i="181"/>
  <c r="K27" i="181"/>
  <c r="K26" i="181"/>
  <c r="K25" i="181"/>
  <c r="K24" i="181"/>
  <c r="K23" i="181"/>
  <c r="K22" i="181"/>
  <c r="K21" i="181"/>
  <c r="K20" i="181"/>
  <c r="K19" i="181"/>
  <c r="K18" i="181"/>
  <c r="K17" i="181"/>
  <c r="K16" i="181"/>
  <c r="K15" i="181"/>
  <c r="K14" i="181"/>
  <c r="K13" i="181"/>
  <c r="K12" i="181"/>
  <c r="K11" i="181"/>
  <c r="K10" i="181"/>
  <c r="K9" i="181"/>
  <c r="K8" i="181"/>
  <c r="K7" i="181"/>
  <c r="F44" i="180"/>
  <c r="F43" i="180"/>
  <c r="L43" i="181" l="1"/>
  <c r="K44" i="181"/>
  <c r="L7" i="181"/>
  <c r="K48" i="180"/>
  <c r="K49" i="180"/>
  <c r="K50" i="180"/>
  <c r="K51" i="180"/>
  <c r="K52" i="180"/>
  <c r="K53" i="180"/>
  <c r="K54" i="180"/>
  <c r="K55" i="180"/>
  <c r="K56" i="180"/>
  <c r="K57" i="180"/>
  <c r="K58" i="180"/>
  <c r="K59" i="180"/>
  <c r="K60" i="180"/>
  <c r="K61" i="180"/>
  <c r="K62" i="180"/>
  <c r="K63" i="180"/>
  <c r="K64" i="180"/>
  <c r="K65" i="180"/>
  <c r="K66" i="180"/>
  <c r="K67" i="180"/>
  <c r="K68" i="180"/>
  <c r="J41" i="180"/>
  <c r="F31" i="180"/>
  <c r="L8" i="181" l="1"/>
  <c r="J78" i="180"/>
  <c r="D79" i="180" s="1"/>
  <c r="K77" i="180"/>
  <c r="L76" i="180"/>
  <c r="K76" i="180"/>
  <c r="K75" i="180"/>
  <c r="K74" i="180"/>
  <c r="K73" i="180"/>
  <c r="K72" i="180"/>
  <c r="K71" i="180"/>
  <c r="K70" i="180"/>
  <c r="K69" i="180"/>
  <c r="K47" i="180"/>
  <c r="K46" i="180"/>
  <c r="K45" i="180"/>
  <c r="K44" i="180"/>
  <c r="K43" i="180"/>
  <c r="K42" i="180"/>
  <c r="K41" i="180"/>
  <c r="K40" i="180"/>
  <c r="K39" i="180"/>
  <c r="K38" i="180"/>
  <c r="K37" i="180"/>
  <c r="K36" i="180"/>
  <c r="K35" i="180"/>
  <c r="K34" i="180"/>
  <c r="K33" i="180"/>
  <c r="K32" i="180"/>
  <c r="K31" i="180"/>
  <c r="K30" i="180"/>
  <c r="K29" i="180"/>
  <c r="K28" i="180"/>
  <c r="K27" i="180"/>
  <c r="K26" i="180"/>
  <c r="K25" i="180"/>
  <c r="K24" i="180"/>
  <c r="K23" i="180"/>
  <c r="K22" i="180"/>
  <c r="K21" i="180"/>
  <c r="K20" i="180"/>
  <c r="K19" i="180"/>
  <c r="K18" i="180"/>
  <c r="K17" i="180"/>
  <c r="K16" i="180"/>
  <c r="K15" i="180"/>
  <c r="K14" i="180"/>
  <c r="K13" i="180"/>
  <c r="K12" i="180"/>
  <c r="K11" i="180"/>
  <c r="K10" i="180"/>
  <c r="K9" i="180"/>
  <c r="K8" i="180"/>
  <c r="L7" i="180"/>
  <c r="K7" i="180"/>
  <c r="K78" i="180" l="1"/>
  <c r="L77" i="180"/>
  <c r="L8" i="180"/>
  <c r="K59" i="179"/>
  <c r="K58" i="179"/>
  <c r="K57" i="179"/>
  <c r="K56" i="179"/>
  <c r="K55" i="179"/>
  <c r="K54" i="179"/>
  <c r="K53" i="179"/>
  <c r="K52" i="179"/>
  <c r="K51" i="179"/>
  <c r="K50" i="179"/>
  <c r="K49" i="179"/>
  <c r="K48" i="179"/>
  <c r="K47" i="179"/>
  <c r="K46" i="179"/>
  <c r="K45" i="179"/>
  <c r="K44" i="179"/>
  <c r="K43" i="179"/>
  <c r="K42" i="179"/>
  <c r="K41" i="179"/>
  <c r="J107" i="179" l="1"/>
  <c r="D108" i="179" s="1"/>
  <c r="K106" i="179"/>
  <c r="L105" i="179"/>
  <c r="K105" i="179"/>
  <c r="K104" i="179"/>
  <c r="K103" i="179"/>
  <c r="K102" i="179"/>
  <c r="K101" i="179"/>
  <c r="K100" i="179"/>
  <c r="K99" i="179"/>
  <c r="K98" i="179"/>
  <c r="K97" i="179"/>
  <c r="K96" i="179"/>
  <c r="K95" i="179"/>
  <c r="K94" i="179"/>
  <c r="K93" i="179"/>
  <c r="K92" i="179"/>
  <c r="K91" i="179"/>
  <c r="K90" i="179"/>
  <c r="K89" i="179"/>
  <c r="K88" i="179"/>
  <c r="K87" i="179"/>
  <c r="K86" i="179"/>
  <c r="K85" i="179"/>
  <c r="K84" i="179"/>
  <c r="K83" i="179"/>
  <c r="K82" i="179"/>
  <c r="K81" i="179"/>
  <c r="K80" i="179"/>
  <c r="K79" i="179"/>
  <c r="K78" i="179"/>
  <c r="K77" i="179"/>
  <c r="K76" i="179"/>
  <c r="K75" i="179"/>
  <c r="K74" i="179"/>
  <c r="K73" i="179"/>
  <c r="K72" i="179"/>
  <c r="K71" i="179"/>
  <c r="K70" i="179"/>
  <c r="K69" i="179"/>
  <c r="K68" i="179"/>
  <c r="K67" i="179"/>
  <c r="K66" i="179"/>
  <c r="K65" i="179"/>
  <c r="K64" i="179"/>
  <c r="K63" i="179"/>
  <c r="K62" i="179"/>
  <c r="K61" i="179"/>
  <c r="K60" i="179"/>
  <c r="K40" i="179"/>
  <c r="K39" i="179"/>
  <c r="K38" i="179"/>
  <c r="K37" i="179"/>
  <c r="K36" i="179"/>
  <c r="K35" i="179"/>
  <c r="K34" i="179"/>
  <c r="K33" i="179"/>
  <c r="K32" i="179"/>
  <c r="K31" i="179"/>
  <c r="K30" i="179"/>
  <c r="K29" i="179"/>
  <c r="K28" i="179"/>
  <c r="K27" i="179"/>
  <c r="K26" i="179"/>
  <c r="K25" i="179"/>
  <c r="K24" i="179"/>
  <c r="K23" i="179"/>
  <c r="K22" i="179"/>
  <c r="K21" i="179"/>
  <c r="K20" i="179"/>
  <c r="K19" i="179"/>
  <c r="K18" i="179"/>
  <c r="K17" i="179"/>
  <c r="K16" i="179"/>
  <c r="K15" i="179"/>
  <c r="K14" i="179"/>
  <c r="K13" i="179"/>
  <c r="K12" i="179"/>
  <c r="K11" i="179"/>
  <c r="K10" i="179"/>
  <c r="K9" i="179"/>
  <c r="K8" i="179"/>
  <c r="L7" i="179"/>
  <c r="K7" i="179"/>
  <c r="K107" i="179" l="1"/>
  <c r="L106" i="179"/>
  <c r="L8" i="179"/>
  <c r="K50" i="178"/>
  <c r="K49" i="178"/>
  <c r="K48" i="178"/>
  <c r="K47" i="178"/>
  <c r="K46" i="178"/>
  <c r="K45" i="178"/>
  <c r="K44" i="178"/>
  <c r="K43" i="178"/>
  <c r="K42" i="178"/>
  <c r="K41" i="178"/>
  <c r="K40" i="178"/>
  <c r="K35" i="178"/>
  <c r="K34" i="178"/>
  <c r="K33" i="178"/>
  <c r="K32" i="178"/>
  <c r="K31" i="178"/>
  <c r="K30" i="178"/>
  <c r="E21" i="178" l="1"/>
  <c r="K21" i="178"/>
  <c r="K22" i="178"/>
  <c r="K19" i="178"/>
  <c r="J102" i="178" l="1"/>
  <c r="D103" i="178" s="1"/>
  <c r="K101" i="178"/>
  <c r="L100" i="178"/>
  <c r="K100" i="178"/>
  <c r="K99" i="178"/>
  <c r="K98" i="178"/>
  <c r="K97" i="178"/>
  <c r="K96" i="178"/>
  <c r="K95" i="178"/>
  <c r="K94" i="178"/>
  <c r="K93" i="178"/>
  <c r="K92" i="178"/>
  <c r="K91" i="178"/>
  <c r="K90" i="178"/>
  <c r="K89" i="178"/>
  <c r="K88" i="178"/>
  <c r="K87" i="178"/>
  <c r="K86" i="178"/>
  <c r="K85" i="178"/>
  <c r="K84" i="178"/>
  <c r="K83" i="178"/>
  <c r="K82" i="178"/>
  <c r="K81" i="178"/>
  <c r="K80" i="178"/>
  <c r="K79" i="178"/>
  <c r="K78" i="178"/>
  <c r="K77" i="178"/>
  <c r="K76" i="178"/>
  <c r="K75" i="178"/>
  <c r="K74" i="178"/>
  <c r="K73" i="178"/>
  <c r="K72" i="178"/>
  <c r="K71" i="178"/>
  <c r="K70" i="178"/>
  <c r="K69" i="178"/>
  <c r="K68" i="178"/>
  <c r="K67" i="178"/>
  <c r="K66" i="178"/>
  <c r="K65" i="178"/>
  <c r="K64" i="178"/>
  <c r="K63" i="178"/>
  <c r="K62" i="178"/>
  <c r="K61" i="178"/>
  <c r="K60" i="178"/>
  <c r="K59" i="178"/>
  <c r="K58" i="178"/>
  <c r="K57" i="178"/>
  <c r="K56" i="178"/>
  <c r="K55" i="178"/>
  <c r="K54" i="178"/>
  <c r="K53" i="178"/>
  <c r="K52" i="178"/>
  <c r="K51" i="178"/>
  <c r="K39" i="178"/>
  <c r="K38" i="178"/>
  <c r="K37" i="178"/>
  <c r="K36" i="178"/>
  <c r="K29" i="178"/>
  <c r="K28" i="178"/>
  <c r="K27" i="178"/>
  <c r="K26" i="178"/>
  <c r="K25" i="178"/>
  <c r="K24" i="178"/>
  <c r="K23" i="178"/>
  <c r="K20" i="178"/>
  <c r="K18" i="178"/>
  <c r="K17" i="178"/>
  <c r="K16" i="178"/>
  <c r="K15" i="178"/>
  <c r="K14" i="178"/>
  <c r="K13" i="178"/>
  <c r="K12" i="178"/>
  <c r="K11" i="178"/>
  <c r="K10" i="178"/>
  <c r="K9" i="178"/>
  <c r="K8" i="178"/>
  <c r="L7" i="178"/>
  <c r="K7" i="178"/>
  <c r="K102" i="178" l="1"/>
  <c r="L101" i="178"/>
  <c r="L8" i="178"/>
  <c r="F31" i="177" l="1"/>
  <c r="N29" i="177" l="1"/>
  <c r="O29" i="177" s="1"/>
  <c r="K29" i="177"/>
  <c r="N28" i="177"/>
  <c r="O28" i="177" s="1"/>
  <c r="K28" i="177"/>
  <c r="N27" i="177"/>
  <c r="O27" i="177" s="1"/>
  <c r="K27" i="177"/>
  <c r="N26" i="177"/>
  <c r="O26" i="177" s="1"/>
  <c r="K26" i="177"/>
  <c r="N25" i="177"/>
  <c r="O25" i="177" s="1"/>
  <c r="K25" i="177"/>
  <c r="N24" i="177"/>
  <c r="O24" i="177" s="1"/>
  <c r="K24" i="177"/>
  <c r="N23" i="177"/>
  <c r="O23" i="177" s="1"/>
  <c r="K23" i="177"/>
  <c r="N73" i="177"/>
  <c r="O73" i="177" s="1"/>
  <c r="K73" i="177"/>
  <c r="N72" i="177"/>
  <c r="O72" i="177" s="1"/>
  <c r="K72" i="177"/>
  <c r="N71" i="177"/>
  <c r="O71" i="177" s="1"/>
  <c r="K71" i="177"/>
  <c r="N70" i="177"/>
  <c r="O70" i="177" s="1"/>
  <c r="K70" i="177"/>
  <c r="N69" i="177"/>
  <c r="O69" i="177" s="1"/>
  <c r="K69" i="177"/>
  <c r="N68" i="177"/>
  <c r="O68" i="177" s="1"/>
  <c r="K68" i="177"/>
  <c r="N67" i="177"/>
  <c r="O67" i="177" s="1"/>
  <c r="K67" i="177"/>
  <c r="N66" i="177"/>
  <c r="O66" i="177" s="1"/>
  <c r="K66" i="177"/>
  <c r="N65" i="177"/>
  <c r="O65" i="177" s="1"/>
  <c r="K65" i="177"/>
  <c r="N80" i="177"/>
  <c r="O80" i="177" s="1"/>
  <c r="K80" i="177"/>
  <c r="N79" i="177"/>
  <c r="O79" i="177" s="1"/>
  <c r="K79" i="177"/>
  <c r="N78" i="177"/>
  <c r="O78" i="177" s="1"/>
  <c r="K78" i="177"/>
  <c r="N77" i="177"/>
  <c r="O77" i="177" s="1"/>
  <c r="K77" i="177"/>
  <c r="N76" i="177"/>
  <c r="O76" i="177" s="1"/>
  <c r="K76" i="177"/>
  <c r="N75" i="177"/>
  <c r="O75" i="177" s="1"/>
  <c r="K75" i="177"/>
  <c r="N74" i="177"/>
  <c r="O74" i="177" s="1"/>
  <c r="K74" i="177"/>
  <c r="E17" i="177"/>
  <c r="K17" i="177"/>
  <c r="N22" i="177" l="1"/>
  <c r="O22" i="177" s="1"/>
  <c r="K22" i="177"/>
  <c r="N21" i="177"/>
  <c r="O21" i="177" s="1"/>
  <c r="K21" i="177"/>
  <c r="N20" i="177"/>
  <c r="O20" i="177" s="1"/>
  <c r="K20" i="177"/>
  <c r="N19" i="177"/>
  <c r="O19" i="177" s="1"/>
  <c r="K19" i="177"/>
  <c r="N18" i="177"/>
  <c r="O18" i="177" s="1"/>
  <c r="K18" i="177"/>
  <c r="N17" i="177"/>
  <c r="O17" i="177" s="1"/>
  <c r="N16" i="177"/>
  <c r="O16" i="177" s="1"/>
  <c r="K16" i="177"/>
  <c r="N15" i="177"/>
  <c r="O15" i="177" s="1"/>
  <c r="K15" i="177"/>
  <c r="N14" i="177"/>
  <c r="O14" i="177" s="1"/>
  <c r="K14" i="177"/>
  <c r="N13" i="177"/>
  <c r="O13" i="177" s="1"/>
  <c r="K13" i="177"/>
  <c r="N12" i="177"/>
  <c r="O12" i="177" s="1"/>
  <c r="K12" i="177"/>
  <c r="N64" i="177"/>
  <c r="O64" i="177" s="1"/>
  <c r="N63" i="177"/>
  <c r="O63" i="177" s="1"/>
  <c r="N62" i="177"/>
  <c r="O62" i="177" s="1"/>
  <c r="N61" i="177"/>
  <c r="O61" i="177" s="1"/>
  <c r="N60" i="177"/>
  <c r="O60" i="177" s="1"/>
  <c r="N59" i="177"/>
  <c r="O59" i="177" s="1"/>
  <c r="N58" i="177"/>
  <c r="O58" i="177" s="1"/>
  <c r="N57" i="177"/>
  <c r="O57" i="177" s="1"/>
  <c r="N56" i="177"/>
  <c r="O56" i="177" s="1"/>
  <c r="N55" i="177"/>
  <c r="O55" i="177" s="1"/>
  <c r="N54" i="177"/>
  <c r="O54" i="177" s="1"/>
  <c r="N53" i="177"/>
  <c r="O53" i="177" s="1"/>
  <c r="N52" i="177"/>
  <c r="O52" i="177" s="1"/>
  <c r="N51" i="177"/>
  <c r="O51" i="177" s="1"/>
  <c r="N50" i="177"/>
  <c r="O50" i="177" s="1"/>
  <c r="N49" i="177"/>
  <c r="O49" i="177" s="1"/>
  <c r="N48" i="177"/>
  <c r="O48" i="177" s="1"/>
  <c r="N47" i="177"/>
  <c r="O47" i="177" s="1"/>
  <c r="N46" i="177"/>
  <c r="O46" i="177" s="1"/>
  <c r="N45" i="177"/>
  <c r="O45" i="177" s="1"/>
  <c r="N44" i="177"/>
  <c r="O44" i="177" s="1"/>
  <c r="N43" i="177"/>
  <c r="O43" i="177" s="1"/>
  <c r="N42" i="177"/>
  <c r="O42" i="177" s="1"/>
  <c r="N41" i="177"/>
  <c r="O41" i="177" s="1"/>
  <c r="N40" i="177"/>
  <c r="O40" i="177" s="1"/>
  <c r="N39" i="177"/>
  <c r="O39" i="177" s="1"/>
  <c r="N38" i="177"/>
  <c r="O38" i="177" s="1"/>
  <c r="N31" i="177"/>
  <c r="O31" i="177" s="1"/>
  <c r="N30" i="177"/>
  <c r="O30" i="177" s="1"/>
  <c r="N11" i="177"/>
  <c r="O11" i="177" s="1"/>
  <c r="N10" i="177"/>
  <c r="O10" i="177" s="1"/>
  <c r="N9" i="177"/>
  <c r="O9" i="177" s="1"/>
  <c r="J87" i="177"/>
  <c r="D88" i="177" s="1"/>
  <c r="K86" i="177"/>
  <c r="L85" i="177"/>
  <c r="K85" i="177"/>
  <c r="K84" i="177"/>
  <c r="K83" i="177"/>
  <c r="K82" i="177"/>
  <c r="K81" i="177"/>
  <c r="K64" i="177"/>
  <c r="K63" i="177"/>
  <c r="K62" i="177"/>
  <c r="K61" i="177"/>
  <c r="K60" i="177"/>
  <c r="K59" i="177"/>
  <c r="K58" i="177"/>
  <c r="K57" i="177"/>
  <c r="K56" i="177"/>
  <c r="K55" i="177"/>
  <c r="K54" i="177"/>
  <c r="K53" i="177"/>
  <c r="K52" i="177"/>
  <c r="K51" i="177"/>
  <c r="K50" i="177"/>
  <c r="K49" i="177"/>
  <c r="K48" i="177"/>
  <c r="K47" i="177"/>
  <c r="K46" i="177"/>
  <c r="K45" i="177"/>
  <c r="K44" i="177"/>
  <c r="K43" i="177"/>
  <c r="K42" i="177"/>
  <c r="K41" i="177"/>
  <c r="K40" i="177"/>
  <c r="K39" i="177"/>
  <c r="K38" i="177"/>
  <c r="K37" i="177"/>
  <c r="K36" i="177"/>
  <c r="K35" i="177"/>
  <c r="K34" i="177"/>
  <c r="K33" i="177"/>
  <c r="K32" i="177"/>
  <c r="K31" i="177"/>
  <c r="K30" i="177"/>
  <c r="K11" i="177"/>
  <c r="K10" i="177"/>
  <c r="K9" i="177"/>
  <c r="K8" i="177"/>
  <c r="L7" i="177"/>
  <c r="K7" i="177"/>
  <c r="O81" i="177" l="1"/>
  <c r="O32" i="177"/>
  <c r="L86" i="177"/>
  <c r="K87" i="177"/>
  <c r="L8" i="177"/>
  <c r="K39" i="176"/>
  <c r="F23" i="176"/>
  <c r="K21" i="176"/>
  <c r="O82" i="177" l="1"/>
  <c r="O33" i="177"/>
  <c r="J64" i="176"/>
  <c r="D65" i="176" s="1"/>
  <c r="K63" i="176"/>
  <c r="L62" i="176"/>
  <c r="K62" i="176"/>
  <c r="K61" i="176"/>
  <c r="K60" i="176"/>
  <c r="K59" i="176"/>
  <c r="K58" i="176"/>
  <c r="K57" i="176"/>
  <c r="K56" i="176"/>
  <c r="K55" i="176"/>
  <c r="K54" i="176"/>
  <c r="K53" i="176"/>
  <c r="K52" i="176"/>
  <c r="K51" i="176"/>
  <c r="K50" i="176"/>
  <c r="K49" i="176"/>
  <c r="K48" i="176"/>
  <c r="K47" i="176"/>
  <c r="K46" i="176"/>
  <c r="K45" i="176"/>
  <c r="K44" i="176"/>
  <c r="K43" i="176"/>
  <c r="K42" i="176"/>
  <c r="K41" i="176"/>
  <c r="K40" i="176"/>
  <c r="K38" i="176"/>
  <c r="K37" i="176"/>
  <c r="K36" i="176"/>
  <c r="K35" i="176"/>
  <c r="K34" i="176"/>
  <c r="K33" i="176"/>
  <c r="K32" i="176"/>
  <c r="K31" i="176"/>
  <c r="K30" i="176"/>
  <c r="K29" i="176"/>
  <c r="K28" i="176"/>
  <c r="K27" i="176"/>
  <c r="K26" i="176"/>
  <c r="K25" i="176"/>
  <c r="K24" i="176"/>
  <c r="K23" i="176"/>
  <c r="K22" i="176"/>
  <c r="K20" i="176"/>
  <c r="K19" i="176"/>
  <c r="K18" i="176"/>
  <c r="K17" i="176"/>
  <c r="K16" i="176"/>
  <c r="K15" i="176"/>
  <c r="K14" i="176"/>
  <c r="K13" i="176"/>
  <c r="K12" i="176"/>
  <c r="K11" i="176"/>
  <c r="K10" i="176"/>
  <c r="K9" i="176"/>
  <c r="K8" i="176"/>
  <c r="L7" i="176"/>
  <c r="K7" i="176"/>
  <c r="K64" i="176" l="1"/>
  <c r="L63" i="176"/>
  <c r="L8" i="176"/>
  <c r="K21" i="175" l="1"/>
  <c r="E10" i="175"/>
  <c r="K10" i="175"/>
  <c r="K11" i="175"/>
  <c r="K26" i="157" l="1"/>
  <c r="J81" i="175" l="1"/>
  <c r="D82" i="175" s="1"/>
  <c r="K80" i="175"/>
  <c r="L79" i="175"/>
  <c r="K79" i="175"/>
  <c r="K78" i="175"/>
  <c r="K77" i="175"/>
  <c r="K76" i="175"/>
  <c r="K75" i="175"/>
  <c r="K74" i="175"/>
  <c r="K73" i="175"/>
  <c r="K72" i="175"/>
  <c r="K71" i="175"/>
  <c r="K70" i="175"/>
  <c r="K69" i="175"/>
  <c r="K68" i="175"/>
  <c r="K67" i="175"/>
  <c r="K66" i="175"/>
  <c r="K65" i="175"/>
  <c r="K64" i="175"/>
  <c r="K63" i="175"/>
  <c r="K62" i="175"/>
  <c r="K61" i="175"/>
  <c r="K60" i="175"/>
  <c r="K59" i="175"/>
  <c r="K58" i="175"/>
  <c r="K57" i="175"/>
  <c r="K56" i="175"/>
  <c r="K55" i="175"/>
  <c r="K54" i="175"/>
  <c r="K53" i="175"/>
  <c r="K52" i="175"/>
  <c r="K50" i="175"/>
  <c r="K49" i="175"/>
  <c r="K48" i="175"/>
  <c r="K47" i="175"/>
  <c r="K46" i="175"/>
  <c r="K45" i="175"/>
  <c r="K44" i="175"/>
  <c r="K43" i="175"/>
  <c r="K42" i="175"/>
  <c r="K41" i="175"/>
  <c r="K40" i="175"/>
  <c r="K39" i="175"/>
  <c r="K38" i="175"/>
  <c r="K37" i="175"/>
  <c r="K36" i="175"/>
  <c r="K35" i="175"/>
  <c r="K34" i="175"/>
  <c r="K33" i="175"/>
  <c r="K32" i="175"/>
  <c r="K31" i="175"/>
  <c r="K30" i="175"/>
  <c r="K29" i="175"/>
  <c r="K28" i="175"/>
  <c r="K27" i="175"/>
  <c r="K26" i="175"/>
  <c r="K25" i="175"/>
  <c r="K24" i="175"/>
  <c r="K23" i="175"/>
  <c r="K22" i="175"/>
  <c r="K20" i="175"/>
  <c r="K19" i="175"/>
  <c r="K18" i="175"/>
  <c r="K17" i="175"/>
  <c r="K16" i="175"/>
  <c r="K15" i="175"/>
  <c r="K14" i="175"/>
  <c r="K13" i="175"/>
  <c r="K12" i="175"/>
  <c r="K9" i="175"/>
  <c r="K8" i="175"/>
  <c r="L7" i="175"/>
  <c r="K7" i="175"/>
  <c r="K81" i="175" l="1"/>
  <c r="L80" i="175"/>
  <c r="L8" i="175"/>
  <c r="K32" i="174"/>
  <c r="K31" i="174"/>
  <c r="K30" i="174"/>
  <c r="K29" i="174"/>
  <c r="K28" i="174"/>
  <c r="K27" i="174"/>
  <c r="K26" i="174"/>
  <c r="K25" i="174"/>
  <c r="K24" i="174"/>
  <c r="K23" i="174"/>
  <c r="K22" i="174"/>
  <c r="K21" i="174"/>
  <c r="K20" i="174"/>
  <c r="K19" i="174"/>
  <c r="K18" i="174"/>
  <c r="K17" i="174"/>
  <c r="K16" i="174"/>
  <c r="K15" i="174"/>
  <c r="K14" i="174"/>
  <c r="K13" i="174"/>
  <c r="K12" i="174"/>
  <c r="K11" i="174"/>
  <c r="J64" i="174" l="1"/>
  <c r="D65" i="174" s="1"/>
  <c r="K63" i="174"/>
  <c r="L62" i="174"/>
  <c r="K62" i="174"/>
  <c r="K61" i="174"/>
  <c r="K60" i="174"/>
  <c r="K59" i="174"/>
  <c r="K58" i="174"/>
  <c r="K57" i="174"/>
  <c r="K56" i="174"/>
  <c r="K55" i="174"/>
  <c r="K54" i="174"/>
  <c r="K53" i="174"/>
  <c r="K52" i="174"/>
  <c r="K51" i="174"/>
  <c r="K50" i="174"/>
  <c r="K49" i="174"/>
  <c r="K48" i="174"/>
  <c r="K47" i="174"/>
  <c r="K46" i="174"/>
  <c r="K45" i="174"/>
  <c r="K44" i="174"/>
  <c r="K43" i="174"/>
  <c r="K42" i="174"/>
  <c r="K41" i="174"/>
  <c r="K40" i="174"/>
  <c r="K39" i="174"/>
  <c r="K38" i="174"/>
  <c r="K37" i="174"/>
  <c r="K36" i="174"/>
  <c r="K35" i="174"/>
  <c r="K34" i="174"/>
  <c r="K33" i="174"/>
  <c r="K10" i="174"/>
  <c r="K9" i="174"/>
  <c r="K8" i="174"/>
  <c r="L7" i="174"/>
  <c r="K7" i="174"/>
  <c r="L8" i="174" l="1"/>
  <c r="L63" i="174"/>
  <c r="K64" i="174"/>
  <c r="L78" i="173" l="1"/>
  <c r="K77" i="173"/>
  <c r="K76" i="173"/>
  <c r="K75" i="173"/>
  <c r="K74" i="173"/>
  <c r="K73" i="173"/>
  <c r="K72" i="173"/>
  <c r="K71" i="173"/>
  <c r="K70" i="173"/>
  <c r="K69" i="173"/>
  <c r="K68" i="173"/>
  <c r="K67" i="173"/>
  <c r="K66" i="173"/>
  <c r="K65" i="173"/>
  <c r="K64" i="173"/>
  <c r="K63" i="173"/>
  <c r="K62" i="173"/>
  <c r="K61" i="173"/>
  <c r="K60" i="173"/>
  <c r="K59" i="173"/>
  <c r="K58" i="173"/>
  <c r="K57" i="173"/>
  <c r="K56" i="173"/>
  <c r="K55" i="173"/>
  <c r="K54" i="173"/>
  <c r="K53" i="173"/>
  <c r="K52" i="173"/>
  <c r="K51" i="173"/>
  <c r="K50" i="173"/>
  <c r="K49" i="173"/>
  <c r="K48" i="173"/>
  <c r="K47" i="173"/>
  <c r="K46" i="173"/>
  <c r="K45" i="173"/>
  <c r="K44" i="173"/>
  <c r="K43" i="173"/>
  <c r="K42" i="173"/>
  <c r="K41" i="173"/>
  <c r="F54" i="173"/>
  <c r="K11" i="173" l="1"/>
  <c r="K16" i="173"/>
  <c r="K15" i="173"/>
  <c r="J80" i="173"/>
  <c r="D81" i="173" s="1"/>
  <c r="K79" i="173"/>
  <c r="K78" i="173"/>
  <c r="K40" i="173"/>
  <c r="K39" i="173"/>
  <c r="K38" i="173"/>
  <c r="K37" i="173"/>
  <c r="K36" i="173"/>
  <c r="K35" i="173"/>
  <c r="K34" i="173"/>
  <c r="K33" i="173"/>
  <c r="K32" i="173"/>
  <c r="K31" i="173"/>
  <c r="K30" i="173"/>
  <c r="K29" i="173"/>
  <c r="K28" i="173"/>
  <c r="K26" i="173"/>
  <c r="K25" i="173"/>
  <c r="K24" i="173"/>
  <c r="K22" i="173"/>
  <c r="K21" i="173"/>
  <c r="K20" i="173"/>
  <c r="K19" i="173"/>
  <c r="K18" i="173"/>
  <c r="K14" i="173"/>
  <c r="K13" i="173"/>
  <c r="K10" i="173"/>
  <c r="K9" i="173"/>
  <c r="K8" i="173"/>
  <c r="L7" i="173"/>
  <c r="K7" i="173"/>
  <c r="L79" i="173" l="1"/>
  <c r="L8" i="173"/>
  <c r="K80" i="173"/>
  <c r="K90" i="172"/>
  <c r="K89" i="172"/>
  <c r="K88" i="172"/>
  <c r="K87" i="172"/>
  <c r="K86" i="172"/>
  <c r="K85" i="172"/>
  <c r="K84" i="172"/>
  <c r="K83" i="172"/>
  <c r="K82" i="172"/>
  <c r="K81" i="172"/>
  <c r="K80" i="172"/>
  <c r="K19" i="172"/>
  <c r="J94" i="172"/>
  <c r="D95" i="172" s="1"/>
  <c r="K93" i="172"/>
  <c r="L92" i="172"/>
  <c r="K92" i="172"/>
  <c r="K91" i="172"/>
  <c r="K79" i="172"/>
  <c r="K78" i="172"/>
  <c r="K77" i="172"/>
  <c r="K76" i="172"/>
  <c r="K75" i="172"/>
  <c r="K74" i="172"/>
  <c r="K73" i="172"/>
  <c r="K72" i="172"/>
  <c r="K71" i="172"/>
  <c r="K70" i="172"/>
  <c r="K69" i="172"/>
  <c r="K68" i="172"/>
  <c r="K67" i="172"/>
  <c r="K66" i="172"/>
  <c r="K65" i="172"/>
  <c r="K64" i="172"/>
  <c r="K63" i="172"/>
  <c r="K62" i="172"/>
  <c r="K61" i="172"/>
  <c r="K60" i="172"/>
  <c r="K59" i="172"/>
  <c r="K58" i="172"/>
  <c r="K57" i="172"/>
  <c r="K56" i="172"/>
  <c r="K55" i="172"/>
  <c r="K54" i="172"/>
  <c r="K53" i="172"/>
  <c r="K52" i="172"/>
  <c r="K51" i="172"/>
  <c r="K50" i="172"/>
  <c r="K49" i="172"/>
  <c r="K48" i="172"/>
  <c r="K47" i="172"/>
  <c r="K46" i="172"/>
  <c r="K45" i="172"/>
  <c r="K44" i="172"/>
  <c r="K43" i="172"/>
  <c r="K42" i="172"/>
  <c r="K41" i="172"/>
  <c r="K40" i="172"/>
  <c r="K39" i="172"/>
  <c r="K38" i="172"/>
  <c r="K37" i="172"/>
  <c r="K36" i="172"/>
  <c r="K35" i="172"/>
  <c r="K34" i="172"/>
  <c r="K33" i="172"/>
  <c r="K32" i="172"/>
  <c r="K31" i="172"/>
  <c r="K30" i="172"/>
  <c r="K29" i="172"/>
  <c r="K28" i="172"/>
  <c r="K27" i="172"/>
  <c r="K25" i="172"/>
  <c r="K24" i="172"/>
  <c r="K23" i="172"/>
  <c r="K21" i="172"/>
  <c r="K20" i="172"/>
  <c r="K18" i="172"/>
  <c r="K17" i="172"/>
  <c r="K16" i="172"/>
  <c r="K15" i="172"/>
  <c r="K14" i="172"/>
  <c r="K13" i="172"/>
  <c r="K12" i="172"/>
  <c r="K11" i="172"/>
  <c r="K10" i="172"/>
  <c r="K9" i="172"/>
  <c r="K8" i="172"/>
  <c r="L7" i="172"/>
  <c r="K7" i="172"/>
  <c r="K94" i="172" l="1"/>
  <c r="L93" i="172"/>
  <c r="L8" i="172"/>
  <c r="K69" i="171"/>
  <c r="J85" i="171" l="1"/>
  <c r="D86" i="171" s="1"/>
  <c r="K84" i="171"/>
  <c r="L83" i="171"/>
  <c r="K83" i="171"/>
  <c r="K82" i="171"/>
  <c r="K81" i="171"/>
  <c r="K80" i="171"/>
  <c r="K79" i="171"/>
  <c r="K78" i="171"/>
  <c r="K77" i="171"/>
  <c r="K76" i="171"/>
  <c r="K75" i="171"/>
  <c r="K74" i="171"/>
  <c r="K73" i="171"/>
  <c r="K72" i="171"/>
  <c r="K71" i="171"/>
  <c r="K70" i="171"/>
  <c r="K68" i="171"/>
  <c r="K67" i="171"/>
  <c r="K66" i="171"/>
  <c r="K65" i="171"/>
  <c r="K64" i="171"/>
  <c r="K63" i="171"/>
  <c r="K62" i="171"/>
  <c r="K61" i="171"/>
  <c r="K60" i="171"/>
  <c r="K59" i="171"/>
  <c r="K58" i="171"/>
  <c r="K57" i="171"/>
  <c r="K56" i="171"/>
  <c r="K55" i="171"/>
  <c r="K54" i="171"/>
  <c r="K53" i="171"/>
  <c r="K52" i="171"/>
  <c r="K51" i="171"/>
  <c r="K50" i="171"/>
  <c r="K49" i="171"/>
  <c r="K48" i="171"/>
  <c r="K47" i="171"/>
  <c r="K46" i="171"/>
  <c r="K45" i="171"/>
  <c r="K44" i="171"/>
  <c r="K43" i="171"/>
  <c r="K42" i="171"/>
  <c r="K41" i="171"/>
  <c r="K40" i="171"/>
  <c r="K39" i="171"/>
  <c r="K38" i="171"/>
  <c r="K37" i="171"/>
  <c r="K36" i="171"/>
  <c r="K35" i="171"/>
  <c r="K34" i="171"/>
  <c r="K33" i="171"/>
  <c r="K32" i="171"/>
  <c r="K31" i="171"/>
  <c r="K30" i="171"/>
  <c r="K29" i="171"/>
  <c r="K28" i="171"/>
  <c r="K27" i="171"/>
  <c r="K25" i="171"/>
  <c r="K24" i="171"/>
  <c r="K23" i="171"/>
  <c r="K21" i="171"/>
  <c r="K20" i="171"/>
  <c r="K19" i="171"/>
  <c r="K18" i="171"/>
  <c r="K17" i="171"/>
  <c r="K16" i="171"/>
  <c r="K15" i="171"/>
  <c r="K14" i="171"/>
  <c r="K13" i="171"/>
  <c r="K12" i="171"/>
  <c r="K11" i="171"/>
  <c r="K10" i="171"/>
  <c r="K9" i="171"/>
  <c r="K8" i="171"/>
  <c r="L7" i="171"/>
  <c r="K7" i="171"/>
  <c r="K85" i="171" l="1"/>
  <c r="L84" i="171"/>
  <c r="L8" i="171"/>
  <c r="K14" i="170"/>
  <c r="K13" i="170"/>
  <c r="F11" i="170"/>
  <c r="F9" i="170"/>
  <c r="J85" i="170"/>
  <c r="D86" i="170" s="1"/>
  <c r="K84" i="170"/>
  <c r="L83" i="170"/>
  <c r="K83" i="170"/>
  <c r="K82" i="170"/>
  <c r="K81" i="170"/>
  <c r="K80" i="170"/>
  <c r="K79" i="170"/>
  <c r="K78" i="170"/>
  <c r="K77" i="170"/>
  <c r="K76" i="170"/>
  <c r="K75" i="170"/>
  <c r="K74" i="170"/>
  <c r="K73" i="170"/>
  <c r="K72" i="170"/>
  <c r="K71" i="170"/>
  <c r="K70" i="170"/>
  <c r="K69" i="170"/>
  <c r="K68" i="170"/>
  <c r="K67" i="170"/>
  <c r="K66" i="170"/>
  <c r="K65" i="170"/>
  <c r="K64" i="170"/>
  <c r="K63" i="170"/>
  <c r="K62" i="170"/>
  <c r="K61" i="170"/>
  <c r="K60" i="170"/>
  <c r="K59" i="170"/>
  <c r="K58" i="170"/>
  <c r="K57" i="170"/>
  <c r="K56" i="170"/>
  <c r="K55" i="170"/>
  <c r="K54" i="170"/>
  <c r="K53" i="170"/>
  <c r="K52" i="170"/>
  <c r="K51" i="170"/>
  <c r="K50" i="170"/>
  <c r="K49" i="170"/>
  <c r="K48" i="170"/>
  <c r="K47" i="170"/>
  <c r="K46" i="170"/>
  <c r="K45" i="170"/>
  <c r="K44" i="170"/>
  <c r="K43" i="170"/>
  <c r="K42" i="170"/>
  <c r="K41" i="170"/>
  <c r="K40" i="170"/>
  <c r="K39" i="170"/>
  <c r="K38" i="170"/>
  <c r="K37" i="170"/>
  <c r="K36" i="170"/>
  <c r="K35" i="170"/>
  <c r="K34" i="170"/>
  <c r="K33" i="170"/>
  <c r="K32" i="170"/>
  <c r="K31" i="170"/>
  <c r="K30" i="170"/>
  <c r="K29" i="170"/>
  <c r="K28" i="170"/>
  <c r="K27" i="170"/>
  <c r="K25" i="170"/>
  <c r="K24" i="170"/>
  <c r="K23" i="170"/>
  <c r="K21" i="170"/>
  <c r="K20" i="170"/>
  <c r="K19" i="170"/>
  <c r="K18" i="170"/>
  <c r="K17" i="170"/>
  <c r="K16" i="170"/>
  <c r="K15" i="170"/>
  <c r="K12" i="170"/>
  <c r="K11" i="170"/>
  <c r="K10" i="170"/>
  <c r="K9" i="170"/>
  <c r="K8" i="170"/>
  <c r="L7" i="170"/>
  <c r="K7" i="170"/>
  <c r="L8" i="170" l="1"/>
  <c r="K85" i="170"/>
  <c r="L84" i="170"/>
  <c r="J85" i="169"/>
  <c r="D86" i="169" s="1"/>
  <c r="K84" i="169"/>
  <c r="L83" i="169"/>
  <c r="K83" i="169"/>
  <c r="K82" i="169"/>
  <c r="K81" i="169"/>
  <c r="K80" i="169"/>
  <c r="K79" i="169"/>
  <c r="K78" i="169"/>
  <c r="K77" i="169"/>
  <c r="K76" i="169"/>
  <c r="K75" i="169"/>
  <c r="K74" i="169"/>
  <c r="K73" i="169"/>
  <c r="K72" i="169"/>
  <c r="K71" i="169"/>
  <c r="K70" i="169"/>
  <c r="K69" i="169"/>
  <c r="K68" i="169"/>
  <c r="K67" i="169"/>
  <c r="K66" i="169"/>
  <c r="K65" i="169"/>
  <c r="K64" i="169"/>
  <c r="K63" i="169"/>
  <c r="K62" i="169"/>
  <c r="K61" i="169"/>
  <c r="K60" i="169"/>
  <c r="K59" i="169"/>
  <c r="K58" i="169"/>
  <c r="K57" i="169"/>
  <c r="K56" i="169"/>
  <c r="K55" i="169"/>
  <c r="K54" i="169"/>
  <c r="K53" i="169"/>
  <c r="K52" i="169"/>
  <c r="K51" i="169"/>
  <c r="K50" i="169"/>
  <c r="K49" i="169"/>
  <c r="K48" i="169"/>
  <c r="K47" i="169"/>
  <c r="K46" i="169"/>
  <c r="K45" i="169"/>
  <c r="K44" i="169"/>
  <c r="K43" i="169"/>
  <c r="K42" i="169"/>
  <c r="K41" i="169"/>
  <c r="K40" i="169"/>
  <c r="K39" i="169"/>
  <c r="K38" i="169"/>
  <c r="K37" i="169"/>
  <c r="K36" i="169"/>
  <c r="K35" i="169"/>
  <c r="K34" i="169"/>
  <c r="K33" i="169"/>
  <c r="K32" i="169"/>
  <c r="K31" i="169"/>
  <c r="K30" i="169"/>
  <c r="K29" i="169"/>
  <c r="K28" i="169"/>
  <c r="K27" i="169"/>
  <c r="K25" i="169"/>
  <c r="K24" i="169"/>
  <c r="K23" i="169"/>
  <c r="K21" i="169"/>
  <c r="K20" i="169"/>
  <c r="K19" i="169"/>
  <c r="K18" i="169"/>
  <c r="K17" i="169"/>
  <c r="K16" i="169"/>
  <c r="K15" i="169"/>
  <c r="K14" i="169"/>
  <c r="K13" i="169"/>
  <c r="K12" i="169"/>
  <c r="K11" i="169"/>
  <c r="K10" i="169"/>
  <c r="K9" i="169"/>
  <c r="K8" i="169"/>
  <c r="L7" i="169"/>
  <c r="K7" i="169"/>
  <c r="L8" i="169" l="1"/>
  <c r="L84" i="169"/>
  <c r="K85" i="169"/>
  <c r="K82" i="168"/>
  <c r="K81" i="168"/>
  <c r="K80" i="168"/>
  <c r="K70" i="168"/>
  <c r="K75" i="168"/>
  <c r="K74" i="168"/>
  <c r="K73" i="168"/>
  <c r="K72" i="168"/>
  <c r="K71" i="168"/>
  <c r="K69" i="168"/>
  <c r="K68" i="168"/>
  <c r="K67" i="168"/>
  <c r="K66" i="168"/>
  <c r="K65" i="168"/>
  <c r="K63" i="168"/>
  <c r="K62" i="168"/>
  <c r="K61" i="168"/>
  <c r="K60" i="168"/>
  <c r="K59" i="168"/>
  <c r="K58" i="168"/>
  <c r="K57" i="168"/>
  <c r="K56" i="168"/>
  <c r="F20" i="168"/>
  <c r="J85" i="168" l="1"/>
  <c r="D86" i="168" s="1"/>
  <c r="K84" i="168"/>
  <c r="L83" i="168"/>
  <c r="K83" i="168"/>
  <c r="K79" i="168"/>
  <c r="K78" i="168"/>
  <c r="K77" i="168"/>
  <c r="K76" i="168"/>
  <c r="K64" i="168"/>
  <c r="K55" i="168"/>
  <c r="K54" i="168"/>
  <c r="K53" i="168"/>
  <c r="K52" i="168"/>
  <c r="K51" i="168"/>
  <c r="K50" i="168"/>
  <c r="K49" i="168"/>
  <c r="K48" i="168"/>
  <c r="K47" i="168"/>
  <c r="K46" i="168"/>
  <c r="K45" i="168"/>
  <c r="K44" i="168"/>
  <c r="K43" i="168"/>
  <c r="K42" i="168"/>
  <c r="K41" i="168"/>
  <c r="K40" i="168"/>
  <c r="K39" i="168"/>
  <c r="K38" i="168"/>
  <c r="K37" i="168"/>
  <c r="K36" i="168"/>
  <c r="K35" i="168"/>
  <c r="K34" i="168"/>
  <c r="K33" i="168"/>
  <c r="K32" i="168"/>
  <c r="K31" i="168"/>
  <c r="K30" i="168"/>
  <c r="K29" i="168"/>
  <c r="K28" i="168"/>
  <c r="K27" i="168"/>
  <c r="K25" i="168"/>
  <c r="K24" i="168"/>
  <c r="K23" i="168"/>
  <c r="K21" i="168"/>
  <c r="K20" i="168"/>
  <c r="K19" i="168"/>
  <c r="K18" i="168"/>
  <c r="K17" i="168"/>
  <c r="K16" i="168"/>
  <c r="K15" i="168"/>
  <c r="K14" i="168"/>
  <c r="K13" i="168"/>
  <c r="K12" i="168"/>
  <c r="K11" i="168"/>
  <c r="K10" i="168"/>
  <c r="K9" i="168"/>
  <c r="K8" i="168"/>
  <c r="L7" i="168"/>
  <c r="K7" i="168"/>
  <c r="L84" i="168" l="1"/>
  <c r="L8" i="168"/>
  <c r="K85" i="168"/>
  <c r="K18" i="167"/>
  <c r="E14" i="167"/>
  <c r="E13" i="167"/>
  <c r="J66" i="167" l="1"/>
  <c r="D67" i="167" s="1"/>
  <c r="K65" i="167"/>
  <c r="L64" i="167"/>
  <c r="K64" i="167"/>
  <c r="K63" i="167"/>
  <c r="K62" i="167"/>
  <c r="K61" i="167"/>
  <c r="K60" i="167"/>
  <c r="K59" i="167"/>
  <c r="K58" i="167"/>
  <c r="K57" i="167"/>
  <c r="K56" i="167"/>
  <c r="K55" i="167"/>
  <c r="K54" i="167"/>
  <c r="K53" i="167"/>
  <c r="K52" i="167"/>
  <c r="K51" i="167"/>
  <c r="K50" i="167"/>
  <c r="K49" i="167"/>
  <c r="K48" i="167"/>
  <c r="K47" i="167"/>
  <c r="K46" i="167"/>
  <c r="K45" i="167"/>
  <c r="K44" i="167"/>
  <c r="K43" i="167"/>
  <c r="K42" i="167"/>
  <c r="K41" i="167"/>
  <c r="K40" i="167"/>
  <c r="K39" i="167"/>
  <c r="K38" i="167"/>
  <c r="K37" i="167"/>
  <c r="K36" i="167"/>
  <c r="K35" i="167"/>
  <c r="K34" i="167"/>
  <c r="K33" i="167"/>
  <c r="K32" i="167"/>
  <c r="K31" i="167"/>
  <c r="K30" i="167"/>
  <c r="K29" i="167"/>
  <c r="K28" i="167"/>
  <c r="K27" i="167"/>
  <c r="K25" i="167"/>
  <c r="K24" i="167"/>
  <c r="K23" i="167"/>
  <c r="K21" i="167"/>
  <c r="K20" i="167"/>
  <c r="K19" i="167"/>
  <c r="K17" i="167"/>
  <c r="K16" i="167"/>
  <c r="K15" i="167"/>
  <c r="K14" i="167"/>
  <c r="K13" i="167"/>
  <c r="K12" i="167"/>
  <c r="K11" i="167"/>
  <c r="K10" i="167"/>
  <c r="K9" i="167"/>
  <c r="K8" i="167"/>
  <c r="L7" i="167"/>
  <c r="K7" i="167"/>
  <c r="L65" i="167" l="1"/>
  <c r="L8" i="167"/>
  <c r="K66" i="167"/>
  <c r="K62" i="166"/>
  <c r="K61" i="166"/>
  <c r="K60" i="166"/>
  <c r="K59" i="166"/>
  <c r="K58" i="166"/>
  <c r="K57" i="166"/>
  <c r="K56" i="166"/>
  <c r="K55" i="166"/>
  <c r="K54" i="166"/>
  <c r="K53" i="166"/>
  <c r="K52" i="166"/>
  <c r="K51" i="166"/>
  <c r="K50" i="166"/>
  <c r="K49" i="166"/>
  <c r="K48" i="166"/>
  <c r="K47" i="166"/>
  <c r="K46" i="166"/>
  <c r="K45" i="166"/>
  <c r="K44" i="166"/>
  <c r="K43" i="166"/>
  <c r="K42" i="166"/>
  <c r="K41" i="166"/>
  <c r="K40" i="166"/>
  <c r="K39" i="166"/>
  <c r="K38" i="166"/>
  <c r="K31" i="166"/>
  <c r="K30" i="166"/>
  <c r="K29" i="166"/>
  <c r="K28" i="166"/>
  <c r="K27" i="166"/>
  <c r="K26" i="166"/>
  <c r="K25" i="166"/>
  <c r="K24" i="166"/>
  <c r="K23" i="166"/>
  <c r="K32" i="166"/>
  <c r="K33" i="166"/>
  <c r="K34" i="166"/>
  <c r="K19" i="166"/>
  <c r="J63" i="166" l="1"/>
  <c r="D64" i="166" s="1"/>
  <c r="L61" i="166"/>
  <c r="K37" i="166"/>
  <c r="K36" i="166"/>
  <c r="K35" i="166"/>
  <c r="K22" i="166"/>
  <c r="K21" i="166"/>
  <c r="K20" i="166"/>
  <c r="K18" i="166"/>
  <c r="K17" i="166"/>
  <c r="K16" i="166"/>
  <c r="K15" i="166"/>
  <c r="K14" i="166"/>
  <c r="K13" i="166"/>
  <c r="K12" i="166"/>
  <c r="K11" i="166"/>
  <c r="K10" i="166"/>
  <c r="K9" i="166"/>
  <c r="K8" i="166"/>
  <c r="L7" i="166"/>
  <c r="K7" i="166"/>
  <c r="L62" i="166" l="1"/>
  <c r="L8" i="166"/>
  <c r="K63" i="166"/>
  <c r="F49" i="165" l="1"/>
  <c r="F48" i="165"/>
  <c r="K50" i="165"/>
  <c r="K49" i="165"/>
  <c r="K48" i="165"/>
  <c r="F45" i="165"/>
  <c r="F44" i="165"/>
  <c r="K43" i="165"/>
  <c r="K42" i="165"/>
  <c r="K41" i="165"/>
  <c r="K39" i="165"/>
  <c r="K38" i="165"/>
  <c r="K37" i="165"/>
  <c r="K36" i="165"/>
  <c r="K23" i="165"/>
  <c r="K22" i="165"/>
  <c r="K21" i="165"/>
  <c r="K20" i="165"/>
  <c r="K18" i="165"/>
  <c r="K17" i="165"/>
  <c r="K16" i="165"/>
  <c r="K15" i="165"/>
  <c r="J59" i="165"/>
  <c r="D60" i="165" s="1"/>
  <c r="K58" i="165"/>
  <c r="L57" i="165"/>
  <c r="K57" i="165"/>
  <c r="K56" i="165"/>
  <c r="K55" i="165"/>
  <c r="K54" i="165"/>
  <c r="K53" i="165"/>
  <c r="K52" i="165"/>
  <c r="K51" i="165"/>
  <c r="K47" i="165"/>
  <c r="K46" i="165"/>
  <c r="K45" i="165"/>
  <c r="K44" i="165"/>
  <c r="K34" i="165"/>
  <c r="K33" i="165"/>
  <c r="K32" i="165"/>
  <c r="K31" i="165"/>
  <c r="K30" i="165"/>
  <c r="K29" i="165"/>
  <c r="K28" i="165"/>
  <c r="K27" i="165"/>
  <c r="K26" i="165"/>
  <c r="K25" i="165"/>
  <c r="K24" i="165"/>
  <c r="K14" i="165"/>
  <c r="K13" i="165"/>
  <c r="K12" i="165"/>
  <c r="K11" i="165"/>
  <c r="K10" i="165"/>
  <c r="K9" i="165"/>
  <c r="K8" i="165"/>
  <c r="L7" i="165"/>
  <c r="K7" i="165"/>
  <c r="L58" i="165" l="1"/>
  <c r="L8" i="165"/>
  <c r="K59" i="165"/>
  <c r="J50" i="164"/>
  <c r="D51" i="164" s="1"/>
  <c r="K49" i="164"/>
  <c r="L48" i="164"/>
  <c r="K48" i="164"/>
  <c r="K47" i="164"/>
  <c r="K46" i="164"/>
  <c r="K45" i="164"/>
  <c r="K44" i="164"/>
  <c r="K43" i="164"/>
  <c r="K42" i="164"/>
  <c r="K41" i="164"/>
  <c r="K40" i="164"/>
  <c r="K39" i="164"/>
  <c r="K38" i="164"/>
  <c r="K37" i="164"/>
  <c r="K36" i="164"/>
  <c r="K35" i="164"/>
  <c r="K34" i="164"/>
  <c r="K33" i="164"/>
  <c r="K32" i="164"/>
  <c r="K31" i="164"/>
  <c r="K30" i="164"/>
  <c r="K29" i="164"/>
  <c r="K28" i="164"/>
  <c r="K27" i="164"/>
  <c r="K26" i="164"/>
  <c r="K25" i="164"/>
  <c r="K24" i="164"/>
  <c r="K23" i="164"/>
  <c r="K22" i="164"/>
  <c r="K21" i="164"/>
  <c r="K20" i="164"/>
  <c r="K19" i="164"/>
  <c r="K18" i="164"/>
  <c r="K17" i="164"/>
  <c r="K16" i="164"/>
  <c r="K15" i="164"/>
  <c r="K14" i="164"/>
  <c r="K13" i="164"/>
  <c r="K12" i="164"/>
  <c r="K11" i="164"/>
  <c r="K10" i="164"/>
  <c r="K9" i="164"/>
  <c r="K8" i="164"/>
  <c r="L7" i="164"/>
  <c r="K7" i="164"/>
  <c r="K44" i="163"/>
  <c r="K10" i="163"/>
  <c r="K9" i="163"/>
  <c r="K50" i="164" l="1"/>
  <c r="L49" i="164"/>
  <c r="L8" i="164"/>
  <c r="J54" i="163"/>
  <c r="D55" i="163" s="1"/>
  <c r="K53" i="163"/>
  <c r="L52" i="163"/>
  <c r="K52" i="163"/>
  <c r="K51" i="163"/>
  <c r="K50" i="163"/>
  <c r="K49" i="163"/>
  <c r="K48" i="163"/>
  <c r="K47" i="163"/>
  <c r="K46" i="163"/>
  <c r="K45" i="163"/>
  <c r="K43" i="163"/>
  <c r="K42" i="163"/>
  <c r="K41" i="163"/>
  <c r="K40" i="163"/>
  <c r="K39" i="163"/>
  <c r="K38" i="163"/>
  <c r="K37" i="163"/>
  <c r="K36" i="163"/>
  <c r="K35" i="163"/>
  <c r="K34" i="163"/>
  <c r="K33" i="163"/>
  <c r="K32" i="163"/>
  <c r="K31" i="163"/>
  <c r="K30" i="163"/>
  <c r="K29" i="163"/>
  <c r="K28" i="163"/>
  <c r="K27" i="163"/>
  <c r="K26" i="163"/>
  <c r="K25" i="163"/>
  <c r="K24" i="163"/>
  <c r="K23" i="163"/>
  <c r="K22" i="163"/>
  <c r="K21" i="163"/>
  <c r="K20" i="163"/>
  <c r="K19" i="163"/>
  <c r="K18" i="163"/>
  <c r="K17" i="163"/>
  <c r="K16" i="163"/>
  <c r="K15" i="163"/>
  <c r="K14" i="163"/>
  <c r="K13" i="163"/>
  <c r="K12" i="163"/>
  <c r="K11" i="163"/>
  <c r="K8" i="163"/>
  <c r="L7" i="163"/>
  <c r="K7" i="163"/>
  <c r="K54" i="163" l="1"/>
  <c r="L53" i="163"/>
  <c r="L8" i="163"/>
  <c r="K36" i="162"/>
  <c r="K35" i="162"/>
  <c r="K34" i="162"/>
  <c r="K33" i="162"/>
  <c r="K85" i="162" l="1"/>
  <c r="K84" i="162"/>
  <c r="K83" i="162"/>
  <c r="K82" i="162"/>
  <c r="F68" i="162"/>
  <c r="K77" i="162"/>
  <c r="K76" i="162"/>
  <c r="K75" i="162"/>
  <c r="K74" i="162"/>
  <c r="K73" i="162"/>
  <c r="K72" i="162"/>
  <c r="K71" i="162"/>
  <c r="K70" i="162"/>
  <c r="K69" i="162"/>
  <c r="F61" i="162"/>
  <c r="F54" i="162"/>
  <c r="K92" i="162" l="1"/>
  <c r="L91" i="162"/>
  <c r="K91" i="162"/>
  <c r="K90" i="162"/>
  <c r="K89" i="162"/>
  <c r="K88" i="162"/>
  <c r="K87" i="162"/>
  <c r="K86" i="162"/>
  <c r="K81" i="162"/>
  <c r="K80" i="162"/>
  <c r="K79" i="162"/>
  <c r="K78" i="162"/>
  <c r="K68" i="162"/>
  <c r="K67" i="162"/>
  <c r="K66" i="162"/>
  <c r="K65" i="162"/>
  <c r="K64" i="162"/>
  <c r="K63" i="162"/>
  <c r="K62" i="162"/>
  <c r="K61" i="162"/>
  <c r="K60" i="162"/>
  <c r="K59" i="162"/>
  <c r="K58" i="162"/>
  <c r="K57" i="162"/>
  <c r="K56" i="162"/>
  <c r="K55" i="162"/>
  <c r="K54" i="162"/>
  <c r="K53" i="162"/>
  <c r="K52" i="162"/>
  <c r="K51" i="162"/>
  <c r="K50" i="162"/>
  <c r="K49" i="162"/>
  <c r="K48" i="162"/>
  <c r="K47" i="162"/>
  <c r="K46" i="162"/>
  <c r="K45" i="162"/>
  <c r="K44" i="162"/>
  <c r="K43" i="162"/>
  <c r="K42" i="162"/>
  <c r="K41" i="162"/>
  <c r="K40" i="162"/>
  <c r="K39" i="162"/>
  <c r="K38" i="162"/>
  <c r="K37" i="162"/>
  <c r="K32" i="162"/>
  <c r="K31" i="162"/>
  <c r="K30" i="162"/>
  <c r="K29" i="162"/>
  <c r="K28" i="162"/>
  <c r="K27" i="162"/>
  <c r="K26" i="162"/>
  <c r="K25" i="162"/>
  <c r="K24" i="162"/>
  <c r="K23" i="162"/>
  <c r="K22" i="162"/>
  <c r="K21" i="162"/>
  <c r="K20" i="162"/>
  <c r="K19" i="162"/>
  <c r="K18" i="162"/>
  <c r="K17" i="162"/>
  <c r="K16" i="162"/>
  <c r="K15" i="162"/>
  <c r="K14" i="162"/>
  <c r="K13" i="162"/>
  <c r="J93" i="162"/>
  <c r="D94" i="162" s="1"/>
  <c r="K12" i="162"/>
  <c r="K11" i="162"/>
  <c r="K10" i="162"/>
  <c r="K9" i="162"/>
  <c r="K8" i="162"/>
  <c r="L7" i="162"/>
  <c r="K7" i="162"/>
  <c r="K75" i="161"/>
  <c r="K74" i="161"/>
  <c r="K73" i="161"/>
  <c r="K72" i="161"/>
  <c r="K71" i="161"/>
  <c r="K70" i="161"/>
  <c r="K69" i="161"/>
  <c r="K68" i="161"/>
  <c r="L92" i="162" l="1"/>
  <c r="K93" i="162"/>
  <c r="L8" i="162"/>
  <c r="K26" i="159"/>
  <c r="K25" i="159"/>
  <c r="E40" i="161" l="1"/>
  <c r="F16" i="161"/>
  <c r="J13" i="161"/>
  <c r="F9" i="161"/>
  <c r="E9" i="161"/>
  <c r="K9" i="161"/>
  <c r="K53" i="161" l="1"/>
  <c r="K52" i="161"/>
  <c r="K51" i="161"/>
  <c r="K50" i="161"/>
  <c r="K49" i="161"/>
  <c r="K48" i="161"/>
  <c r="K47" i="161"/>
  <c r="K46" i="161"/>
  <c r="K45" i="161"/>
  <c r="K44" i="161"/>
  <c r="K43" i="161"/>
  <c r="K42" i="161"/>
  <c r="K41" i="161"/>
  <c r="J78" i="161"/>
  <c r="D79" i="161" s="1"/>
  <c r="K77" i="161"/>
  <c r="L76" i="161"/>
  <c r="K76" i="161"/>
  <c r="K67" i="161"/>
  <c r="K66" i="161"/>
  <c r="K65" i="161"/>
  <c r="K64" i="161"/>
  <c r="K63" i="161"/>
  <c r="K62" i="161"/>
  <c r="K61" i="161"/>
  <c r="K60" i="161"/>
  <c r="K59" i="161"/>
  <c r="K58" i="161"/>
  <c r="K57" i="161"/>
  <c r="K56" i="161"/>
  <c r="K55" i="161"/>
  <c r="K54" i="161"/>
  <c r="K40" i="161"/>
  <c r="K39" i="161"/>
  <c r="K38" i="161"/>
  <c r="K37" i="161"/>
  <c r="K36" i="161"/>
  <c r="K35" i="161"/>
  <c r="K34" i="161"/>
  <c r="K33" i="161"/>
  <c r="K32" i="161"/>
  <c r="K31" i="161"/>
  <c r="K30" i="161"/>
  <c r="K29" i="161"/>
  <c r="K28" i="161"/>
  <c r="K27" i="161"/>
  <c r="K26" i="161"/>
  <c r="K25" i="161"/>
  <c r="K24" i="161"/>
  <c r="K23" i="161"/>
  <c r="K22" i="161"/>
  <c r="K21" i="161"/>
  <c r="K20" i="161"/>
  <c r="K19" i="161"/>
  <c r="K18" i="161"/>
  <c r="K17" i="161"/>
  <c r="K16" i="161"/>
  <c r="K15" i="161"/>
  <c r="K14" i="161"/>
  <c r="K13" i="161"/>
  <c r="K12" i="161"/>
  <c r="L7" i="161"/>
  <c r="K10" i="161"/>
  <c r="K8" i="161"/>
  <c r="K7" i="161"/>
  <c r="L77" i="161" l="1"/>
  <c r="K11" i="161"/>
  <c r="K78" i="161" s="1"/>
  <c r="J18" i="160"/>
  <c r="K18" i="160" s="1"/>
  <c r="J11" i="160"/>
  <c r="K11" i="160" s="1"/>
  <c r="K22" i="160"/>
  <c r="K21" i="160"/>
  <c r="K20" i="160"/>
  <c r="K19" i="160"/>
  <c r="K17" i="160"/>
  <c r="K16" i="160"/>
  <c r="K15" i="160"/>
  <c r="L8" i="161" l="1"/>
  <c r="J59" i="160"/>
  <c r="D60" i="160" s="1"/>
  <c r="K58" i="160"/>
  <c r="L57" i="160"/>
  <c r="K57" i="160"/>
  <c r="K56" i="160"/>
  <c r="K55" i="160"/>
  <c r="K54" i="160"/>
  <c r="K53" i="160"/>
  <c r="K52" i="160"/>
  <c r="K51" i="160"/>
  <c r="K50" i="160"/>
  <c r="K49" i="160"/>
  <c r="K48" i="160"/>
  <c r="K47" i="160"/>
  <c r="K46" i="160"/>
  <c r="K45" i="160"/>
  <c r="K44" i="160"/>
  <c r="K43" i="160"/>
  <c r="K42" i="160"/>
  <c r="K41" i="160"/>
  <c r="K40" i="160"/>
  <c r="K39" i="160"/>
  <c r="K38" i="160"/>
  <c r="K37" i="160"/>
  <c r="K36" i="160"/>
  <c r="K35" i="160"/>
  <c r="K34" i="160"/>
  <c r="K33" i="160"/>
  <c r="K32" i="160"/>
  <c r="K31" i="160"/>
  <c r="K30" i="160"/>
  <c r="K29" i="160"/>
  <c r="K28" i="160"/>
  <c r="K27" i="160"/>
  <c r="K26" i="160"/>
  <c r="K25" i="160"/>
  <c r="K24" i="160"/>
  <c r="K23" i="160"/>
  <c r="K14" i="160"/>
  <c r="K13" i="160"/>
  <c r="K12" i="160"/>
  <c r="K10" i="160"/>
  <c r="K9" i="160"/>
  <c r="K8" i="160"/>
  <c r="L7" i="160"/>
  <c r="K7" i="160"/>
  <c r="L58" i="160" l="1"/>
  <c r="K59" i="160"/>
  <c r="L8" i="160"/>
  <c r="K72" i="159"/>
  <c r="K71" i="159"/>
  <c r="K70" i="159"/>
  <c r="K69" i="159"/>
  <c r="K68" i="159"/>
  <c r="K67" i="159"/>
  <c r="K61" i="159"/>
  <c r="K64" i="159"/>
  <c r="K31" i="159"/>
  <c r="K30" i="159"/>
  <c r="K29" i="159"/>
  <c r="K28" i="159"/>
  <c r="K27" i="159"/>
  <c r="K34" i="159"/>
  <c r="K33" i="159"/>
  <c r="K32" i="159"/>
  <c r="K24" i="159"/>
  <c r="K23" i="159"/>
  <c r="J80" i="159" l="1"/>
  <c r="D81" i="159" s="1"/>
  <c r="K79" i="159"/>
  <c r="L78" i="159"/>
  <c r="K78" i="159"/>
  <c r="K77" i="159"/>
  <c r="K76" i="159"/>
  <c r="K75" i="159"/>
  <c r="K74" i="159"/>
  <c r="K73" i="159"/>
  <c r="K66" i="159"/>
  <c r="K65" i="159"/>
  <c r="K63" i="159"/>
  <c r="K62" i="159"/>
  <c r="K60" i="159"/>
  <c r="K59" i="159"/>
  <c r="K58" i="159"/>
  <c r="K57" i="159"/>
  <c r="K56" i="159"/>
  <c r="K55" i="159"/>
  <c r="K54" i="159"/>
  <c r="K53" i="159"/>
  <c r="K52" i="159"/>
  <c r="K51" i="159"/>
  <c r="K50" i="159"/>
  <c r="K49" i="159"/>
  <c r="K48" i="159"/>
  <c r="K47" i="159"/>
  <c r="K46" i="159"/>
  <c r="K45" i="159"/>
  <c r="K44" i="159"/>
  <c r="K43" i="159"/>
  <c r="K42" i="159"/>
  <c r="K41" i="159"/>
  <c r="K40" i="159"/>
  <c r="K39" i="159"/>
  <c r="K38" i="159"/>
  <c r="K37" i="159"/>
  <c r="K36" i="159"/>
  <c r="K35" i="159"/>
  <c r="K22" i="159"/>
  <c r="K21" i="159"/>
  <c r="K20" i="159"/>
  <c r="K19" i="159"/>
  <c r="K18" i="159"/>
  <c r="K17" i="159"/>
  <c r="K16" i="159"/>
  <c r="K15" i="159"/>
  <c r="K14" i="159"/>
  <c r="K13" i="159"/>
  <c r="K12" i="159"/>
  <c r="K11" i="159"/>
  <c r="K10" i="159"/>
  <c r="K9" i="159"/>
  <c r="K8" i="159"/>
  <c r="L7" i="159"/>
  <c r="K7" i="159"/>
  <c r="L79" i="159" l="1"/>
  <c r="K80" i="159"/>
  <c r="L8" i="159"/>
  <c r="K35" i="157"/>
  <c r="K36" i="157"/>
  <c r="K37" i="157"/>
  <c r="K38" i="157"/>
  <c r="K39" i="157"/>
  <c r="K40" i="157"/>
  <c r="K41" i="157"/>
  <c r="K42" i="157"/>
  <c r="K43" i="157"/>
  <c r="K44" i="157"/>
  <c r="K45" i="157"/>
  <c r="K46" i="157"/>
  <c r="K47" i="157"/>
  <c r="K48" i="157"/>
  <c r="K49" i="157"/>
  <c r="K50" i="157"/>
  <c r="K51" i="157"/>
  <c r="K52" i="157"/>
  <c r="K53" i="157"/>
  <c r="K54" i="157"/>
  <c r="K55" i="157"/>
  <c r="K56" i="157"/>
  <c r="K57" i="157"/>
  <c r="K58" i="157"/>
  <c r="K59" i="157"/>
  <c r="K60" i="157"/>
  <c r="K61" i="157"/>
  <c r="K62" i="157"/>
  <c r="K63" i="157"/>
  <c r="K64" i="157"/>
  <c r="K65" i="157"/>
  <c r="K66" i="157"/>
  <c r="K67" i="157"/>
  <c r="K68" i="157"/>
  <c r="K69" i="157"/>
  <c r="K70" i="157"/>
  <c r="K71" i="157"/>
  <c r="K32" i="158"/>
  <c r="K33" i="158"/>
  <c r="K34" i="158"/>
  <c r="K35" i="158"/>
  <c r="K36" i="158"/>
  <c r="K37" i="158"/>
  <c r="K38" i="158"/>
  <c r="K39" i="158"/>
  <c r="K40" i="158"/>
  <c r="K41" i="158"/>
  <c r="K42" i="158"/>
  <c r="K43" i="158"/>
  <c r="K44" i="158"/>
  <c r="K45" i="158"/>
  <c r="K46" i="158"/>
  <c r="K47" i="158"/>
  <c r="K48" i="158"/>
  <c r="K49" i="158"/>
  <c r="K50" i="158"/>
  <c r="K51" i="158"/>
  <c r="K52" i="158"/>
  <c r="J74" i="158"/>
  <c r="D75" i="158" s="1"/>
  <c r="K18" i="158"/>
  <c r="F9" i="158"/>
  <c r="E9" i="158"/>
  <c r="K12" i="158"/>
  <c r="K11" i="158"/>
  <c r="K73" i="158"/>
  <c r="L72" i="158"/>
  <c r="K72" i="158"/>
  <c r="K71" i="158"/>
  <c r="K70" i="158"/>
  <c r="K69" i="158"/>
  <c r="K68" i="158"/>
  <c r="K67" i="158"/>
  <c r="K66" i="158"/>
  <c r="K60" i="158"/>
  <c r="K59" i="158"/>
  <c r="K57" i="158"/>
  <c r="K56" i="158"/>
  <c r="K54" i="158"/>
  <c r="K53" i="158"/>
  <c r="K31" i="158"/>
  <c r="K30" i="158"/>
  <c r="K29" i="158"/>
  <c r="K28" i="158"/>
  <c r="K27" i="158"/>
  <c r="K25" i="158"/>
  <c r="K24" i="158"/>
  <c r="K22" i="158"/>
  <c r="K21" i="158"/>
  <c r="K20" i="158"/>
  <c r="K19" i="158"/>
  <c r="K17" i="158"/>
  <c r="K16" i="158"/>
  <c r="K15" i="158"/>
  <c r="K14" i="158"/>
  <c r="K13" i="158"/>
  <c r="K10" i="158"/>
  <c r="K9" i="158"/>
  <c r="K8" i="158"/>
  <c r="L7" i="158"/>
  <c r="K7" i="158"/>
  <c r="K74" i="158" l="1"/>
  <c r="L73" i="158"/>
  <c r="L8" i="158"/>
  <c r="K25" i="157"/>
  <c r="K24" i="157"/>
  <c r="K22" i="157"/>
  <c r="K21" i="157"/>
  <c r="K20" i="157"/>
  <c r="K19" i="157"/>
  <c r="K17" i="157"/>
  <c r="K16" i="157"/>
  <c r="K15" i="157"/>
  <c r="K14" i="157"/>
  <c r="K10" i="157"/>
  <c r="K11" i="157"/>
  <c r="K9" i="157"/>
  <c r="J77" i="157"/>
  <c r="D78" i="157" s="1"/>
  <c r="K76" i="157"/>
  <c r="L75" i="157"/>
  <c r="K75" i="157"/>
  <c r="K74" i="157"/>
  <c r="K73" i="157"/>
  <c r="K72" i="157"/>
  <c r="K34" i="157"/>
  <c r="K33" i="157"/>
  <c r="K32" i="157"/>
  <c r="K31" i="157"/>
  <c r="K30" i="157"/>
  <c r="K13" i="157"/>
  <c r="K12" i="157"/>
  <c r="K8" i="157"/>
  <c r="L7" i="157"/>
  <c r="K7" i="157"/>
  <c r="L76" i="157" l="1"/>
  <c r="L8" i="157"/>
  <c r="K77" i="157"/>
  <c r="K37" i="156"/>
  <c r="K40" i="156"/>
  <c r="K39" i="156"/>
  <c r="K38" i="156"/>
  <c r="K36" i="156"/>
  <c r="K35" i="156"/>
  <c r="K34" i="156"/>
  <c r="K33" i="156"/>
  <c r="K32" i="156"/>
  <c r="K31" i="156"/>
  <c r="J91" i="156" l="1"/>
  <c r="D92" i="156" s="1"/>
  <c r="K90" i="156"/>
  <c r="L89" i="156"/>
  <c r="K89" i="156"/>
  <c r="K88" i="156"/>
  <c r="K87" i="156"/>
  <c r="K86" i="156"/>
  <c r="K85" i="156"/>
  <c r="K84" i="156"/>
  <c r="K83" i="156"/>
  <c r="K82" i="156"/>
  <c r="K81" i="156"/>
  <c r="K80" i="156"/>
  <c r="K79" i="156"/>
  <c r="K78" i="156"/>
  <c r="K77" i="156"/>
  <c r="K76" i="156"/>
  <c r="K75" i="156"/>
  <c r="K74" i="156"/>
  <c r="K73" i="156"/>
  <c r="K72" i="156"/>
  <c r="K71" i="156"/>
  <c r="K70" i="156"/>
  <c r="K69" i="156"/>
  <c r="K68" i="156"/>
  <c r="K67" i="156"/>
  <c r="K66" i="156"/>
  <c r="K65" i="156"/>
  <c r="K64" i="156"/>
  <c r="K63" i="156"/>
  <c r="K62" i="156"/>
  <c r="K61" i="156"/>
  <c r="K60" i="156"/>
  <c r="K59" i="156"/>
  <c r="K58" i="156"/>
  <c r="K57" i="156"/>
  <c r="K56" i="156"/>
  <c r="K55" i="156"/>
  <c r="K54" i="156"/>
  <c r="K53" i="156"/>
  <c r="K52" i="156"/>
  <c r="K51" i="156"/>
  <c r="K50" i="156"/>
  <c r="K49" i="156"/>
  <c r="K48" i="156"/>
  <c r="K47" i="156"/>
  <c r="K46" i="156"/>
  <c r="K45" i="156"/>
  <c r="K44" i="156"/>
  <c r="K43" i="156"/>
  <c r="K42" i="156"/>
  <c r="K41" i="156"/>
  <c r="K30" i="156"/>
  <c r="K29" i="156"/>
  <c r="K28" i="156"/>
  <c r="K27" i="156"/>
  <c r="K26" i="156"/>
  <c r="K25" i="156"/>
  <c r="K24" i="156"/>
  <c r="K23" i="156"/>
  <c r="K22" i="156"/>
  <c r="K21" i="156"/>
  <c r="K20" i="156"/>
  <c r="K19" i="156"/>
  <c r="K18" i="156"/>
  <c r="K17" i="156"/>
  <c r="K16" i="156"/>
  <c r="K15" i="156"/>
  <c r="K14" i="156"/>
  <c r="K13" i="156"/>
  <c r="K12" i="156"/>
  <c r="K11" i="156"/>
  <c r="K10" i="156"/>
  <c r="K9" i="156"/>
  <c r="K8" i="156"/>
  <c r="L7" i="156"/>
  <c r="K7" i="156"/>
  <c r="K91" i="156" l="1"/>
  <c r="L90" i="156"/>
  <c r="L8" i="156"/>
  <c r="K79" i="155" l="1"/>
  <c r="K78" i="155"/>
  <c r="K77" i="155"/>
  <c r="K76" i="155"/>
  <c r="K75" i="155"/>
  <c r="K74" i="155"/>
  <c r="K73" i="155"/>
  <c r="K72" i="155"/>
  <c r="K71" i="155"/>
  <c r="K70" i="155"/>
  <c r="K69" i="155"/>
  <c r="K68" i="155"/>
  <c r="K67" i="155"/>
  <c r="K66" i="155"/>
  <c r="K65" i="155"/>
  <c r="J82" i="155" l="1"/>
  <c r="D83" i="155" s="1"/>
  <c r="K81" i="155"/>
  <c r="L80" i="155"/>
  <c r="K80" i="155"/>
  <c r="K64" i="155"/>
  <c r="K63" i="155"/>
  <c r="K62" i="155"/>
  <c r="K61" i="155"/>
  <c r="K60" i="155"/>
  <c r="K59" i="155"/>
  <c r="K58" i="155"/>
  <c r="K57" i="155"/>
  <c r="K56" i="155"/>
  <c r="K55" i="155"/>
  <c r="K54" i="155"/>
  <c r="K53" i="155"/>
  <c r="K52" i="155"/>
  <c r="K51" i="155"/>
  <c r="K50" i="155"/>
  <c r="K49" i="155"/>
  <c r="K48" i="155"/>
  <c r="K47" i="155"/>
  <c r="K46" i="155"/>
  <c r="K45" i="155"/>
  <c r="K44" i="155"/>
  <c r="K43" i="155"/>
  <c r="K42" i="155"/>
  <c r="K41" i="155"/>
  <c r="K40" i="155"/>
  <c r="K39" i="155"/>
  <c r="K38" i="155"/>
  <c r="K37" i="155"/>
  <c r="K36" i="155"/>
  <c r="K35" i="155"/>
  <c r="K34" i="155"/>
  <c r="K33" i="155"/>
  <c r="K32" i="155"/>
  <c r="K31" i="155"/>
  <c r="K30" i="155"/>
  <c r="K29" i="155"/>
  <c r="K28" i="155"/>
  <c r="K27" i="155"/>
  <c r="K26" i="155"/>
  <c r="K25" i="155"/>
  <c r="K24" i="155"/>
  <c r="K23" i="155"/>
  <c r="K22" i="155"/>
  <c r="K21" i="155"/>
  <c r="K20" i="155"/>
  <c r="K19" i="155"/>
  <c r="K18" i="155"/>
  <c r="K17" i="155"/>
  <c r="K16" i="155"/>
  <c r="K15" i="155"/>
  <c r="K14" i="155"/>
  <c r="K13" i="155"/>
  <c r="K12" i="155"/>
  <c r="K11" i="155"/>
  <c r="K10" i="155"/>
  <c r="K9" i="155"/>
  <c r="K8" i="155"/>
  <c r="L7" i="155"/>
  <c r="K7" i="155"/>
  <c r="L81" i="155" l="1"/>
  <c r="K82" i="155"/>
  <c r="L8" i="155"/>
  <c r="J58" i="154"/>
  <c r="D59" i="154" s="1"/>
  <c r="K51" i="154"/>
  <c r="K50" i="154"/>
  <c r="K49" i="154"/>
  <c r="K48" i="154"/>
  <c r="K47" i="154"/>
  <c r="K46" i="154"/>
  <c r="K45" i="154"/>
  <c r="K44" i="154"/>
  <c r="K21" i="154"/>
  <c r="K20" i="154"/>
  <c r="K19" i="154"/>
  <c r="K18" i="154"/>
  <c r="K17" i="154"/>
  <c r="K16" i="154"/>
  <c r="K15" i="154"/>
  <c r="K14" i="154"/>
  <c r="K57" i="154"/>
  <c r="L56" i="154"/>
  <c r="K56" i="154"/>
  <c r="K55" i="154"/>
  <c r="K54" i="154"/>
  <c r="K53" i="154"/>
  <c r="K52" i="154"/>
  <c r="K43" i="154"/>
  <c r="K42" i="154"/>
  <c r="K41" i="154"/>
  <c r="K40" i="154"/>
  <c r="K39" i="154"/>
  <c r="K38" i="154"/>
  <c r="K37" i="154"/>
  <c r="K36" i="154"/>
  <c r="K35" i="154"/>
  <c r="K34" i="154"/>
  <c r="K33" i="154"/>
  <c r="K32" i="154"/>
  <c r="K31" i="154"/>
  <c r="K30" i="154"/>
  <c r="K29" i="154"/>
  <c r="K28" i="154"/>
  <c r="K27" i="154"/>
  <c r="K26" i="154"/>
  <c r="K25" i="154"/>
  <c r="K24" i="154"/>
  <c r="K23" i="154"/>
  <c r="K22" i="154"/>
  <c r="K13" i="154"/>
  <c r="K12" i="154"/>
  <c r="K11" i="154"/>
  <c r="K10" i="154"/>
  <c r="K9" i="154"/>
  <c r="K8" i="154"/>
  <c r="L7" i="154"/>
  <c r="K7" i="154"/>
  <c r="K58" i="154" l="1"/>
  <c r="L57" i="154"/>
  <c r="L8" i="154"/>
  <c r="K28" i="153"/>
  <c r="K27" i="153"/>
  <c r="K26" i="153"/>
  <c r="K10" i="153"/>
  <c r="K9" i="153"/>
  <c r="K16" i="146" l="1"/>
  <c r="J56" i="153" l="1"/>
  <c r="D57" i="153" s="1"/>
  <c r="K55" i="153"/>
  <c r="L54" i="153"/>
  <c r="K54" i="153"/>
  <c r="K53" i="153"/>
  <c r="K52" i="153"/>
  <c r="K51" i="153"/>
  <c r="K50" i="153"/>
  <c r="K49" i="153"/>
  <c r="K48" i="153"/>
  <c r="K47" i="153"/>
  <c r="K46" i="153"/>
  <c r="K45" i="153"/>
  <c r="K44" i="153"/>
  <c r="K43" i="153"/>
  <c r="K42" i="153"/>
  <c r="K41" i="153"/>
  <c r="K40" i="153"/>
  <c r="K39" i="153"/>
  <c r="K38" i="153"/>
  <c r="K37" i="153"/>
  <c r="K36" i="153"/>
  <c r="K35" i="153"/>
  <c r="K34" i="153"/>
  <c r="K33" i="153"/>
  <c r="K32" i="153"/>
  <c r="K31" i="153"/>
  <c r="K30" i="153"/>
  <c r="K29" i="153"/>
  <c r="K25" i="153"/>
  <c r="K24" i="153"/>
  <c r="K23" i="153"/>
  <c r="K22" i="153"/>
  <c r="K21" i="153"/>
  <c r="K20" i="153"/>
  <c r="K19" i="153"/>
  <c r="K18" i="153"/>
  <c r="K17" i="153"/>
  <c r="K16" i="153"/>
  <c r="K15" i="153"/>
  <c r="K14" i="153"/>
  <c r="K13" i="153"/>
  <c r="K12" i="153"/>
  <c r="K11" i="153"/>
  <c r="K8" i="153"/>
  <c r="L7" i="153"/>
  <c r="K7" i="153"/>
  <c r="L55" i="153" l="1"/>
  <c r="L8" i="153"/>
  <c r="K56" i="153"/>
  <c r="K14" i="152" l="1"/>
  <c r="K13" i="152"/>
  <c r="K12" i="152"/>
  <c r="J54" i="152" l="1"/>
  <c r="D55" i="152" s="1"/>
  <c r="K53" i="152"/>
  <c r="L52" i="152"/>
  <c r="K52" i="152"/>
  <c r="K51" i="152"/>
  <c r="K50" i="152"/>
  <c r="K49" i="152"/>
  <c r="K48" i="152"/>
  <c r="K47" i="152"/>
  <c r="K46" i="152"/>
  <c r="K45" i="152"/>
  <c r="K44" i="152"/>
  <c r="K43" i="152"/>
  <c r="K42" i="152"/>
  <c r="K41" i="152"/>
  <c r="K40" i="152"/>
  <c r="K39" i="152"/>
  <c r="K38" i="152"/>
  <c r="K37" i="152"/>
  <c r="K36" i="152"/>
  <c r="K35" i="152"/>
  <c r="K34" i="152"/>
  <c r="K33" i="152"/>
  <c r="K32" i="152"/>
  <c r="K31" i="152"/>
  <c r="K30" i="152"/>
  <c r="K29" i="152"/>
  <c r="K28" i="152"/>
  <c r="K27" i="152"/>
  <c r="K26" i="152"/>
  <c r="K25" i="152"/>
  <c r="K24" i="152"/>
  <c r="K23" i="152"/>
  <c r="K22" i="152"/>
  <c r="K21" i="152"/>
  <c r="K20" i="152"/>
  <c r="K19" i="152"/>
  <c r="K18" i="152"/>
  <c r="K17" i="152"/>
  <c r="K16" i="152"/>
  <c r="K15" i="152"/>
  <c r="K11" i="152"/>
  <c r="K10" i="152"/>
  <c r="K9" i="152"/>
  <c r="K8" i="152"/>
  <c r="L7" i="152"/>
  <c r="K7" i="152"/>
  <c r="K54" i="152" l="1"/>
  <c r="L53" i="152"/>
  <c r="L8" i="152"/>
  <c r="K37" i="151"/>
  <c r="K15" i="151"/>
  <c r="K30" i="149"/>
  <c r="K22" i="151"/>
  <c r="K21" i="151"/>
  <c r="K20" i="151"/>
  <c r="K19" i="151"/>
  <c r="K18" i="151"/>
  <c r="K17" i="151"/>
  <c r="K16" i="151"/>
  <c r="K14" i="151"/>
  <c r="J70" i="151" l="1"/>
  <c r="D71" i="151" s="1"/>
  <c r="K69" i="151"/>
  <c r="L68" i="151"/>
  <c r="K68" i="151"/>
  <c r="K67" i="151"/>
  <c r="K66" i="151"/>
  <c r="K65" i="151"/>
  <c r="K64" i="151"/>
  <c r="K63" i="151"/>
  <c r="K62" i="151"/>
  <c r="K61" i="151"/>
  <c r="K60" i="151"/>
  <c r="K59" i="151"/>
  <c r="K58" i="151"/>
  <c r="K57" i="151"/>
  <c r="K56" i="151"/>
  <c r="K55" i="151"/>
  <c r="K54" i="151"/>
  <c r="K53" i="151"/>
  <c r="K52" i="151"/>
  <c r="K51" i="151"/>
  <c r="K50" i="151"/>
  <c r="K49" i="151"/>
  <c r="K48" i="151"/>
  <c r="K47" i="151"/>
  <c r="K46" i="151"/>
  <c r="K45" i="151"/>
  <c r="K44" i="151"/>
  <c r="K43" i="151"/>
  <c r="K42" i="151"/>
  <c r="K41" i="151"/>
  <c r="K40" i="151"/>
  <c r="K39" i="151"/>
  <c r="K38" i="151"/>
  <c r="K36" i="151"/>
  <c r="K35" i="151"/>
  <c r="K34" i="151"/>
  <c r="K33" i="151"/>
  <c r="K32" i="151"/>
  <c r="K31" i="151"/>
  <c r="K30" i="151"/>
  <c r="K29" i="151"/>
  <c r="K28" i="151"/>
  <c r="K27" i="151"/>
  <c r="K26" i="151"/>
  <c r="K25" i="151"/>
  <c r="K24" i="151"/>
  <c r="K23" i="151"/>
  <c r="K13" i="151"/>
  <c r="K12" i="151"/>
  <c r="K11" i="151"/>
  <c r="K10" i="151"/>
  <c r="K9" i="151"/>
  <c r="K8" i="151"/>
  <c r="L7" i="151"/>
  <c r="K7" i="151"/>
  <c r="L69" i="151" l="1"/>
  <c r="L8" i="151"/>
  <c r="K70" i="151"/>
  <c r="K50" i="150"/>
  <c r="K49" i="150"/>
  <c r="K43" i="150" l="1"/>
  <c r="K16" i="150"/>
  <c r="K15" i="150"/>
  <c r="K18" i="150"/>
  <c r="K17" i="150"/>
  <c r="K12" i="150"/>
  <c r="K11" i="150"/>
  <c r="K31" i="148" l="1"/>
  <c r="K30" i="148"/>
  <c r="K29" i="148"/>
  <c r="K28" i="148"/>
  <c r="K27" i="148"/>
  <c r="J71" i="150"/>
  <c r="D72" i="150" s="1"/>
  <c r="K70" i="150"/>
  <c r="L69" i="150"/>
  <c r="K69" i="150"/>
  <c r="K68" i="150"/>
  <c r="K67" i="150"/>
  <c r="K66" i="150"/>
  <c r="K65" i="150"/>
  <c r="K64" i="150"/>
  <c r="K63" i="150"/>
  <c r="K62" i="150"/>
  <c r="K61" i="150"/>
  <c r="K60" i="150"/>
  <c r="K59" i="150"/>
  <c r="K58" i="150"/>
  <c r="K57" i="150"/>
  <c r="K56" i="150"/>
  <c r="K55" i="150"/>
  <c r="K54" i="150"/>
  <c r="K53" i="150"/>
  <c r="K52" i="150"/>
  <c r="K51" i="150"/>
  <c r="K48" i="150"/>
  <c r="K47" i="150"/>
  <c r="K46" i="150"/>
  <c r="K45" i="150"/>
  <c r="K44" i="150"/>
  <c r="K42" i="150"/>
  <c r="K41" i="150"/>
  <c r="K40" i="150"/>
  <c r="K39" i="150"/>
  <c r="K38" i="150"/>
  <c r="K37" i="150"/>
  <c r="K36" i="150"/>
  <c r="K35" i="150"/>
  <c r="K34" i="150"/>
  <c r="K33" i="150"/>
  <c r="K32" i="150"/>
  <c r="K31" i="150"/>
  <c r="K30" i="150"/>
  <c r="K29" i="150"/>
  <c r="K28" i="150"/>
  <c r="K27" i="150"/>
  <c r="K26" i="150"/>
  <c r="K25" i="150"/>
  <c r="K24" i="150"/>
  <c r="K23" i="150"/>
  <c r="K22" i="150"/>
  <c r="K21" i="150"/>
  <c r="K20" i="150"/>
  <c r="K19" i="150"/>
  <c r="K14" i="150"/>
  <c r="K13" i="150"/>
  <c r="K10" i="150"/>
  <c r="K9" i="150"/>
  <c r="K8" i="150"/>
  <c r="L7" i="150"/>
  <c r="K7" i="150"/>
  <c r="K71" i="150" l="1"/>
  <c r="L70" i="150"/>
  <c r="L8" i="150"/>
  <c r="L7" i="148"/>
  <c r="J79" i="149" l="1"/>
  <c r="D80" i="149" s="1"/>
  <c r="K78" i="149"/>
  <c r="L77" i="149"/>
  <c r="K77" i="149"/>
  <c r="K76" i="149"/>
  <c r="K75" i="149"/>
  <c r="K74" i="149"/>
  <c r="K73" i="149"/>
  <c r="K72" i="149"/>
  <c r="K71" i="149"/>
  <c r="K70" i="149"/>
  <c r="K69" i="149"/>
  <c r="K68" i="149"/>
  <c r="K67" i="149"/>
  <c r="K66" i="149"/>
  <c r="K65" i="149"/>
  <c r="K64" i="149"/>
  <c r="K63" i="149"/>
  <c r="K62" i="149"/>
  <c r="K61" i="149"/>
  <c r="K60" i="149"/>
  <c r="K59" i="149"/>
  <c r="K58" i="149"/>
  <c r="K57" i="149"/>
  <c r="K56" i="149"/>
  <c r="K55" i="149"/>
  <c r="K52" i="149"/>
  <c r="K51" i="149"/>
  <c r="K50" i="149"/>
  <c r="K49" i="149"/>
  <c r="K48" i="149"/>
  <c r="K46" i="149"/>
  <c r="K45" i="149"/>
  <c r="K44" i="149"/>
  <c r="K43" i="149"/>
  <c r="K42" i="149"/>
  <c r="K41" i="149"/>
  <c r="K40" i="149"/>
  <c r="K39" i="149"/>
  <c r="K38" i="149"/>
  <c r="K37" i="149"/>
  <c r="K36" i="149"/>
  <c r="K35" i="149"/>
  <c r="K34" i="149"/>
  <c r="K33" i="149"/>
  <c r="K32" i="149"/>
  <c r="K31" i="149"/>
  <c r="K29" i="149"/>
  <c r="K28" i="149"/>
  <c r="K27" i="149"/>
  <c r="K26" i="149"/>
  <c r="K25" i="149"/>
  <c r="K24" i="149"/>
  <c r="K23" i="149"/>
  <c r="K22" i="149"/>
  <c r="K21" i="149"/>
  <c r="K20" i="149"/>
  <c r="K19" i="149"/>
  <c r="K18" i="149"/>
  <c r="K17" i="149"/>
  <c r="K16" i="149"/>
  <c r="K15" i="149"/>
  <c r="K14" i="149"/>
  <c r="K13" i="149"/>
  <c r="K12" i="149"/>
  <c r="K11" i="149"/>
  <c r="K10" i="149"/>
  <c r="K9" i="149"/>
  <c r="K8" i="149"/>
  <c r="L7" i="149"/>
  <c r="K7" i="149"/>
  <c r="K66" i="148"/>
  <c r="K67" i="148"/>
  <c r="K79" i="149" l="1"/>
  <c r="L78" i="149"/>
  <c r="L8" i="149"/>
  <c r="K20" i="148"/>
  <c r="J73" i="148" l="1"/>
  <c r="D74" i="148" s="1"/>
  <c r="K72" i="148"/>
  <c r="L71" i="148"/>
  <c r="K71" i="148"/>
  <c r="K70" i="148"/>
  <c r="K69" i="148"/>
  <c r="K68" i="148"/>
  <c r="K65" i="148"/>
  <c r="K64" i="148"/>
  <c r="K63" i="148"/>
  <c r="K62" i="148"/>
  <c r="K61" i="148"/>
  <c r="K60" i="148"/>
  <c r="K59" i="148"/>
  <c r="K58" i="148"/>
  <c r="K57" i="148"/>
  <c r="K56" i="148"/>
  <c r="K55" i="148"/>
  <c r="K54" i="148"/>
  <c r="K53" i="148"/>
  <c r="K52" i="148"/>
  <c r="K51" i="148"/>
  <c r="K50" i="148"/>
  <c r="K49" i="148"/>
  <c r="K48" i="148"/>
  <c r="K47" i="148"/>
  <c r="K46" i="148"/>
  <c r="K45" i="148"/>
  <c r="K44" i="148"/>
  <c r="K43" i="148"/>
  <c r="K42" i="148"/>
  <c r="K41" i="148"/>
  <c r="K40" i="148"/>
  <c r="K39" i="148"/>
  <c r="K38" i="148"/>
  <c r="K37" i="148"/>
  <c r="K36" i="148"/>
  <c r="K35" i="148"/>
  <c r="K34" i="148"/>
  <c r="K33" i="148"/>
  <c r="K32" i="148"/>
  <c r="K26" i="148"/>
  <c r="K25" i="148"/>
  <c r="K24" i="148"/>
  <c r="K23" i="148"/>
  <c r="K22" i="148"/>
  <c r="K21" i="148"/>
  <c r="K19" i="148"/>
  <c r="K18" i="148"/>
  <c r="K17" i="148"/>
  <c r="K16" i="148"/>
  <c r="K15" i="148"/>
  <c r="K14" i="148"/>
  <c r="K13" i="148"/>
  <c r="K12" i="148"/>
  <c r="K11" i="148"/>
  <c r="K10" i="148"/>
  <c r="K9" i="148"/>
  <c r="K8" i="148"/>
  <c r="K7" i="148"/>
  <c r="L72" i="148" l="1"/>
  <c r="L8" i="148"/>
  <c r="K73" i="148"/>
  <c r="F32" i="144" l="1"/>
  <c r="F51" i="147"/>
  <c r="K51" i="147"/>
  <c r="K61" i="147"/>
  <c r="K60" i="147"/>
  <c r="K59" i="147"/>
  <c r="K58" i="147"/>
  <c r="K57" i="147"/>
  <c r="K56" i="147"/>
  <c r="K55" i="147"/>
  <c r="K54" i="147"/>
  <c r="K53" i="147"/>
  <c r="K52" i="147"/>
  <c r="E32" i="147"/>
  <c r="K32" i="147"/>
  <c r="K32" i="144" l="1"/>
  <c r="K33" i="144"/>
  <c r="K21" i="143" l="1"/>
  <c r="K22" i="143"/>
  <c r="K23" i="143"/>
  <c r="K24" i="143"/>
  <c r="K25" i="143"/>
  <c r="K26" i="143"/>
  <c r="J112" i="147"/>
  <c r="D113" i="147" s="1"/>
  <c r="K111" i="147"/>
  <c r="L110" i="147"/>
  <c r="K110" i="147"/>
  <c r="K109" i="147"/>
  <c r="K108" i="147"/>
  <c r="K107" i="147"/>
  <c r="K106" i="147"/>
  <c r="K105" i="147"/>
  <c r="K104" i="147"/>
  <c r="K103" i="147"/>
  <c r="K102" i="147"/>
  <c r="K101" i="147"/>
  <c r="K100" i="147"/>
  <c r="K99" i="147"/>
  <c r="K98" i="147"/>
  <c r="K97" i="147"/>
  <c r="K96" i="147"/>
  <c r="K95" i="147"/>
  <c r="K94" i="147"/>
  <c r="K93" i="147"/>
  <c r="K92" i="147"/>
  <c r="K91" i="147"/>
  <c r="K90" i="147"/>
  <c r="K89" i="147"/>
  <c r="K88" i="147"/>
  <c r="K87" i="147"/>
  <c r="K86" i="147"/>
  <c r="K85" i="147"/>
  <c r="K84" i="147"/>
  <c r="K83" i="147"/>
  <c r="K82" i="147"/>
  <c r="K81" i="147"/>
  <c r="K80" i="147"/>
  <c r="K79" i="147"/>
  <c r="K78" i="147"/>
  <c r="K77" i="147"/>
  <c r="K76" i="147"/>
  <c r="K75" i="147"/>
  <c r="K74" i="147"/>
  <c r="K73" i="147"/>
  <c r="K72" i="147"/>
  <c r="K71" i="147"/>
  <c r="K70" i="147"/>
  <c r="K69" i="147"/>
  <c r="K68" i="147"/>
  <c r="K67" i="147"/>
  <c r="K66" i="147"/>
  <c r="K65" i="147"/>
  <c r="K64" i="147"/>
  <c r="K63" i="147"/>
  <c r="K62" i="147"/>
  <c r="K50" i="147"/>
  <c r="K49" i="147"/>
  <c r="K48" i="147"/>
  <c r="K47" i="147"/>
  <c r="K46" i="147"/>
  <c r="K45" i="147"/>
  <c r="K44" i="147"/>
  <c r="K43" i="147"/>
  <c r="K42" i="147"/>
  <c r="K41" i="147"/>
  <c r="K40" i="147"/>
  <c r="K39" i="147"/>
  <c r="K38" i="147"/>
  <c r="K37" i="147"/>
  <c r="K36" i="147"/>
  <c r="K35" i="147"/>
  <c r="K34" i="147"/>
  <c r="K33" i="147"/>
  <c r="K31" i="147"/>
  <c r="K30" i="147"/>
  <c r="K29" i="147"/>
  <c r="K28" i="147"/>
  <c r="K27" i="147"/>
  <c r="K26" i="147"/>
  <c r="K25" i="147"/>
  <c r="K24" i="147"/>
  <c r="K23" i="147"/>
  <c r="K22" i="147"/>
  <c r="K21" i="147"/>
  <c r="K20" i="147"/>
  <c r="K19" i="147"/>
  <c r="K18" i="147"/>
  <c r="K17" i="147"/>
  <c r="K16" i="147"/>
  <c r="K15" i="147"/>
  <c r="K14" i="147"/>
  <c r="K13" i="147"/>
  <c r="K12" i="147"/>
  <c r="K11" i="147"/>
  <c r="K10" i="147"/>
  <c r="K9" i="147"/>
  <c r="K8" i="147"/>
  <c r="L7" i="147"/>
  <c r="K7" i="147"/>
  <c r="K112" i="147" l="1"/>
  <c r="L8" i="147"/>
  <c r="L111" i="147"/>
  <c r="F25" i="146" l="1"/>
  <c r="E25" i="146"/>
  <c r="F43" i="145"/>
  <c r="E43" i="145"/>
  <c r="K94" i="145"/>
  <c r="K93" i="145"/>
  <c r="K92" i="145"/>
  <c r="K90" i="145"/>
  <c r="K89" i="145"/>
  <c r="K88" i="145"/>
  <c r="K36" i="146"/>
  <c r="K34" i="146"/>
  <c r="J68" i="146"/>
  <c r="D69" i="146" s="1"/>
  <c r="K67" i="146"/>
  <c r="L66" i="146"/>
  <c r="K66" i="146"/>
  <c r="K65" i="146"/>
  <c r="K64" i="146"/>
  <c r="K63" i="146"/>
  <c r="K62" i="146"/>
  <c r="K61" i="146"/>
  <c r="K60" i="146"/>
  <c r="K59" i="146"/>
  <c r="K58" i="146"/>
  <c r="K57" i="146"/>
  <c r="K56" i="146"/>
  <c r="K55" i="146"/>
  <c r="K54" i="146"/>
  <c r="K53" i="146"/>
  <c r="K52" i="146"/>
  <c r="K51" i="146"/>
  <c r="K50" i="146"/>
  <c r="K49" i="146"/>
  <c r="K48" i="146"/>
  <c r="K47" i="146"/>
  <c r="K46" i="146"/>
  <c r="K45" i="146"/>
  <c r="K44" i="146"/>
  <c r="K43" i="146"/>
  <c r="K42" i="146"/>
  <c r="K41" i="146"/>
  <c r="K40" i="146"/>
  <c r="K39" i="146"/>
  <c r="K38" i="146"/>
  <c r="K37" i="146"/>
  <c r="K35" i="146"/>
  <c r="K33" i="146"/>
  <c r="K32" i="146"/>
  <c r="K31" i="146"/>
  <c r="K30" i="146"/>
  <c r="K29" i="146"/>
  <c r="K28" i="146"/>
  <c r="K27" i="146"/>
  <c r="K26" i="146"/>
  <c r="K25" i="146"/>
  <c r="K24" i="146"/>
  <c r="K23" i="146"/>
  <c r="K22" i="146"/>
  <c r="K21" i="146"/>
  <c r="K20" i="146"/>
  <c r="K19" i="146"/>
  <c r="K18" i="146"/>
  <c r="K17" i="146"/>
  <c r="K15" i="146"/>
  <c r="K14" i="146"/>
  <c r="K13" i="146"/>
  <c r="K12" i="146"/>
  <c r="K11" i="146"/>
  <c r="K10" i="146"/>
  <c r="K9" i="146"/>
  <c r="K8" i="146"/>
  <c r="L7" i="146"/>
  <c r="K7" i="146"/>
  <c r="L67" i="146" l="1"/>
  <c r="K68" i="146"/>
  <c r="L8" i="146"/>
  <c r="K49" i="145"/>
  <c r="K48" i="145"/>
  <c r="K47" i="145"/>
  <c r="K46" i="145"/>
  <c r="K45" i="145"/>
  <c r="K44" i="145"/>
  <c r="K43" i="145"/>
  <c r="K42" i="145"/>
  <c r="K25" i="145"/>
  <c r="F12" i="145"/>
  <c r="J107" i="145" l="1"/>
  <c r="D108" i="145" s="1"/>
  <c r="K106" i="145"/>
  <c r="L105" i="145"/>
  <c r="K105" i="145"/>
  <c r="K104" i="145"/>
  <c r="K103" i="145"/>
  <c r="K102" i="145"/>
  <c r="K101" i="145"/>
  <c r="K100" i="145"/>
  <c r="K99" i="145"/>
  <c r="K98" i="145"/>
  <c r="K97" i="145"/>
  <c r="K96" i="145"/>
  <c r="K95" i="145"/>
  <c r="K91" i="145"/>
  <c r="K87" i="145"/>
  <c r="K86" i="145"/>
  <c r="K85" i="145"/>
  <c r="K84" i="145"/>
  <c r="K83" i="145"/>
  <c r="K82" i="145"/>
  <c r="K81" i="145"/>
  <c r="K80" i="145"/>
  <c r="K79" i="145"/>
  <c r="K78" i="145"/>
  <c r="K77" i="145"/>
  <c r="K76" i="145"/>
  <c r="K75" i="145"/>
  <c r="K74" i="145"/>
  <c r="K73" i="145"/>
  <c r="K72" i="145"/>
  <c r="K71" i="145"/>
  <c r="K70" i="145"/>
  <c r="K69" i="145"/>
  <c r="K68" i="145"/>
  <c r="K67" i="145"/>
  <c r="K66" i="145"/>
  <c r="K65" i="145"/>
  <c r="K64" i="145"/>
  <c r="K63" i="145"/>
  <c r="K62" i="145"/>
  <c r="K61" i="145"/>
  <c r="K60" i="145"/>
  <c r="K59" i="145"/>
  <c r="K58" i="145"/>
  <c r="K57" i="145"/>
  <c r="K56" i="145"/>
  <c r="K55" i="145"/>
  <c r="K54" i="145"/>
  <c r="K53" i="145"/>
  <c r="K52" i="145"/>
  <c r="K51" i="145"/>
  <c r="K50" i="145"/>
  <c r="K41" i="145"/>
  <c r="K40" i="145"/>
  <c r="K39" i="145"/>
  <c r="K38" i="145"/>
  <c r="K37" i="145"/>
  <c r="K36" i="145"/>
  <c r="K35" i="145"/>
  <c r="K34" i="145"/>
  <c r="K33" i="145"/>
  <c r="K32" i="145"/>
  <c r="K31" i="145"/>
  <c r="K30" i="145"/>
  <c r="K29" i="145"/>
  <c r="K28" i="145"/>
  <c r="K27" i="145"/>
  <c r="K26" i="145"/>
  <c r="K24" i="145"/>
  <c r="K23" i="145"/>
  <c r="K22" i="145"/>
  <c r="K21" i="145"/>
  <c r="K20" i="145"/>
  <c r="K19" i="145"/>
  <c r="K18" i="145"/>
  <c r="K17" i="145"/>
  <c r="K16" i="145"/>
  <c r="K15" i="145"/>
  <c r="K14" i="145"/>
  <c r="K13" i="145"/>
  <c r="K12" i="145"/>
  <c r="K11" i="145"/>
  <c r="K10" i="145"/>
  <c r="K9" i="145"/>
  <c r="K8" i="145"/>
  <c r="L7" i="145"/>
  <c r="K7" i="145"/>
  <c r="K49" i="144"/>
  <c r="L106" i="145" l="1"/>
  <c r="L8" i="145"/>
  <c r="K107" i="145"/>
  <c r="K45" i="144"/>
  <c r="K44" i="144"/>
  <c r="K43" i="144"/>
  <c r="K42" i="144"/>
  <c r="K41" i="144"/>
  <c r="K40" i="144"/>
  <c r="K39" i="144"/>
  <c r="K38" i="144"/>
  <c r="K37" i="144"/>
  <c r="K36" i="144"/>
  <c r="K35" i="144"/>
  <c r="F15" i="144"/>
  <c r="J102" i="144" l="1"/>
  <c r="D103" i="144" s="1"/>
  <c r="K101" i="144"/>
  <c r="L100" i="144"/>
  <c r="K100" i="144"/>
  <c r="K99" i="144"/>
  <c r="K98" i="144"/>
  <c r="K97" i="144"/>
  <c r="K96" i="144"/>
  <c r="K95" i="144"/>
  <c r="K94" i="144"/>
  <c r="K93" i="144"/>
  <c r="K92" i="144"/>
  <c r="K91" i="144"/>
  <c r="K90" i="144"/>
  <c r="K89" i="144"/>
  <c r="K88" i="144"/>
  <c r="K87" i="144"/>
  <c r="K86" i="144"/>
  <c r="K85" i="144"/>
  <c r="K84" i="144"/>
  <c r="K83" i="144"/>
  <c r="K82" i="144"/>
  <c r="K81" i="144"/>
  <c r="K80" i="144"/>
  <c r="K79" i="144"/>
  <c r="K78" i="144"/>
  <c r="K77" i="144"/>
  <c r="K76" i="144"/>
  <c r="K75" i="144"/>
  <c r="K74" i="144"/>
  <c r="K73" i="144"/>
  <c r="K72" i="144"/>
  <c r="K71" i="144"/>
  <c r="K70" i="144"/>
  <c r="K69" i="144"/>
  <c r="K68" i="144"/>
  <c r="K67" i="144"/>
  <c r="K66" i="144"/>
  <c r="K65" i="144"/>
  <c r="K64" i="144"/>
  <c r="K63" i="144"/>
  <c r="K62" i="144"/>
  <c r="K61" i="144"/>
  <c r="K60" i="144"/>
  <c r="K59" i="144"/>
  <c r="K58" i="144"/>
  <c r="K57" i="144"/>
  <c r="K56" i="144"/>
  <c r="K55" i="144"/>
  <c r="K54" i="144"/>
  <c r="K53" i="144"/>
  <c r="K52" i="144"/>
  <c r="K51" i="144"/>
  <c r="K50" i="144"/>
  <c r="K48" i="144"/>
  <c r="K47" i="144"/>
  <c r="K46" i="144"/>
  <c r="K34" i="144"/>
  <c r="K31" i="144"/>
  <c r="K30" i="144"/>
  <c r="K29" i="144"/>
  <c r="K28" i="144"/>
  <c r="K27" i="144"/>
  <c r="K26" i="144"/>
  <c r="K24" i="144"/>
  <c r="K23" i="144"/>
  <c r="K22" i="144"/>
  <c r="K21" i="144"/>
  <c r="K20" i="144"/>
  <c r="K19" i="144"/>
  <c r="K18" i="144"/>
  <c r="K17" i="144"/>
  <c r="K16" i="144"/>
  <c r="K15" i="144"/>
  <c r="K14" i="144"/>
  <c r="K13" i="144"/>
  <c r="K12" i="144"/>
  <c r="K11" i="144"/>
  <c r="K10" i="144"/>
  <c r="K9" i="144"/>
  <c r="K8" i="144"/>
  <c r="L7" i="144"/>
  <c r="K7" i="144"/>
  <c r="K95" i="143"/>
  <c r="K94" i="143"/>
  <c r="K93" i="143"/>
  <c r="K92" i="143"/>
  <c r="K91" i="143"/>
  <c r="K90" i="143"/>
  <c r="K89" i="143"/>
  <c r="K88" i="143"/>
  <c r="K87" i="143"/>
  <c r="K102" i="144" l="1"/>
  <c r="L101" i="144"/>
  <c r="L8" i="144"/>
  <c r="K96" i="143"/>
  <c r="K86" i="143"/>
  <c r="K85" i="143"/>
  <c r="K84" i="143"/>
  <c r="K83" i="143"/>
  <c r="K82" i="143"/>
  <c r="K81" i="143"/>
  <c r="K80" i="143"/>
  <c r="K79" i="143"/>
  <c r="K78" i="143"/>
  <c r="K77" i="143"/>
  <c r="K76" i="143"/>
  <c r="K75" i="143"/>
  <c r="K74" i="143"/>
  <c r="K73" i="143"/>
  <c r="L99" i="143"/>
  <c r="E15" i="143"/>
  <c r="J101" i="143" l="1"/>
  <c r="D102" i="143" s="1"/>
  <c r="K100" i="143"/>
  <c r="K99" i="143"/>
  <c r="K98" i="143"/>
  <c r="K97" i="143"/>
  <c r="K72" i="143"/>
  <c r="K71" i="143"/>
  <c r="K70" i="143"/>
  <c r="K69" i="143"/>
  <c r="K68" i="143"/>
  <c r="K67" i="143"/>
  <c r="K66" i="143"/>
  <c r="K65" i="143"/>
  <c r="K64" i="143"/>
  <c r="K63" i="143"/>
  <c r="K62" i="143"/>
  <c r="K61" i="143"/>
  <c r="K60" i="143"/>
  <c r="K59" i="143"/>
  <c r="K58" i="143"/>
  <c r="K57" i="143"/>
  <c r="K56" i="143"/>
  <c r="K55" i="143"/>
  <c r="K54" i="143"/>
  <c r="K53" i="143"/>
  <c r="K52" i="143"/>
  <c r="K51" i="143"/>
  <c r="K50" i="143"/>
  <c r="K49" i="143"/>
  <c r="K48" i="143"/>
  <c r="K47" i="143"/>
  <c r="K46" i="143"/>
  <c r="K45" i="143"/>
  <c r="K44" i="143"/>
  <c r="K43" i="143"/>
  <c r="K42" i="143"/>
  <c r="K41" i="143"/>
  <c r="K40" i="143"/>
  <c r="K39" i="143"/>
  <c r="K38" i="143"/>
  <c r="K37" i="143"/>
  <c r="K36" i="143"/>
  <c r="K35" i="143"/>
  <c r="K34" i="143"/>
  <c r="K33" i="143"/>
  <c r="K32" i="143"/>
  <c r="K31" i="143"/>
  <c r="K30" i="143"/>
  <c r="K29" i="143"/>
  <c r="K28" i="143"/>
  <c r="K27" i="143"/>
  <c r="K20" i="143"/>
  <c r="K19" i="143"/>
  <c r="K18" i="143"/>
  <c r="K17" i="143"/>
  <c r="K16" i="143"/>
  <c r="K15" i="143"/>
  <c r="K14" i="143"/>
  <c r="K13" i="143"/>
  <c r="K12" i="143"/>
  <c r="K11" i="143"/>
  <c r="K10" i="143"/>
  <c r="K9" i="143"/>
  <c r="K8" i="143"/>
  <c r="L7" i="143"/>
  <c r="K7" i="143"/>
  <c r="L8" i="143" l="1"/>
  <c r="L100" i="143"/>
  <c r="K101" i="143"/>
  <c r="J66" i="142"/>
  <c r="D67" i="142" s="1"/>
  <c r="K65" i="142"/>
  <c r="L64" i="142"/>
  <c r="K64" i="142"/>
  <c r="K63" i="142"/>
  <c r="K62" i="142"/>
  <c r="K61" i="142"/>
  <c r="K60" i="142"/>
  <c r="K59" i="142"/>
  <c r="K58" i="142"/>
  <c r="K57" i="142"/>
  <c r="K56" i="142"/>
  <c r="K55" i="142"/>
  <c r="K54" i="142"/>
  <c r="K53" i="142"/>
  <c r="K52" i="142"/>
  <c r="K51" i="142"/>
  <c r="K50" i="142"/>
  <c r="K49" i="142"/>
  <c r="K48" i="142"/>
  <c r="K47" i="142"/>
  <c r="K46" i="142"/>
  <c r="K45" i="142"/>
  <c r="K44" i="142"/>
  <c r="K43" i="142"/>
  <c r="K42" i="142"/>
  <c r="K41" i="142"/>
  <c r="K40" i="142"/>
  <c r="K39" i="142"/>
  <c r="K38" i="142"/>
  <c r="K37" i="142"/>
  <c r="K36" i="142"/>
  <c r="K35" i="142"/>
  <c r="K34" i="142"/>
  <c r="K33" i="142"/>
  <c r="K32" i="142"/>
  <c r="K31" i="142"/>
  <c r="K30" i="142"/>
  <c r="K29" i="142"/>
  <c r="K28" i="142"/>
  <c r="K27" i="142"/>
  <c r="K26" i="142"/>
  <c r="K25" i="142"/>
  <c r="K24" i="142"/>
  <c r="K23" i="142"/>
  <c r="K22" i="142"/>
  <c r="K21" i="142"/>
  <c r="K20" i="142"/>
  <c r="K19" i="142"/>
  <c r="K18" i="142"/>
  <c r="K17" i="142"/>
  <c r="K16" i="142"/>
  <c r="K15" i="142"/>
  <c r="K14" i="142"/>
  <c r="K13" i="142"/>
  <c r="K12" i="142"/>
  <c r="K11" i="142"/>
  <c r="K10" i="142"/>
  <c r="K9" i="142"/>
  <c r="K8" i="142"/>
  <c r="L7" i="142"/>
  <c r="K7" i="142"/>
  <c r="L65" i="142" l="1"/>
  <c r="K66" i="142"/>
  <c r="L8" i="142"/>
  <c r="K68" i="141" l="1"/>
  <c r="K75" i="141" l="1"/>
  <c r="K74" i="141"/>
  <c r="K73" i="141"/>
  <c r="K72" i="141"/>
  <c r="K71" i="141"/>
  <c r="K70" i="141"/>
  <c r="K69" i="141"/>
  <c r="K64" i="141"/>
  <c r="K65" i="141"/>
  <c r="K61" i="141" l="1"/>
  <c r="K60" i="141"/>
  <c r="K59" i="141"/>
  <c r="K58" i="141"/>
  <c r="K57" i="141"/>
  <c r="K56" i="141"/>
  <c r="K55" i="141"/>
  <c r="K54" i="141"/>
  <c r="K53" i="141"/>
  <c r="K52" i="141"/>
  <c r="K51" i="141"/>
  <c r="K50" i="141"/>
  <c r="K49" i="141"/>
  <c r="K48" i="141"/>
  <c r="K26" i="141"/>
  <c r="K25" i="141"/>
  <c r="K24" i="141"/>
  <c r="K23" i="141"/>
  <c r="K22" i="141"/>
  <c r="K21" i="141"/>
  <c r="K20" i="141"/>
  <c r="K19" i="141"/>
  <c r="K18" i="141"/>
  <c r="K17" i="141"/>
  <c r="K16" i="141"/>
  <c r="K15" i="141"/>
  <c r="K14" i="141"/>
  <c r="K13" i="141"/>
  <c r="K12" i="141"/>
  <c r="K84" i="141"/>
  <c r="K83" i="141"/>
  <c r="K82" i="141"/>
  <c r="K81" i="141"/>
  <c r="K80" i="141"/>
  <c r="K79" i="141"/>
  <c r="K78" i="141"/>
  <c r="K77" i="141"/>
  <c r="K76" i="141"/>
  <c r="K67" i="141"/>
  <c r="K66" i="141"/>
  <c r="J85" i="141"/>
  <c r="D86" i="141" s="1"/>
  <c r="K63" i="141"/>
  <c r="K62" i="141"/>
  <c r="K47" i="141"/>
  <c r="K46" i="141"/>
  <c r="K45" i="141"/>
  <c r="K44" i="141"/>
  <c r="K43" i="141"/>
  <c r="K42" i="141"/>
  <c r="K41" i="141"/>
  <c r="K40" i="141"/>
  <c r="K39" i="141"/>
  <c r="K38" i="141"/>
  <c r="K37" i="141"/>
  <c r="K36" i="141"/>
  <c r="K35" i="141"/>
  <c r="K34" i="141"/>
  <c r="K33" i="141"/>
  <c r="K32" i="141"/>
  <c r="K31" i="141"/>
  <c r="K30" i="141"/>
  <c r="K29" i="141"/>
  <c r="K28" i="141"/>
  <c r="K27" i="141"/>
  <c r="K11" i="141"/>
  <c r="K10" i="141"/>
  <c r="K9" i="141"/>
  <c r="K8" i="141"/>
  <c r="L7" i="141"/>
  <c r="K7" i="141"/>
  <c r="L84" i="141" l="1"/>
  <c r="K85" i="141"/>
  <c r="L8" i="141"/>
  <c r="L83" i="141"/>
  <c r="J39" i="140"/>
  <c r="J51" i="140" l="1"/>
  <c r="D52" i="140" s="1"/>
  <c r="K50" i="140"/>
  <c r="L49" i="140"/>
  <c r="K49" i="140"/>
  <c r="K48" i="140"/>
  <c r="K47" i="140"/>
  <c r="K46" i="140"/>
  <c r="K45" i="140"/>
  <c r="K44" i="140"/>
  <c r="K43" i="140"/>
  <c r="K42" i="140"/>
  <c r="K41" i="140"/>
  <c r="K40" i="140"/>
  <c r="K39" i="140"/>
  <c r="K38" i="140"/>
  <c r="K37" i="140"/>
  <c r="K36" i="140"/>
  <c r="K35" i="140"/>
  <c r="K34" i="140"/>
  <c r="K33" i="140"/>
  <c r="K32" i="140"/>
  <c r="K31" i="140"/>
  <c r="K30" i="140"/>
  <c r="K29" i="140"/>
  <c r="K28" i="140"/>
  <c r="K27" i="140"/>
  <c r="K26" i="140"/>
  <c r="K25" i="140"/>
  <c r="K24" i="140"/>
  <c r="K23" i="140"/>
  <c r="K22" i="140"/>
  <c r="K21" i="140"/>
  <c r="K20" i="140"/>
  <c r="K19" i="140"/>
  <c r="K18" i="140"/>
  <c r="K17" i="140"/>
  <c r="K16" i="140"/>
  <c r="K15" i="140"/>
  <c r="K14" i="140"/>
  <c r="K13" i="140"/>
  <c r="K12" i="140"/>
  <c r="K11" i="140"/>
  <c r="K10" i="140"/>
  <c r="K9" i="140"/>
  <c r="K8" i="140"/>
  <c r="L7" i="140"/>
  <c r="K7" i="140"/>
  <c r="L50" i="140" l="1"/>
  <c r="K51" i="140"/>
  <c r="L8" i="140"/>
  <c r="K85" i="139"/>
  <c r="K84" i="139"/>
  <c r="K72" i="139"/>
  <c r="K66" i="139"/>
  <c r="K65" i="139"/>
  <c r="K64" i="139"/>
  <c r="K63" i="139"/>
  <c r="K62" i="139"/>
  <c r="K57" i="139"/>
  <c r="K56" i="139"/>
  <c r="K55" i="139"/>
  <c r="K54" i="139"/>
  <c r="K53" i="139"/>
  <c r="K52" i="139"/>
  <c r="K51" i="139"/>
  <c r="K58" i="139" l="1"/>
  <c r="K50" i="139"/>
  <c r="K49" i="139"/>
  <c r="K48" i="139"/>
  <c r="K47" i="139"/>
  <c r="K46" i="139"/>
  <c r="K45" i="139"/>
  <c r="K44" i="139"/>
  <c r="K43" i="139"/>
  <c r="K42" i="139"/>
  <c r="K41" i="139"/>
  <c r="K40" i="139"/>
  <c r="K38" i="139"/>
  <c r="K37" i="139"/>
  <c r="K36" i="139"/>
  <c r="K35" i="139"/>
  <c r="K34" i="139"/>
  <c r="K33" i="139"/>
  <c r="K18" i="139"/>
  <c r="J93" i="139" l="1"/>
  <c r="D94" i="139" s="1"/>
  <c r="K92" i="139"/>
  <c r="L91" i="139"/>
  <c r="K91" i="139"/>
  <c r="K90" i="139"/>
  <c r="K89" i="139"/>
  <c r="K88" i="139"/>
  <c r="K87" i="139"/>
  <c r="K86" i="139"/>
  <c r="K83" i="139"/>
  <c r="K82" i="139"/>
  <c r="K81" i="139"/>
  <c r="K80" i="139"/>
  <c r="K79" i="139"/>
  <c r="K78" i="139"/>
  <c r="K77" i="139"/>
  <c r="K76" i="139"/>
  <c r="K75" i="139"/>
  <c r="K74" i="139"/>
  <c r="K73" i="139"/>
  <c r="K71" i="139"/>
  <c r="K70" i="139"/>
  <c r="K69" i="139"/>
  <c r="K68" i="139"/>
  <c r="K67" i="139"/>
  <c r="K61" i="139"/>
  <c r="K60" i="139"/>
  <c r="K59" i="139"/>
  <c r="K39" i="139"/>
  <c r="K32" i="139"/>
  <c r="K31" i="139"/>
  <c r="K30" i="139"/>
  <c r="K29" i="139"/>
  <c r="K28" i="139"/>
  <c r="K27" i="139"/>
  <c r="K26" i="139"/>
  <c r="K25" i="139"/>
  <c r="K24" i="139"/>
  <c r="K23" i="139"/>
  <c r="K22" i="139"/>
  <c r="K21" i="139"/>
  <c r="K20" i="139"/>
  <c r="K19" i="139"/>
  <c r="K17" i="139"/>
  <c r="K16" i="139"/>
  <c r="K15" i="139"/>
  <c r="K14" i="139"/>
  <c r="K13" i="139"/>
  <c r="K12" i="139"/>
  <c r="K11" i="139"/>
  <c r="K10" i="139"/>
  <c r="K9" i="139"/>
  <c r="K8" i="139"/>
  <c r="L7" i="139"/>
  <c r="K7" i="139"/>
  <c r="L92" i="139" l="1"/>
  <c r="L8" i="139"/>
  <c r="K93" i="139"/>
  <c r="J50" i="138" l="1"/>
  <c r="D51" i="138" s="1"/>
  <c r="K49" i="138"/>
  <c r="L48" i="138"/>
  <c r="K48" i="138"/>
  <c r="K47" i="138"/>
  <c r="K46" i="138"/>
  <c r="K45" i="138"/>
  <c r="K44" i="138"/>
  <c r="K43" i="138"/>
  <c r="K42" i="138"/>
  <c r="K41" i="138"/>
  <c r="K40" i="138"/>
  <c r="K39" i="138"/>
  <c r="K38" i="138"/>
  <c r="K37" i="138"/>
  <c r="K36" i="138"/>
  <c r="K35" i="138"/>
  <c r="K34" i="138"/>
  <c r="K33" i="138"/>
  <c r="K32" i="138"/>
  <c r="K31" i="138"/>
  <c r="K30" i="138"/>
  <c r="K29" i="138"/>
  <c r="K28" i="138"/>
  <c r="K27" i="138"/>
  <c r="K26" i="138"/>
  <c r="K25" i="138"/>
  <c r="K24" i="138"/>
  <c r="K23" i="138"/>
  <c r="K22" i="138"/>
  <c r="K21" i="138"/>
  <c r="K20" i="138"/>
  <c r="K19" i="138"/>
  <c r="K18" i="138"/>
  <c r="K17" i="138"/>
  <c r="K16" i="138"/>
  <c r="K15" i="138"/>
  <c r="K14" i="138"/>
  <c r="K13" i="138"/>
  <c r="K12" i="138"/>
  <c r="K11" i="138"/>
  <c r="K10" i="138"/>
  <c r="K9" i="138"/>
  <c r="K8" i="138"/>
  <c r="L7" i="138"/>
  <c r="K7" i="138"/>
  <c r="L8" i="138" l="1"/>
  <c r="L49" i="138"/>
  <c r="K50" i="138"/>
  <c r="J68" i="137" l="1"/>
  <c r="D69" i="137" s="1"/>
  <c r="K67" i="137"/>
  <c r="L66" i="137"/>
  <c r="K66" i="137"/>
  <c r="K65" i="137"/>
  <c r="K64" i="137"/>
  <c r="K63" i="137"/>
  <c r="K62" i="137"/>
  <c r="K61" i="137"/>
  <c r="K60" i="137"/>
  <c r="K59" i="137"/>
  <c r="K58" i="137"/>
  <c r="K57" i="137"/>
  <c r="K56" i="137"/>
  <c r="K55" i="137"/>
  <c r="K54" i="137"/>
  <c r="K53" i="137"/>
  <c r="K52" i="137"/>
  <c r="K51" i="137"/>
  <c r="K50" i="137"/>
  <c r="K49" i="137"/>
  <c r="K48" i="137"/>
  <c r="K47" i="137"/>
  <c r="K46" i="137"/>
  <c r="K45" i="137"/>
  <c r="K44" i="137"/>
  <c r="K43" i="137"/>
  <c r="K42" i="137"/>
  <c r="K41" i="137"/>
  <c r="K40" i="137"/>
  <c r="K39" i="137"/>
  <c r="K38" i="137"/>
  <c r="K37" i="137"/>
  <c r="K36" i="137"/>
  <c r="K35" i="137"/>
  <c r="K34" i="137"/>
  <c r="K33" i="137"/>
  <c r="K32" i="137"/>
  <c r="K31" i="137"/>
  <c r="K30" i="137"/>
  <c r="K29" i="137"/>
  <c r="K28" i="137"/>
  <c r="K27" i="137"/>
  <c r="K26" i="137"/>
  <c r="K25" i="137"/>
  <c r="K24" i="137"/>
  <c r="K23" i="137"/>
  <c r="K22" i="137"/>
  <c r="K21" i="137"/>
  <c r="K20" i="137"/>
  <c r="K19" i="137"/>
  <c r="K18" i="137"/>
  <c r="K17" i="137"/>
  <c r="K16" i="137"/>
  <c r="K15" i="137"/>
  <c r="K14" i="137"/>
  <c r="K13" i="137"/>
  <c r="K12" i="137"/>
  <c r="K11" i="137"/>
  <c r="K10" i="137"/>
  <c r="K9" i="137"/>
  <c r="K8" i="137"/>
  <c r="L7" i="137"/>
  <c r="K7" i="137"/>
  <c r="L67" i="137" l="1"/>
  <c r="K68" i="137"/>
  <c r="L8" i="137"/>
  <c r="K81" i="136"/>
  <c r="K80" i="136"/>
  <c r="K82" i="136"/>
  <c r="K79" i="136"/>
  <c r="K78" i="136"/>
  <c r="K77" i="136"/>
  <c r="K76" i="136"/>
  <c r="K46" i="136"/>
  <c r="K45" i="136"/>
  <c r="K44" i="136"/>
  <c r="K43" i="136"/>
  <c r="K42" i="136"/>
  <c r="K41" i="136"/>
  <c r="K40" i="136"/>
  <c r="K39" i="136" l="1"/>
  <c r="K38" i="136"/>
  <c r="K37" i="136"/>
  <c r="K36" i="136"/>
  <c r="K35" i="136"/>
  <c r="K34" i="136"/>
  <c r="K33" i="136"/>
  <c r="K32" i="136"/>
  <c r="K28" i="136"/>
  <c r="F12" i="132"/>
  <c r="J88" i="136" l="1"/>
  <c r="D89" i="136" s="1"/>
  <c r="K87" i="136"/>
  <c r="L86" i="136"/>
  <c r="K86" i="136"/>
  <c r="K85" i="136"/>
  <c r="K84" i="136"/>
  <c r="K83" i="136"/>
  <c r="K75" i="136"/>
  <c r="K74" i="136"/>
  <c r="K73" i="136"/>
  <c r="K72" i="136"/>
  <c r="K71" i="136"/>
  <c r="K70" i="136"/>
  <c r="K69" i="136"/>
  <c r="K68" i="136"/>
  <c r="K67" i="136"/>
  <c r="K66" i="136"/>
  <c r="K65" i="136"/>
  <c r="K64" i="136"/>
  <c r="K63" i="136"/>
  <c r="K62" i="136"/>
  <c r="K61" i="136"/>
  <c r="K60" i="136"/>
  <c r="K59" i="136"/>
  <c r="K58" i="136"/>
  <c r="K57" i="136"/>
  <c r="K56" i="136"/>
  <c r="K55" i="136"/>
  <c r="K54" i="136"/>
  <c r="K53" i="136"/>
  <c r="K52" i="136"/>
  <c r="K51" i="136"/>
  <c r="K50" i="136"/>
  <c r="K49" i="136"/>
  <c r="K48" i="136"/>
  <c r="K47" i="136"/>
  <c r="K31" i="136"/>
  <c r="K30" i="136"/>
  <c r="K29" i="136"/>
  <c r="K27" i="136"/>
  <c r="K26" i="136"/>
  <c r="K25" i="136"/>
  <c r="K24" i="136"/>
  <c r="K23" i="136"/>
  <c r="K22" i="136"/>
  <c r="K21" i="136"/>
  <c r="K20" i="136"/>
  <c r="K19" i="136"/>
  <c r="K18" i="136"/>
  <c r="K17" i="136"/>
  <c r="K16" i="136"/>
  <c r="K15" i="136"/>
  <c r="K14" i="136"/>
  <c r="K13" i="136"/>
  <c r="K12" i="136"/>
  <c r="K11" i="136"/>
  <c r="K10" i="136"/>
  <c r="K9" i="136"/>
  <c r="K8" i="136"/>
  <c r="L7" i="136"/>
  <c r="K7" i="136"/>
  <c r="L87" i="136" l="1"/>
  <c r="K88" i="136"/>
  <c r="L8" i="136"/>
  <c r="K33" i="135" l="1"/>
  <c r="K32" i="135"/>
  <c r="K31" i="135"/>
  <c r="K30" i="135"/>
  <c r="K29" i="135"/>
  <c r="K28" i="135"/>
  <c r="K27" i="135"/>
  <c r="F15" i="135"/>
  <c r="F16" i="135"/>
  <c r="F17" i="135"/>
  <c r="E17" i="135"/>
  <c r="E16" i="135"/>
  <c r="E15" i="135"/>
  <c r="K17" i="135"/>
  <c r="K16" i="135"/>
  <c r="K15" i="135"/>
  <c r="J69" i="135" l="1"/>
  <c r="D70" i="135" s="1"/>
  <c r="K68" i="135"/>
  <c r="L67" i="135"/>
  <c r="K67" i="135"/>
  <c r="K66" i="135"/>
  <c r="K65" i="135"/>
  <c r="K64" i="135"/>
  <c r="K63" i="135"/>
  <c r="K62" i="135"/>
  <c r="K61" i="135"/>
  <c r="K60" i="135"/>
  <c r="K59" i="135"/>
  <c r="K58" i="135"/>
  <c r="K57" i="135"/>
  <c r="K56" i="135"/>
  <c r="K55" i="135"/>
  <c r="K54" i="135"/>
  <c r="K53" i="135"/>
  <c r="K52" i="135"/>
  <c r="K51" i="135"/>
  <c r="K50" i="135"/>
  <c r="K49" i="135"/>
  <c r="K48" i="135"/>
  <c r="K47" i="135"/>
  <c r="K46" i="135"/>
  <c r="K45" i="135"/>
  <c r="K44" i="135"/>
  <c r="K43" i="135"/>
  <c r="K42" i="135"/>
  <c r="K41" i="135"/>
  <c r="K40" i="135"/>
  <c r="K39" i="135"/>
  <c r="K38" i="135"/>
  <c r="K37" i="135"/>
  <c r="K36" i="135"/>
  <c r="K35" i="135"/>
  <c r="K34" i="135"/>
  <c r="K26" i="135"/>
  <c r="K25" i="135"/>
  <c r="K24" i="135"/>
  <c r="K23" i="135"/>
  <c r="K22" i="135"/>
  <c r="K21" i="135"/>
  <c r="K20" i="135"/>
  <c r="K19" i="135"/>
  <c r="K18" i="135"/>
  <c r="K14" i="135"/>
  <c r="K13" i="135"/>
  <c r="K12" i="135"/>
  <c r="K11" i="135"/>
  <c r="K10" i="135"/>
  <c r="K9" i="135"/>
  <c r="K8" i="135"/>
  <c r="L7" i="135"/>
  <c r="K7" i="135"/>
  <c r="K69" i="135" l="1"/>
  <c r="L68" i="135"/>
  <c r="L8" i="135"/>
  <c r="N35" i="134" l="1"/>
  <c r="O35" i="134" s="1"/>
  <c r="F15" i="134" l="1"/>
  <c r="E15" i="134"/>
  <c r="K37" i="134" l="1"/>
  <c r="K36" i="134"/>
  <c r="K35" i="134"/>
  <c r="J62" i="133"/>
  <c r="J61" i="133"/>
  <c r="J103" i="134"/>
  <c r="D104" i="134" s="1"/>
  <c r="K102" i="134"/>
  <c r="L101" i="134"/>
  <c r="K101" i="134"/>
  <c r="K100" i="134"/>
  <c r="K99" i="134"/>
  <c r="K98" i="134"/>
  <c r="K97" i="134"/>
  <c r="K96" i="134"/>
  <c r="K95" i="134"/>
  <c r="K94" i="134"/>
  <c r="K93" i="134"/>
  <c r="K92" i="134"/>
  <c r="K91" i="134"/>
  <c r="K90" i="134"/>
  <c r="K89" i="134"/>
  <c r="K88" i="134"/>
  <c r="K87" i="134"/>
  <c r="K86" i="134"/>
  <c r="K85" i="134"/>
  <c r="K84" i="134"/>
  <c r="K83" i="134"/>
  <c r="K82" i="134"/>
  <c r="K81" i="134"/>
  <c r="K80" i="134"/>
  <c r="K79" i="134"/>
  <c r="K78" i="134"/>
  <c r="K77" i="134"/>
  <c r="K76" i="134"/>
  <c r="K75" i="134"/>
  <c r="K74" i="134"/>
  <c r="K73" i="134"/>
  <c r="K72" i="134"/>
  <c r="K71" i="134"/>
  <c r="K70" i="134"/>
  <c r="K69" i="134"/>
  <c r="K68" i="134"/>
  <c r="K67" i="134"/>
  <c r="K66" i="134"/>
  <c r="K65" i="134"/>
  <c r="K64" i="134"/>
  <c r="K63" i="134"/>
  <c r="K62" i="134"/>
  <c r="K61" i="134"/>
  <c r="K60" i="134"/>
  <c r="K59" i="134"/>
  <c r="K58" i="134"/>
  <c r="K57" i="134"/>
  <c r="K56" i="134"/>
  <c r="K55" i="134"/>
  <c r="K54" i="134"/>
  <c r="K53" i="134"/>
  <c r="K52" i="134"/>
  <c r="K51" i="134"/>
  <c r="K50" i="134"/>
  <c r="K49" i="134"/>
  <c r="K48" i="134"/>
  <c r="K47" i="134"/>
  <c r="K46" i="134"/>
  <c r="K45" i="134"/>
  <c r="K44" i="134"/>
  <c r="K43" i="134"/>
  <c r="N42" i="134"/>
  <c r="O42" i="134" s="1"/>
  <c r="K42" i="134"/>
  <c r="N41" i="134"/>
  <c r="O41" i="134" s="1"/>
  <c r="K41" i="134"/>
  <c r="N40" i="134"/>
  <c r="O40" i="134" s="1"/>
  <c r="K40" i="134"/>
  <c r="N39" i="134"/>
  <c r="O39" i="134" s="1"/>
  <c r="K39" i="134"/>
  <c r="N38" i="134"/>
  <c r="O38" i="134" s="1"/>
  <c r="K38" i="134"/>
  <c r="N37" i="134"/>
  <c r="O37" i="134" s="1"/>
  <c r="N36" i="134"/>
  <c r="O36" i="134" s="1"/>
  <c r="K34" i="134"/>
  <c r="K33" i="134"/>
  <c r="K32" i="134"/>
  <c r="K31" i="134"/>
  <c r="K30" i="134"/>
  <c r="K29" i="134"/>
  <c r="K28" i="134"/>
  <c r="K27" i="134"/>
  <c r="K26" i="134"/>
  <c r="K25" i="134"/>
  <c r="K24" i="134"/>
  <c r="K23" i="134"/>
  <c r="K22" i="134"/>
  <c r="K21" i="134"/>
  <c r="K20" i="134"/>
  <c r="K19" i="134"/>
  <c r="K18" i="134"/>
  <c r="N17" i="134"/>
  <c r="O17" i="134" s="1"/>
  <c r="K17" i="134"/>
  <c r="N16" i="134"/>
  <c r="O16" i="134" s="1"/>
  <c r="K16" i="134"/>
  <c r="N15" i="134"/>
  <c r="O15" i="134" s="1"/>
  <c r="K15" i="134"/>
  <c r="N14" i="134"/>
  <c r="O14" i="134" s="1"/>
  <c r="K14" i="134"/>
  <c r="N13" i="134"/>
  <c r="O13" i="134" s="1"/>
  <c r="K13" i="134"/>
  <c r="N12" i="134"/>
  <c r="O12" i="134" s="1"/>
  <c r="K12" i="134"/>
  <c r="N11" i="134"/>
  <c r="O11" i="134" s="1"/>
  <c r="K11" i="134"/>
  <c r="N10" i="134"/>
  <c r="O10" i="134" s="1"/>
  <c r="K10" i="134"/>
  <c r="N9" i="134"/>
  <c r="O9" i="134" s="1"/>
  <c r="K9" i="134"/>
  <c r="K8" i="134"/>
  <c r="L7" i="134"/>
  <c r="K7" i="134"/>
  <c r="O43" i="134" l="1"/>
  <c r="O18" i="134"/>
  <c r="L102" i="134"/>
  <c r="L8" i="134"/>
  <c r="O19" i="134" s="1"/>
  <c r="K103" i="134"/>
  <c r="K34" i="133"/>
  <c r="K33" i="133"/>
  <c r="K32" i="133"/>
  <c r="K31" i="133"/>
  <c r="K30" i="133"/>
  <c r="K29" i="133"/>
  <c r="K28" i="133"/>
  <c r="K27" i="133"/>
  <c r="K26" i="133"/>
  <c r="K25" i="133"/>
  <c r="K24" i="133"/>
  <c r="O44" i="134" l="1"/>
  <c r="J75" i="133"/>
  <c r="D76" i="133" s="1"/>
  <c r="K74" i="133"/>
  <c r="L73" i="133"/>
  <c r="K73" i="133"/>
  <c r="K72" i="133"/>
  <c r="K71" i="133"/>
  <c r="K70" i="133"/>
  <c r="K69" i="133"/>
  <c r="K68" i="133"/>
  <c r="K67" i="133"/>
  <c r="K66" i="133"/>
  <c r="K65" i="133"/>
  <c r="K64" i="133"/>
  <c r="K63" i="133"/>
  <c r="K62" i="133"/>
  <c r="K61" i="133"/>
  <c r="K60" i="133"/>
  <c r="K59" i="133"/>
  <c r="K58" i="133"/>
  <c r="K57" i="133"/>
  <c r="K56" i="133"/>
  <c r="K55" i="133"/>
  <c r="K54" i="133"/>
  <c r="K53" i="133"/>
  <c r="K52" i="133"/>
  <c r="K51" i="133"/>
  <c r="K50" i="133"/>
  <c r="K49" i="133"/>
  <c r="K48" i="133"/>
  <c r="K47" i="133"/>
  <c r="K46" i="133"/>
  <c r="K45" i="133"/>
  <c r="K44" i="133"/>
  <c r="K43" i="133"/>
  <c r="K42" i="133"/>
  <c r="K41" i="133"/>
  <c r="K40" i="133"/>
  <c r="K39" i="133"/>
  <c r="K38" i="133"/>
  <c r="K37" i="133"/>
  <c r="K36" i="133"/>
  <c r="K23" i="133"/>
  <c r="K22" i="133"/>
  <c r="K21" i="133"/>
  <c r="K20" i="133"/>
  <c r="K19" i="133"/>
  <c r="K18" i="133"/>
  <c r="K17" i="133"/>
  <c r="K16" i="133"/>
  <c r="K15" i="133"/>
  <c r="K14" i="133"/>
  <c r="K13" i="133"/>
  <c r="K12" i="133"/>
  <c r="K11" i="133"/>
  <c r="K10" i="133"/>
  <c r="K9" i="133"/>
  <c r="K8" i="133"/>
  <c r="L7" i="133"/>
  <c r="K7" i="133"/>
  <c r="L8" i="133" l="1"/>
  <c r="L74" i="133"/>
  <c r="K75" i="133"/>
  <c r="K92" i="132"/>
  <c r="K91" i="132"/>
  <c r="K90" i="132"/>
  <c r="K89" i="132"/>
  <c r="K88" i="132"/>
  <c r="K87" i="132"/>
  <c r="K86" i="132"/>
  <c r="K85" i="132"/>
  <c r="K84" i="132"/>
  <c r="K93" i="132" l="1"/>
  <c r="K83" i="132"/>
  <c r="K82" i="132"/>
  <c r="K81" i="132"/>
  <c r="K80" i="132"/>
  <c r="K79" i="132"/>
  <c r="K78" i="132"/>
  <c r="K77" i="132"/>
  <c r="K76" i="132"/>
  <c r="K75" i="132"/>
  <c r="K74" i="132"/>
  <c r="K73" i="132"/>
  <c r="K72" i="132"/>
  <c r="K71" i="132"/>
  <c r="K70" i="132"/>
  <c r="E62" i="132"/>
  <c r="E63" i="132"/>
  <c r="F51" i="132"/>
  <c r="K62" i="132"/>
  <c r="K61" i="132"/>
  <c r="K60" i="132"/>
  <c r="K59" i="132"/>
  <c r="K58" i="132"/>
  <c r="K57" i="132"/>
  <c r="K56" i="132"/>
  <c r="K55" i="132"/>
  <c r="K54" i="132"/>
  <c r="K53" i="132"/>
  <c r="K52" i="132"/>
  <c r="K68" i="132"/>
  <c r="K67" i="132"/>
  <c r="K66" i="132"/>
  <c r="K65" i="132"/>
  <c r="K64" i="132"/>
  <c r="K63" i="132"/>
  <c r="K51" i="132"/>
  <c r="K50" i="132"/>
  <c r="F45" i="132"/>
  <c r="J98" i="132" l="1"/>
  <c r="D99" i="132" s="1"/>
  <c r="K97" i="132"/>
  <c r="L96" i="132"/>
  <c r="K96" i="132"/>
  <c r="K95" i="132"/>
  <c r="K94" i="132"/>
  <c r="K69" i="132"/>
  <c r="K49" i="132"/>
  <c r="K48" i="132"/>
  <c r="K47" i="132"/>
  <c r="K46" i="132"/>
  <c r="K45" i="132"/>
  <c r="K44" i="132"/>
  <c r="K43" i="132"/>
  <c r="K42" i="132"/>
  <c r="K41" i="132"/>
  <c r="K40" i="132"/>
  <c r="K39" i="132"/>
  <c r="K38" i="132"/>
  <c r="K37" i="132"/>
  <c r="K36" i="132"/>
  <c r="K35" i="132"/>
  <c r="K34" i="132"/>
  <c r="K33" i="132"/>
  <c r="K32" i="132"/>
  <c r="K31" i="132"/>
  <c r="K29" i="132"/>
  <c r="K28" i="132"/>
  <c r="K27" i="132"/>
  <c r="K24" i="132"/>
  <c r="K23" i="132"/>
  <c r="K22" i="132"/>
  <c r="K21" i="132"/>
  <c r="K20" i="132"/>
  <c r="K19" i="132"/>
  <c r="K18" i="132"/>
  <c r="K17" i="132"/>
  <c r="K16" i="132"/>
  <c r="K15" i="132"/>
  <c r="K14" i="132"/>
  <c r="K13" i="132"/>
  <c r="K12" i="132"/>
  <c r="K11" i="132"/>
  <c r="K10" i="132"/>
  <c r="K9" i="132"/>
  <c r="K8" i="132"/>
  <c r="L7" i="132"/>
  <c r="K7" i="132"/>
  <c r="K98" i="132" l="1"/>
  <c r="L8" i="132"/>
  <c r="L97" i="132"/>
  <c r="F24" i="131" l="1"/>
  <c r="E24" i="131"/>
  <c r="F23" i="131"/>
  <c r="E23" i="131"/>
  <c r="K28" i="131"/>
  <c r="K27" i="131"/>
  <c r="K24" i="131"/>
  <c r="K23" i="131"/>
  <c r="J69" i="131" l="1"/>
  <c r="D70" i="131" s="1"/>
  <c r="K68" i="131"/>
  <c r="L67" i="131"/>
  <c r="K67" i="131"/>
  <c r="K66" i="131"/>
  <c r="K65" i="131"/>
  <c r="K64" i="131"/>
  <c r="K63" i="131"/>
  <c r="K62" i="131"/>
  <c r="K61" i="131"/>
  <c r="K60" i="131"/>
  <c r="K59" i="131"/>
  <c r="K58" i="131"/>
  <c r="K57" i="131"/>
  <c r="K56" i="131"/>
  <c r="K55" i="131"/>
  <c r="K54" i="131"/>
  <c r="K53" i="131"/>
  <c r="K52" i="131"/>
  <c r="K51" i="131"/>
  <c r="K50" i="131"/>
  <c r="K49" i="131"/>
  <c r="K48" i="131"/>
  <c r="K47" i="131"/>
  <c r="K46" i="131"/>
  <c r="K45" i="131"/>
  <c r="K44" i="131"/>
  <c r="K43" i="131"/>
  <c r="K41" i="131"/>
  <c r="K40" i="131"/>
  <c r="K39" i="131"/>
  <c r="K38" i="131"/>
  <c r="K37" i="131"/>
  <c r="K36" i="131"/>
  <c r="K35" i="131"/>
  <c r="K34" i="131"/>
  <c r="K33" i="131"/>
  <c r="K32" i="131"/>
  <c r="K31" i="131"/>
  <c r="K30" i="131"/>
  <c r="K29" i="131"/>
  <c r="K22" i="131"/>
  <c r="K21" i="131"/>
  <c r="K20" i="131"/>
  <c r="K19" i="131"/>
  <c r="K18" i="131"/>
  <c r="K17" i="131"/>
  <c r="K16" i="131"/>
  <c r="K15" i="131"/>
  <c r="K14" i="131"/>
  <c r="K13" i="131"/>
  <c r="K12" i="131"/>
  <c r="K11" i="131"/>
  <c r="K10" i="131"/>
  <c r="K9" i="131"/>
  <c r="K8" i="131"/>
  <c r="L7" i="131"/>
  <c r="K7" i="131"/>
  <c r="L68" i="131" l="1"/>
  <c r="K69" i="131"/>
  <c r="L8" i="131"/>
  <c r="K33" i="130"/>
  <c r="K50" i="130" l="1"/>
  <c r="K49" i="130"/>
  <c r="J69" i="130" l="1"/>
  <c r="D70" i="130" s="1"/>
  <c r="K68" i="130"/>
  <c r="L67" i="130"/>
  <c r="K67" i="130"/>
  <c r="K66" i="130"/>
  <c r="K65" i="130"/>
  <c r="K64" i="130"/>
  <c r="K63" i="130"/>
  <c r="K62" i="130"/>
  <c r="K61" i="130"/>
  <c r="K60" i="130"/>
  <c r="K59" i="130"/>
  <c r="K58" i="130"/>
  <c r="K57" i="130"/>
  <c r="K56" i="130"/>
  <c r="K55" i="130"/>
  <c r="K54" i="130"/>
  <c r="K53" i="130"/>
  <c r="K52" i="130"/>
  <c r="K51" i="130"/>
  <c r="K48" i="130"/>
  <c r="K47" i="130"/>
  <c r="K46" i="130"/>
  <c r="K45" i="130"/>
  <c r="K44" i="130"/>
  <c r="K43" i="130"/>
  <c r="K41" i="130"/>
  <c r="K40" i="130"/>
  <c r="K39" i="130"/>
  <c r="K38" i="130"/>
  <c r="K37" i="130"/>
  <c r="K36" i="130"/>
  <c r="K35" i="130"/>
  <c r="K34" i="130"/>
  <c r="K32" i="130"/>
  <c r="K31" i="130"/>
  <c r="K30" i="130"/>
  <c r="K29" i="130"/>
  <c r="K28" i="130"/>
  <c r="K27" i="130"/>
  <c r="K26" i="130"/>
  <c r="K25" i="130"/>
  <c r="K24" i="130"/>
  <c r="K23" i="130"/>
  <c r="K22" i="130"/>
  <c r="K21" i="130"/>
  <c r="K20" i="130"/>
  <c r="K19" i="130"/>
  <c r="K18" i="130"/>
  <c r="K17" i="130"/>
  <c r="K16" i="130"/>
  <c r="K15" i="130"/>
  <c r="K14" i="130"/>
  <c r="K13" i="130"/>
  <c r="K12" i="130"/>
  <c r="K11" i="130"/>
  <c r="K10" i="130"/>
  <c r="K9" i="130"/>
  <c r="K8" i="130"/>
  <c r="L7" i="130"/>
  <c r="K7" i="130"/>
  <c r="L68" i="130" l="1"/>
  <c r="L8" i="130"/>
  <c r="K69" i="130"/>
  <c r="K32" i="129" l="1"/>
  <c r="K31" i="129"/>
  <c r="K30" i="129"/>
  <c r="K29" i="129"/>
  <c r="K28" i="129"/>
  <c r="K27" i="129"/>
  <c r="K26" i="129"/>
  <c r="K25" i="129"/>
  <c r="K24" i="129"/>
  <c r="J69" i="129" l="1"/>
  <c r="D70" i="129" s="1"/>
  <c r="K68" i="129"/>
  <c r="L67" i="129"/>
  <c r="K67" i="129"/>
  <c r="K66" i="129"/>
  <c r="K65" i="129"/>
  <c r="K64" i="129"/>
  <c r="K63" i="129"/>
  <c r="K62" i="129"/>
  <c r="K61" i="129"/>
  <c r="K60" i="129"/>
  <c r="K59" i="129"/>
  <c r="K58" i="129"/>
  <c r="K57" i="129"/>
  <c r="K56" i="129"/>
  <c r="K55" i="129"/>
  <c r="K54" i="129"/>
  <c r="K53" i="129"/>
  <c r="K52" i="129"/>
  <c r="K51" i="129"/>
  <c r="K50" i="129"/>
  <c r="K49" i="129"/>
  <c r="K48" i="129"/>
  <c r="K47" i="129"/>
  <c r="K46" i="129"/>
  <c r="K45" i="129"/>
  <c r="K44" i="129"/>
  <c r="K43" i="129"/>
  <c r="K41" i="129"/>
  <c r="K40" i="129"/>
  <c r="K39" i="129"/>
  <c r="K38" i="129"/>
  <c r="K37" i="129"/>
  <c r="K36" i="129"/>
  <c r="K35" i="129"/>
  <c r="K34" i="129"/>
  <c r="K33" i="129"/>
  <c r="K23" i="129"/>
  <c r="K22" i="129"/>
  <c r="K21" i="129"/>
  <c r="K20" i="129"/>
  <c r="K19" i="129"/>
  <c r="K18" i="129"/>
  <c r="K17" i="129"/>
  <c r="K16" i="129"/>
  <c r="K15" i="129"/>
  <c r="K14" i="129"/>
  <c r="K13" i="129"/>
  <c r="K12" i="129"/>
  <c r="K11" i="129"/>
  <c r="K10" i="129"/>
  <c r="K9" i="129"/>
  <c r="K8" i="129"/>
  <c r="L7" i="129"/>
  <c r="K7" i="129"/>
  <c r="K69" i="129" l="1"/>
  <c r="L8" i="129"/>
  <c r="L68" i="129"/>
  <c r="K33" i="128"/>
  <c r="K32" i="128"/>
  <c r="K31" i="128"/>
  <c r="K30" i="128"/>
  <c r="K29" i="128"/>
  <c r="K28" i="128"/>
  <c r="K27" i="128"/>
  <c r="K26" i="128"/>
  <c r="K25" i="128"/>
  <c r="K24" i="128"/>
  <c r="K23" i="128"/>
  <c r="K22" i="128"/>
  <c r="K21" i="128"/>
  <c r="K20" i="128"/>
  <c r="K19" i="128"/>
  <c r="K18" i="128"/>
  <c r="K17" i="128"/>
  <c r="K16" i="128"/>
  <c r="K15" i="128"/>
  <c r="K14" i="128"/>
  <c r="K13" i="128"/>
  <c r="K12" i="128"/>
  <c r="K11" i="128"/>
  <c r="K10" i="128"/>
  <c r="K9" i="128"/>
  <c r="K56" i="128"/>
  <c r="K55" i="128"/>
  <c r="K54" i="128"/>
  <c r="K53" i="128"/>
  <c r="K52" i="128"/>
  <c r="K51" i="128"/>
  <c r="K50" i="128"/>
  <c r="K49" i="128"/>
  <c r="K48" i="128"/>
  <c r="K47" i="128"/>
  <c r="K46" i="128"/>
  <c r="K45" i="128"/>
  <c r="K44" i="128"/>
  <c r="K43" i="128"/>
  <c r="K42" i="128"/>
  <c r="K41" i="128"/>
  <c r="K40" i="128"/>
  <c r="K39" i="128"/>
  <c r="K38" i="128"/>
  <c r="K37" i="128"/>
  <c r="K36" i="128"/>
  <c r="K35" i="128"/>
  <c r="J61" i="128" l="1"/>
  <c r="D62" i="128" s="1"/>
  <c r="K60" i="128"/>
  <c r="L59" i="128"/>
  <c r="K59" i="128"/>
  <c r="K58" i="128"/>
  <c r="K57" i="128"/>
  <c r="K8" i="128"/>
  <c r="L7" i="128"/>
  <c r="K7" i="128"/>
  <c r="K61" i="128" l="1"/>
  <c r="L60" i="128"/>
  <c r="L8" i="128"/>
  <c r="K85" i="127"/>
  <c r="K84" i="127"/>
  <c r="K83" i="127"/>
  <c r="K82" i="127"/>
  <c r="K71" i="127"/>
  <c r="F32" i="127" l="1"/>
  <c r="F27" i="127"/>
  <c r="E27" i="127"/>
  <c r="J88" i="127" l="1"/>
  <c r="D89" i="127" s="1"/>
  <c r="K87" i="127"/>
  <c r="L86" i="127"/>
  <c r="K86" i="127"/>
  <c r="K81" i="127"/>
  <c r="K80" i="127"/>
  <c r="K79" i="127"/>
  <c r="K78" i="127"/>
  <c r="K77" i="127"/>
  <c r="K76" i="127"/>
  <c r="K75" i="127"/>
  <c r="K74" i="127"/>
  <c r="K73" i="127"/>
  <c r="K72" i="127"/>
  <c r="K70" i="127"/>
  <c r="K69" i="127"/>
  <c r="K68" i="127"/>
  <c r="K67" i="127"/>
  <c r="K66" i="127"/>
  <c r="K65" i="127"/>
  <c r="K64" i="127"/>
  <c r="K63" i="127"/>
  <c r="K62" i="127"/>
  <c r="K61" i="127"/>
  <c r="K60" i="127"/>
  <c r="K59" i="127"/>
  <c r="K58" i="127"/>
  <c r="K57" i="127"/>
  <c r="K56" i="127"/>
  <c r="K55" i="127"/>
  <c r="K54" i="127"/>
  <c r="K53" i="127"/>
  <c r="K52" i="127"/>
  <c r="K51" i="127"/>
  <c r="K50" i="127"/>
  <c r="K49" i="127"/>
  <c r="K48" i="127"/>
  <c r="K47" i="127"/>
  <c r="K46" i="127"/>
  <c r="K45" i="127"/>
  <c r="K44" i="127"/>
  <c r="K43" i="127"/>
  <c r="K42" i="127"/>
  <c r="K41" i="127"/>
  <c r="K40" i="127"/>
  <c r="K39" i="127"/>
  <c r="K38" i="127"/>
  <c r="K37" i="127"/>
  <c r="K36" i="127"/>
  <c r="K35" i="127"/>
  <c r="K34" i="127"/>
  <c r="K33" i="127"/>
  <c r="K32" i="127"/>
  <c r="K31" i="127"/>
  <c r="K30" i="127"/>
  <c r="K29" i="127"/>
  <c r="K28" i="127"/>
  <c r="K27" i="127"/>
  <c r="K26" i="127"/>
  <c r="K25" i="127"/>
  <c r="K24" i="127"/>
  <c r="K23" i="127"/>
  <c r="K22" i="127"/>
  <c r="K21" i="127"/>
  <c r="K20" i="127"/>
  <c r="K19" i="127"/>
  <c r="K18" i="127"/>
  <c r="K17" i="127"/>
  <c r="K16" i="127"/>
  <c r="K15" i="127"/>
  <c r="K14" i="127"/>
  <c r="K13" i="127"/>
  <c r="K12" i="127"/>
  <c r="K11" i="127"/>
  <c r="K10" i="127"/>
  <c r="K9" i="127"/>
  <c r="K8" i="127"/>
  <c r="L7" i="127"/>
  <c r="K7" i="127"/>
  <c r="K88" i="127" l="1"/>
  <c r="L87" i="127"/>
  <c r="L8" i="127"/>
  <c r="K73" i="126"/>
  <c r="K66" i="126" l="1"/>
  <c r="K46" i="126"/>
  <c r="K45" i="126"/>
  <c r="K44" i="126"/>
  <c r="K43" i="126"/>
  <c r="K42" i="126"/>
  <c r="K41" i="126"/>
  <c r="K40" i="126"/>
  <c r="K39" i="126"/>
  <c r="K38" i="126"/>
  <c r="K37" i="126"/>
  <c r="K22" i="126"/>
  <c r="K28" i="126"/>
  <c r="K27" i="126"/>
  <c r="K26" i="126"/>
  <c r="K25" i="126"/>
  <c r="K24" i="126"/>
  <c r="K23" i="126"/>
  <c r="K21" i="126"/>
  <c r="K20" i="126"/>
  <c r="J84" i="126" l="1"/>
  <c r="D85" i="126" s="1"/>
  <c r="K83" i="126"/>
  <c r="L82" i="126"/>
  <c r="K82" i="126"/>
  <c r="K81" i="126"/>
  <c r="K80" i="126"/>
  <c r="K79" i="126"/>
  <c r="K78" i="126"/>
  <c r="K77" i="126"/>
  <c r="K76" i="126"/>
  <c r="K75" i="126"/>
  <c r="K74" i="126"/>
  <c r="K72" i="126"/>
  <c r="K70" i="126"/>
  <c r="K69" i="126"/>
  <c r="K68" i="126"/>
  <c r="K67" i="126"/>
  <c r="K65" i="126"/>
  <c r="K64" i="126"/>
  <c r="K63" i="126"/>
  <c r="K62" i="126"/>
  <c r="K61" i="126"/>
  <c r="K60" i="126"/>
  <c r="K59" i="126"/>
  <c r="K58" i="126"/>
  <c r="K57" i="126"/>
  <c r="K56" i="126"/>
  <c r="K55" i="126"/>
  <c r="K54" i="126"/>
  <c r="K53" i="126"/>
  <c r="K52" i="126"/>
  <c r="K51" i="126"/>
  <c r="K50" i="126"/>
  <c r="K49" i="126"/>
  <c r="K48" i="126"/>
  <c r="K47" i="126"/>
  <c r="K36" i="126"/>
  <c r="K35" i="126"/>
  <c r="K34" i="126"/>
  <c r="K33" i="126"/>
  <c r="K32" i="126"/>
  <c r="K31" i="126"/>
  <c r="K30" i="126"/>
  <c r="K29" i="126"/>
  <c r="K19" i="126"/>
  <c r="K18" i="126"/>
  <c r="K17" i="126"/>
  <c r="K16" i="126"/>
  <c r="K15" i="126"/>
  <c r="K14" i="126"/>
  <c r="K13" i="126"/>
  <c r="K12" i="126"/>
  <c r="K11" i="126"/>
  <c r="K10" i="126"/>
  <c r="K9" i="126"/>
  <c r="K8" i="126"/>
  <c r="L7" i="126"/>
  <c r="K7" i="126"/>
  <c r="K84" i="126" l="1"/>
  <c r="L8" i="126"/>
  <c r="L83" i="126"/>
  <c r="F60" i="125" l="1"/>
  <c r="F58" i="125"/>
  <c r="F57" i="125"/>
  <c r="F55" i="125"/>
  <c r="F53" i="125"/>
  <c r="K57" i="125"/>
  <c r="K55" i="125"/>
  <c r="K53" i="125"/>
  <c r="F51" i="125"/>
  <c r="F50" i="125"/>
  <c r="F48" i="125"/>
  <c r="K42" i="125"/>
  <c r="K41" i="125"/>
  <c r="F31" i="125"/>
  <c r="J67" i="125" l="1"/>
  <c r="D68" i="125" s="1"/>
  <c r="K66" i="125"/>
  <c r="L65" i="125"/>
  <c r="K65" i="125"/>
  <c r="K64" i="125"/>
  <c r="K63" i="125"/>
  <c r="K62" i="125"/>
  <c r="K61" i="125"/>
  <c r="K60" i="125"/>
  <c r="K59" i="125"/>
  <c r="K58" i="125"/>
  <c r="K52" i="125"/>
  <c r="K51" i="125"/>
  <c r="K50" i="125"/>
  <c r="K48" i="125"/>
  <c r="K47" i="125"/>
  <c r="K46" i="125"/>
  <c r="K45" i="125"/>
  <c r="K44" i="125"/>
  <c r="K43" i="125"/>
  <c r="K40" i="125"/>
  <c r="K39" i="125"/>
  <c r="K38" i="125"/>
  <c r="K37" i="125"/>
  <c r="K36" i="125"/>
  <c r="K35" i="125"/>
  <c r="K34" i="125"/>
  <c r="K33" i="125"/>
  <c r="K32" i="125"/>
  <c r="K31" i="125"/>
  <c r="K30" i="125"/>
  <c r="K29" i="125"/>
  <c r="K28" i="125"/>
  <c r="K27" i="125"/>
  <c r="K26" i="125"/>
  <c r="K25" i="125"/>
  <c r="K24" i="125"/>
  <c r="K23" i="125"/>
  <c r="K22" i="125"/>
  <c r="K21" i="125"/>
  <c r="K20" i="125"/>
  <c r="K19" i="125"/>
  <c r="K18" i="125"/>
  <c r="K17" i="125"/>
  <c r="K16" i="125"/>
  <c r="K15" i="125"/>
  <c r="K14" i="125"/>
  <c r="K13" i="125"/>
  <c r="K12" i="125"/>
  <c r="K11" i="125"/>
  <c r="K10" i="125"/>
  <c r="K9" i="125"/>
  <c r="K8" i="125"/>
  <c r="L7" i="125"/>
  <c r="K7" i="125"/>
  <c r="K67" i="125" l="1"/>
  <c r="L66" i="125"/>
  <c r="L8" i="125"/>
  <c r="K57" i="124"/>
  <c r="K56" i="124"/>
  <c r="K55" i="124"/>
  <c r="K54" i="124"/>
  <c r="K53" i="124"/>
  <c r="K52" i="124"/>
  <c r="K51" i="124"/>
  <c r="K50" i="124"/>
  <c r="K49" i="124"/>
  <c r="K16" i="124"/>
  <c r="K59" i="124" l="1"/>
  <c r="K58" i="124"/>
  <c r="K48" i="124"/>
  <c r="K47" i="124"/>
  <c r="K46" i="124"/>
  <c r="K45" i="124"/>
  <c r="J64" i="124" l="1"/>
  <c r="D65" i="124" s="1"/>
  <c r="K63" i="124"/>
  <c r="L62" i="124"/>
  <c r="K62" i="124"/>
  <c r="K61" i="124"/>
  <c r="K60" i="124"/>
  <c r="K44" i="124"/>
  <c r="K43" i="124"/>
  <c r="K42" i="124"/>
  <c r="K41" i="124"/>
  <c r="K40" i="124"/>
  <c r="K39" i="124"/>
  <c r="K38" i="124"/>
  <c r="K37" i="124"/>
  <c r="K36" i="124"/>
  <c r="K35" i="124"/>
  <c r="K34" i="124"/>
  <c r="K33" i="124"/>
  <c r="K32" i="124"/>
  <c r="K31" i="124"/>
  <c r="K30" i="124"/>
  <c r="K29" i="124"/>
  <c r="K28" i="124"/>
  <c r="K27" i="124"/>
  <c r="K26" i="124"/>
  <c r="K25" i="124"/>
  <c r="K24" i="124"/>
  <c r="K23" i="124"/>
  <c r="K22" i="124"/>
  <c r="K21" i="124"/>
  <c r="K20" i="124"/>
  <c r="K19" i="124"/>
  <c r="K18" i="124"/>
  <c r="K17" i="124"/>
  <c r="K15" i="124"/>
  <c r="K14" i="124"/>
  <c r="K13" i="124"/>
  <c r="K12" i="124"/>
  <c r="K11" i="124"/>
  <c r="K10" i="124"/>
  <c r="K9" i="124"/>
  <c r="K8" i="124"/>
  <c r="L7" i="124"/>
  <c r="K7" i="124"/>
  <c r="L63" i="124" l="1"/>
  <c r="K64" i="124"/>
  <c r="L8" i="124"/>
  <c r="K35" i="123" l="1"/>
  <c r="K34" i="123"/>
  <c r="K33" i="123"/>
  <c r="K32" i="123"/>
  <c r="K31" i="123"/>
  <c r="K30" i="123"/>
  <c r="K29" i="123"/>
  <c r="K28" i="123"/>
  <c r="J63" i="123" l="1"/>
  <c r="D64" i="123" s="1"/>
  <c r="K62" i="123"/>
  <c r="L61" i="123"/>
  <c r="K61" i="123"/>
  <c r="K60" i="123"/>
  <c r="K59" i="123"/>
  <c r="K58" i="123"/>
  <c r="K57" i="123"/>
  <c r="K56" i="123"/>
  <c r="K55" i="123"/>
  <c r="K54" i="123"/>
  <c r="K53" i="123"/>
  <c r="K52" i="123"/>
  <c r="K51" i="123"/>
  <c r="K50" i="123"/>
  <c r="K49" i="123"/>
  <c r="K48" i="123"/>
  <c r="K47" i="123"/>
  <c r="K46" i="123"/>
  <c r="K45" i="123"/>
  <c r="K44" i="123"/>
  <c r="K43" i="123"/>
  <c r="K42" i="123"/>
  <c r="K41" i="123"/>
  <c r="K40" i="123"/>
  <c r="K39" i="123"/>
  <c r="K38" i="123"/>
  <c r="K37" i="123"/>
  <c r="K36" i="123"/>
  <c r="K27" i="123"/>
  <c r="K26" i="123"/>
  <c r="K25" i="123"/>
  <c r="K24" i="123"/>
  <c r="K23" i="123"/>
  <c r="K22" i="123"/>
  <c r="K21" i="123"/>
  <c r="K20" i="123"/>
  <c r="K19" i="123"/>
  <c r="K18" i="123"/>
  <c r="K17" i="123"/>
  <c r="K16" i="123"/>
  <c r="K15" i="123"/>
  <c r="K14" i="123"/>
  <c r="K13" i="123"/>
  <c r="K12" i="123"/>
  <c r="K11" i="123"/>
  <c r="K10" i="123"/>
  <c r="K9" i="123"/>
  <c r="K8" i="123"/>
  <c r="L7" i="123"/>
  <c r="K7" i="123"/>
  <c r="K52" i="122"/>
  <c r="K51" i="122"/>
  <c r="K50" i="122"/>
  <c r="K49" i="122"/>
  <c r="J69" i="122"/>
  <c r="D70" i="122" s="1"/>
  <c r="K68" i="122"/>
  <c r="L67" i="122"/>
  <c r="K67" i="122"/>
  <c r="K66" i="122"/>
  <c r="K65" i="122"/>
  <c r="K64" i="122"/>
  <c r="K63" i="122"/>
  <c r="K62" i="122"/>
  <c r="K61" i="122"/>
  <c r="K60" i="122"/>
  <c r="K59" i="122"/>
  <c r="K58" i="122"/>
  <c r="K57" i="122"/>
  <c r="K56" i="122"/>
  <c r="K55" i="122"/>
  <c r="K54" i="122"/>
  <c r="K53" i="122"/>
  <c r="K48" i="122"/>
  <c r="K47" i="122"/>
  <c r="K46" i="122"/>
  <c r="K45" i="122"/>
  <c r="K44" i="122"/>
  <c r="K43" i="122"/>
  <c r="K42" i="122"/>
  <c r="K41" i="122"/>
  <c r="K40" i="122"/>
  <c r="K39" i="122"/>
  <c r="K38" i="122"/>
  <c r="K37" i="122"/>
  <c r="K36" i="122"/>
  <c r="K35" i="122"/>
  <c r="K34" i="122"/>
  <c r="K33" i="122"/>
  <c r="K32" i="122"/>
  <c r="K31" i="122"/>
  <c r="K30" i="122"/>
  <c r="K29" i="122"/>
  <c r="K28" i="122"/>
  <c r="K27" i="122"/>
  <c r="K26" i="122"/>
  <c r="K25" i="122"/>
  <c r="K24" i="122"/>
  <c r="K23" i="122"/>
  <c r="K22" i="122"/>
  <c r="K21" i="122"/>
  <c r="K20" i="122"/>
  <c r="K19" i="122"/>
  <c r="K18" i="122"/>
  <c r="K17" i="122"/>
  <c r="K16" i="122"/>
  <c r="K15" i="122"/>
  <c r="K14" i="122"/>
  <c r="K13" i="122"/>
  <c r="K12" i="122"/>
  <c r="K11" i="122"/>
  <c r="K10" i="122"/>
  <c r="K9" i="122"/>
  <c r="K8" i="122"/>
  <c r="L7" i="122"/>
  <c r="K7" i="122"/>
  <c r="K44" i="121"/>
  <c r="K43" i="121"/>
  <c r="K42" i="121"/>
  <c r="K41" i="121"/>
  <c r="K40" i="121"/>
  <c r="L8" i="123" l="1"/>
  <c r="L62" i="123"/>
  <c r="K63" i="123"/>
  <c r="L8" i="122"/>
  <c r="L68" i="122"/>
  <c r="K69" i="122"/>
  <c r="J77" i="121"/>
  <c r="D78" i="121" s="1"/>
  <c r="K76" i="121"/>
  <c r="L75" i="121"/>
  <c r="K75" i="121"/>
  <c r="K74" i="121"/>
  <c r="K73" i="121"/>
  <c r="K72" i="121"/>
  <c r="K71" i="121"/>
  <c r="K70" i="121"/>
  <c r="K69" i="121"/>
  <c r="K68" i="121"/>
  <c r="K67" i="121"/>
  <c r="K66" i="121"/>
  <c r="K65" i="121"/>
  <c r="K64" i="121"/>
  <c r="K63" i="121"/>
  <c r="K62" i="121"/>
  <c r="K61" i="121"/>
  <c r="K60" i="121"/>
  <c r="K59" i="121"/>
  <c r="K58" i="121"/>
  <c r="K57" i="121"/>
  <c r="K56" i="121"/>
  <c r="K55" i="121"/>
  <c r="K54" i="121"/>
  <c r="K53" i="121"/>
  <c r="K52" i="121"/>
  <c r="K51" i="121"/>
  <c r="K50" i="121"/>
  <c r="K49" i="121"/>
  <c r="K48" i="121"/>
  <c r="K47" i="121"/>
  <c r="K46" i="121"/>
  <c r="K45" i="121"/>
  <c r="K39" i="121"/>
  <c r="K38" i="121"/>
  <c r="K37" i="121"/>
  <c r="K36" i="121"/>
  <c r="K35" i="121"/>
  <c r="K34" i="121"/>
  <c r="K33" i="121"/>
  <c r="K32" i="121"/>
  <c r="K31" i="121"/>
  <c r="K30" i="121"/>
  <c r="K29" i="121"/>
  <c r="K28" i="121"/>
  <c r="K27" i="121"/>
  <c r="K26" i="121"/>
  <c r="K25" i="121"/>
  <c r="K24" i="121"/>
  <c r="K23" i="121"/>
  <c r="K22" i="121"/>
  <c r="K21" i="121"/>
  <c r="K20" i="121"/>
  <c r="K19" i="121"/>
  <c r="K18" i="121"/>
  <c r="K17" i="121"/>
  <c r="K16" i="121"/>
  <c r="K15" i="121"/>
  <c r="K14" i="121"/>
  <c r="K13" i="121"/>
  <c r="K12" i="121"/>
  <c r="K11" i="121"/>
  <c r="K10" i="121"/>
  <c r="K9" i="121"/>
  <c r="K8" i="121"/>
  <c r="L7" i="121"/>
  <c r="K7" i="121"/>
  <c r="L76" i="121" l="1"/>
  <c r="L8" i="121"/>
  <c r="K77" i="121"/>
  <c r="K35" i="120"/>
  <c r="K34" i="120"/>
  <c r="K33" i="120"/>
  <c r="K32" i="120"/>
  <c r="K31" i="120"/>
  <c r="K30" i="120"/>
  <c r="K74" i="120"/>
  <c r="K73" i="120"/>
  <c r="K72" i="120"/>
  <c r="K71" i="120"/>
  <c r="K70" i="120"/>
  <c r="K69" i="120"/>
  <c r="K82" i="120"/>
  <c r="K81" i="120"/>
  <c r="K80" i="120"/>
  <c r="K79" i="120"/>
  <c r="K78" i="120"/>
  <c r="K77" i="120"/>
  <c r="K76" i="120"/>
  <c r="K75" i="120"/>
  <c r="K68" i="120"/>
  <c r="K66" i="120"/>
  <c r="K65" i="120"/>
  <c r="K42" i="120" l="1"/>
  <c r="K41" i="120"/>
  <c r="K40" i="120"/>
  <c r="K39" i="120"/>
  <c r="K38" i="120"/>
  <c r="K37" i="120"/>
  <c r="K36" i="120"/>
  <c r="K29" i="120"/>
  <c r="K28" i="120"/>
  <c r="K27" i="120"/>
  <c r="K26" i="120"/>
  <c r="K25" i="120"/>
  <c r="K24" i="120"/>
  <c r="K23" i="120"/>
  <c r="K22" i="120"/>
  <c r="K21" i="120"/>
  <c r="K20" i="120"/>
  <c r="K19" i="120"/>
  <c r="K18" i="120"/>
  <c r="K17" i="120"/>
  <c r="K16" i="120"/>
  <c r="K15" i="120"/>
  <c r="K14" i="120"/>
  <c r="K13" i="120"/>
  <c r="K12" i="120"/>
  <c r="K11" i="120"/>
  <c r="K10" i="120"/>
  <c r="K9" i="120"/>
  <c r="J85" i="120"/>
  <c r="D86" i="120" s="1"/>
  <c r="K84" i="120"/>
  <c r="L83" i="120"/>
  <c r="K83" i="120"/>
  <c r="K64" i="120"/>
  <c r="K63" i="120"/>
  <c r="K62" i="120"/>
  <c r="K61" i="120"/>
  <c r="K60" i="120"/>
  <c r="K59" i="120"/>
  <c r="K58" i="120"/>
  <c r="K57" i="120"/>
  <c r="K56" i="120"/>
  <c r="K55" i="120"/>
  <c r="K54" i="120"/>
  <c r="K53" i="120"/>
  <c r="K52" i="120"/>
  <c r="K51" i="120"/>
  <c r="K50" i="120"/>
  <c r="K49" i="120"/>
  <c r="K48" i="120"/>
  <c r="K47" i="120"/>
  <c r="K46" i="120"/>
  <c r="K45" i="120"/>
  <c r="K44" i="120"/>
  <c r="K43" i="120"/>
  <c r="K8" i="120"/>
  <c r="L7" i="120"/>
  <c r="K7" i="120"/>
  <c r="K85" i="120" l="1"/>
  <c r="L8" i="120"/>
  <c r="L84" i="120"/>
  <c r="K57" i="119"/>
  <c r="K56" i="119"/>
  <c r="K55" i="119"/>
  <c r="K54" i="119"/>
  <c r="K53" i="119"/>
  <c r="K52" i="119"/>
  <c r="K51" i="119"/>
  <c r="K50" i="119"/>
  <c r="K49" i="119"/>
  <c r="K48" i="119"/>
  <c r="K47" i="119"/>
  <c r="K46" i="119" l="1"/>
  <c r="K45" i="119"/>
  <c r="K44" i="119"/>
  <c r="K43" i="119"/>
  <c r="K27" i="119"/>
  <c r="K26" i="119"/>
  <c r="K24" i="119"/>
  <c r="K22" i="119"/>
  <c r="K20" i="119"/>
  <c r="K18" i="119"/>
  <c r="K16" i="119"/>
  <c r="K14" i="119"/>
  <c r="K13" i="119"/>
  <c r="K11" i="119"/>
  <c r="K10" i="119"/>
  <c r="J63" i="119"/>
  <c r="D64" i="119" s="1"/>
  <c r="K62" i="119"/>
  <c r="L61" i="119"/>
  <c r="K61" i="119"/>
  <c r="K60" i="119"/>
  <c r="K59" i="119"/>
  <c r="K58" i="119"/>
  <c r="K42" i="119"/>
  <c r="K41" i="119"/>
  <c r="K40" i="119"/>
  <c r="K39" i="119"/>
  <c r="K38" i="119"/>
  <c r="K37" i="119"/>
  <c r="K36" i="119"/>
  <c r="K35" i="119"/>
  <c r="K34" i="119"/>
  <c r="K8" i="119"/>
  <c r="L7" i="119"/>
  <c r="K7" i="119"/>
  <c r="K63" i="119" l="1"/>
  <c r="L62" i="119"/>
  <c r="L8" i="119"/>
  <c r="K42" i="118"/>
  <c r="K39" i="118" l="1"/>
  <c r="K38" i="118"/>
  <c r="K37" i="118"/>
  <c r="K36" i="118"/>
  <c r="K34" i="118"/>
  <c r="K33" i="118"/>
  <c r="K32" i="118"/>
  <c r="K31" i="118"/>
  <c r="K30" i="118"/>
  <c r="J65" i="118"/>
  <c r="D66" i="118" s="1"/>
  <c r="K64" i="118"/>
  <c r="L63" i="118"/>
  <c r="K63" i="118"/>
  <c r="K62" i="118"/>
  <c r="K61" i="118"/>
  <c r="K60" i="118"/>
  <c r="K59" i="118"/>
  <c r="K58" i="118"/>
  <c r="K57" i="118"/>
  <c r="K56" i="118"/>
  <c r="K55" i="118"/>
  <c r="K54" i="118"/>
  <c r="K53" i="118"/>
  <c r="K52" i="118"/>
  <c r="K51" i="118"/>
  <c r="K50" i="118"/>
  <c r="K49" i="118"/>
  <c r="K48" i="118"/>
  <c r="K47" i="118"/>
  <c r="K46" i="118"/>
  <c r="K45" i="118"/>
  <c r="K44" i="118"/>
  <c r="K43" i="118"/>
  <c r="K40" i="118"/>
  <c r="K29" i="118"/>
  <c r="K28" i="118"/>
  <c r="K27" i="118"/>
  <c r="K26" i="118"/>
  <c r="K25" i="118"/>
  <c r="K24" i="118"/>
  <c r="K23" i="118"/>
  <c r="K22" i="118"/>
  <c r="K21" i="118"/>
  <c r="K20" i="118"/>
  <c r="K19" i="118"/>
  <c r="K18" i="118"/>
  <c r="K17" i="118"/>
  <c r="K16" i="118"/>
  <c r="K15" i="118"/>
  <c r="K14" i="118"/>
  <c r="K13" i="118"/>
  <c r="K12" i="118"/>
  <c r="K11" i="118"/>
  <c r="K10" i="118"/>
  <c r="K9" i="118"/>
  <c r="K8" i="118"/>
  <c r="L7" i="118"/>
  <c r="K7" i="118"/>
  <c r="L64" i="118" l="1"/>
  <c r="K65" i="118"/>
  <c r="L8" i="118"/>
  <c r="K33" i="117"/>
  <c r="K32" i="117"/>
  <c r="K31" i="117"/>
  <c r="K30" i="117"/>
  <c r="K29" i="117"/>
  <c r="K28" i="117"/>
  <c r="K27" i="117"/>
  <c r="K26" i="117"/>
  <c r="K25" i="117"/>
  <c r="K24" i="117"/>
  <c r="K23" i="117"/>
  <c r="K22" i="117"/>
  <c r="K21" i="117"/>
  <c r="K20" i="117"/>
  <c r="K19" i="117"/>
  <c r="K18" i="117"/>
  <c r="K17" i="117"/>
  <c r="K16" i="117"/>
  <c r="K15" i="117"/>
  <c r="K14" i="117"/>
  <c r="K13" i="117"/>
  <c r="K12" i="117"/>
  <c r="K11" i="117"/>
  <c r="K10" i="117"/>
  <c r="K65" i="117"/>
  <c r="K64" i="117"/>
  <c r="K63" i="117"/>
  <c r="K62" i="117"/>
  <c r="K61" i="117"/>
  <c r="K60" i="117"/>
  <c r="K59" i="117"/>
  <c r="K58" i="117"/>
  <c r="K57" i="117"/>
  <c r="K56" i="117"/>
  <c r="K55" i="117"/>
  <c r="K54" i="117"/>
  <c r="K53" i="117"/>
  <c r="K52" i="117"/>
  <c r="K51" i="117"/>
  <c r="K50" i="117"/>
  <c r="K49" i="117"/>
  <c r="K48" i="117"/>
  <c r="K47" i="117"/>
  <c r="K46" i="117"/>
  <c r="K45" i="117"/>
  <c r="K44" i="117"/>
  <c r="K43" i="117"/>
  <c r="K42" i="117"/>
  <c r="K41" i="117"/>
  <c r="K40" i="117"/>
  <c r="K39" i="117"/>
  <c r="K38" i="117"/>
  <c r="K37" i="117"/>
  <c r="K36" i="117"/>
  <c r="K35" i="117"/>
  <c r="J68" i="117"/>
  <c r="D69" i="117" s="1"/>
  <c r="K67" i="117"/>
  <c r="L66" i="117"/>
  <c r="K66" i="117"/>
  <c r="K34" i="117"/>
  <c r="K9" i="117"/>
  <c r="K8" i="117"/>
  <c r="L7" i="117"/>
  <c r="K7" i="117"/>
  <c r="L8" i="117" l="1"/>
  <c r="K68" i="117"/>
  <c r="L67" i="117"/>
  <c r="K47" i="116"/>
  <c r="K46" i="116"/>
  <c r="K42" i="116"/>
  <c r="K40" i="116"/>
  <c r="K39" i="116"/>
  <c r="K31" i="116"/>
  <c r="K30" i="116"/>
  <c r="K28" i="116"/>
  <c r="K27" i="116"/>
  <c r="K19" i="116"/>
  <c r="K21" i="116"/>
  <c r="K22" i="116"/>
  <c r="K24" i="116"/>
  <c r="K25" i="116"/>
  <c r="K18" i="116"/>
  <c r="K16" i="116"/>
  <c r="K15" i="116"/>
  <c r="K13" i="116"/>
  <c r="K12" i="116"/>
  <c r="K10" i="116"/>
  <c r="K9" i="116"/>
  <c r="J57" i="116"/>
  <c r="D58" i="116" s="1"/>
  <c r="K56" i="116"/>
  <c r="L55" i="116"/>
  <c r="K55" i="116"/>
  <c r="K54" i="116"/>
  <c r="K53" i="116"/>
  <c r="K34" i="116"/>
  <c r="K33" i="116"/>
  <c r="K8" i="116"/>
  <c r="L7" i="116"/>
  <c r="K7" i="116"/>
  <c r="L56" i="116" l="1"/>
  <c r="K57" i="116"/>
  <c r="L8" i="116"/>
  <c r="K45" i="113"/>
  <c r="K44" i="113"/>
  <c r="K43" i="113"/>
  <c r="K40" i="115" l="1"/>
  <c r="K39" i="115"/>
  <c r="K38" i="115"/>
  <c r="K37" i="115"/>
  <c r="K36" i="115"/>
  <c r="K35" i="115"/>
  <c r="K34" i="115"/>
  <c r="K33" i="115"/>
  <c r="K32" i="115"/>
  <c r="J75" i="115" l="1"/>
  <c r="D76" i="115" s="1"/>
  <c r="K74" i="115"/>
  <c r="L73" i="115"/>
  <c r="K73" i="115"/>
  <c r="K72" i="115"/>
  <c r="K71" i="115"/>
  <c r="K70" i="115"/>
  <c r="K69" i="115"/>
  <c r="K68" i="115"/>
  <c r="K67" i="115"/>
  <c r="K66" i="115"/>
  <c r="K65" i="115"/>
  <c r="K64" i="115"/>
  <c r="K63" i="115"/>
  <c r="K62" i="115"/>
  <c r="K61" i="115"/>
  <c r="K60" i="115"/>
  <c r="K59" i="115"/>
  <c r="K58" i="115"/>
  <c r="K57" i="115"/>
  <c r="K56" i="115"/>
  <c r="K55" i="115"/>
  <c r="K54" i="115"/>
  <c r="K53" i="115"/>
  <c r="K52" i="115"/>
  <c r="K51" i="115"/>
  <c r="K50" i="115"/>
  <c r="K49" i="115"/>
  <c r="K48" i="115"/>
  <c r="K47" i="115"/>
  <c r="K46" i="115"/>
  <c r="K45" i="115"/>
  <c r="K44" i="115"/>
  <c r="K42" i="115"/>
  <c r="K41" i="115"/>
  <c r="K31" i="115"/>
  <c r="K30" i="115"/>
  <c r="K29" i="115"/>
  <c r="K28" i="115"/>
  <c r="K27" i="115"/>
  <c r="K26" i="115"/>
  <c r="K25" i="115"/>
  <c r="K24" i="115"/>
  <c r="K23" i="115"/>
  <c r="K22" i="115"/>
  <c r="K21" i="115"/>
  <c r="K20" i="115"/>
  <c r="K19" i="115"/>
  <c r="K18" i="115"/>
  <c r="K17" i="115"/>
  <c r="K16" i="115"/>
  <c r="K15" i="115"/>
  <c r="K14" i="115"/>
  <c r="K13" i="115"/>
  <c r="K12" i="115"/>
  <c r="K11" i="115"/>
  <c r="K10" i="115"/>
  <c r="K9" i="115"/>
  <c r="K8" i="115"/>
  <c r="L7" i="115"/>
  <c r="K7" i="115"/>
  <c r="L74" i="115" l="1"/>
  <c r="K75" i="115"/>
  <c r="L8" i="115"/>
  <c r="J83" i="114"/>
  <c r="D84" i="114" s="1"/>
  <c r="K21" i="114"/>
  <c r="K82" i="114"/>
  <c r="L81" i="114"/>
  <c r="K81" i="114"/>
  <c r="K80" i="114"/>
  <c r="K79" i="114"/>
  <c r="K78" i="114"/>
  <c r="K77" i="114"/>
  <c r="K76" i="114"/>
  <c r="K75" i="114"/>
  <c r="K74" i="114"/>
  <c r="K73" i="114"/>
  <c r="K72" i="114"/>
  <c r="K71" i="114"/>
  <c r="K70" i="114"/>
  <c r="K69" i="114"/>
  <c r="K68" i="114"/>
  <c r="K67" i="114"/>
  <c r="K66" i="114"/>
  <c r="K65" i="114"/>
  <c r="K64" i="114"/>
  <c r="K63" i="114"/>
  <c r="K62" i="114"/>
  <c r="K61" i="114"/>
  <c r="K60" i="114"/>
  <c r="K59" i="114"/>
  <c r="K58" i="114"/>
  <c r="K57" i="114"/>
  <c r="K56" i="114"/>
  <c r="K55" i="114"/>
  <c r="K54" i="114"/>
  <c r="K53" i="114"/>
  <c r="K52" i="114"/>
  <c r="K51" i="114"/>
  <c r="K50" i="114"/>
  <c r="K49" i="114"/>
  <c r="K48" i="114"/>
  <c r="K47" i="114"/>
  <c r="K46" i="114"/>
  <c r="K45" i="114"/>
  <c r="K44" i="114"/>
  <c r="K43" i="114"/>
  <c r="K42" i="114"/>
  <c r="K41" i="114"/>
  <c r="K40" i="114"/>
  <c r="K39" i="114"/>
  <c r="K38" i="114"/>
  <c r="K37" i="114"/>
  <c r="K36" i="114"/>
  <c r="K34" i="114"/>
  <c r="K33" i="114"/>
  <c r="K32" i="114"/>
  <c r="K31" i="114"/>
  <c r="K30" i="114"/>
  <c r="K29" i="114"/>
  <c r="K28" i="114"/>
  <c r="K27" i="114"/>
  <c r="K26" i="114"/>
  <c r="K25" i="114"/>
  <c r="K24" i="114"/>
  <c r="K23" i="114"/>
  <c r="K22" i="114"/>
  <c r="K20" i="114"/>
  <c r="K19" i="114"/>
  <c r="K18" i="114"/>
  <c r="K17" i="114"/>
  <c r="K16" i="114"/>
  <c r="K15" i="114"/>
  <c r="K14" i="114"/>
  <c r="K13" i="114"/>
  <c r="K12" i="114"/>
  <c r="K11" i="114"/>
  <c r="K10" i="114"/>
  <c r="K9" i="114"/>
  <c r="K8" i="114"/>
  <c r="L7" i="114"/>
  <c r="K7" i="114"/>
  <c r="L8" i="114" l="1"/>
  <c r="K83" i="114"/>
  <c r="L82" i="114"/>
  <c r="K97" i="113"/>
  <c r="K96" i="113"/>
  <c r="K95" i="113"/>
  <c r="K94" i="113"/>
  <c r="K93" i="113"/>
  <c r="K92" i="113"/>
  <c r="K91" i="113"/>
  <c r="K90" i="113"/>
  <c r="K89" i="113"/>
  <c r="K88" i="113"/>
  <c r="K87" i="113"/>
  <c r="K86" i="113"/>
  <c r="K85" i="113"/>
  <c r="K84" i="113"/>
  <c r="K83" i="113"/>
  <c r="K82" i="113"/>
  <c r="K81" i="113"/>
  <c r="K80" i="113"/>
  <c r="K79" i="113"/>
  <c r="K78" i="113"/>
  <c r="K77" i="113"/>
  <c r="K76" i="113"/>
  <c r="K75" i="113"/>
  <c r="K74" i="113"/>
  <c r="K73" i="113"/>
  <c r="K72" i="113"/>
  <c r="K71" i="113"/>
  <c r="K70" i="113"/>
  <c r="K69" i="113"/>
  <c r="K68" i="113"/>
  <c r="K67" i="113"/>
  <c r="K66" i="113"/>
  <c r="K65" i="113"/>
  <c r="K64" i="113"/>
  <c r="K63" i="113"/>
  <c r="K62" i="113"/>
  <c r="K61" i="113"/>
  <c r="K60" i="113"/>
  <c r="K59" i="113"/>
  <c r="K58" i="113"/>
  <c r="K57" i="113"/>
  <c r="K56" i="113"/>
  <c r="K55" i="113"/>
  <c r="K50" i="113"/>
  <c r="K49" i="113"/>
  <c r="K48" i="113"/>
  <c r="K47" i="113"/>
  <c r="K46" i="113"/>
  <c r="K42" i="113"/>
  <c r="K41" i="113"/>
  <c r="K40" i="113"/>
  <c r="K39" i="113"/>
  <c r="K38" i="113"/>
  <c r="K37" i="113"/>
  <c r="K36" i="113"/>
  <c r="K35" i="113"/>
  <c r="K34" i="113"/>
  <c r="K33" i="113"/>
  <c r="K32" i="113"/>
  <c r="K31" i="113"/>
  <c r="K30" i="113"/>
  <c r="K29" i="113"/>
  <c r="K28" i="113"/>
  <c r="K27" i="113"/>
  <c r="K26" i="113"/>
  <c r="K25" i="113"/>
  <c r="K24" i="113"/>
  <c r="K23" i="113"/>
  <c r="K22" i="113"/>
  <c r="K21" i="113"/>
  <c r="K20" i="113"/>
  <c r="K19" i="113"/>
  <c r="K18" i="113"/>
  <c r="K17" i="113"/>
  <c r="K16" i="113"/>
  <c r="K15" i="113"/>
  <c r="K14" i="113"/>
  <c r="K13" i="113"/>
  <c r="K12" i="113"/>
  <c r="K11" i="113"/>
  <c r="K10" i="113"/>
  <c r="K9" i="113"/>
  <c r="F73" i="113" l="1"/>
  <c r="F71" i="113"/>
  <c r="F69" i="113"/>
  <c r="F68" i="113"/>
  <c r="F67" i="113"/>
  <c r="F66" i="113"/>
  <c r="E66" i="113"/>
  <c r="K54" i="113"/>
  <c r="J101" i="113"/>
  <c r="D102" i="113" s="1"/>
  <c r="K100" i="113"/>
  <c r="L99" i="113"/>
  <c r="K99" i="113"/>
  <c r="K98" i="113"/>
  <c r="K52" i="113"/>
  <c r="K51" i="113"/>
  <c r="K8" i="113"/>
  <c r="L7" i="113"/>
  <c r="K7" i="113"/>
  <c r="L100" i="113" l="1"/>
  <c r="L8" i="113"/>
  <c r="K101" i="113"/>
  <c r="K74" i="112"/>
  <c r="K73" i="112"/>
  <c r="K70" i="112"/>
  <c r="K69" i="112"/>
  <c r="K66" i="112"/>
  <c r="K65" i="112"/>
  <c r="K28" i="109" l="1"/>
  <c r="K19" i="111"/>
  <c r="K18" i="111"/>
  <c r="K59" i="112" l="1"/>
  <c r="K60" i="112"/>
  <c r="K61" i="112"/>
  <c r="K58" i="112"/>
  <c r="K17" i="112"/>
  <c r="K24" i="112"/>
  <c r="K23" i="112"/>
  <c r="K22" i="112"/>
  <c r="K21" i="112"/>
  <c r="K20" i="112"/>
  <c r="K19" i="112"/>
  <c r="K9" i="112"/>
  <c r="K10" i="112"/>
  <c r="K11" i="112"/>
  <c r="K12" i="112"/>
  <c r="K13" i="112"/>
  <c r="K14" i="112"/>
  <c r="K15" i="112"/>
  <c r="K16" i="112"/>
  <c r="K18" i="112"/>
  <c r="K25" i="112"/>
  <c r="K26" i="112"/>
  <c r="K27" i="112"/>
  <c r="K40" i="112"/>
  <c r="K41" i="112"/>
  <c r="K42" i="112"/>
  <c r="K43" i="112"/>
  <c r="K44" i="112"/>
  <c r="K45" i="112"/>
  <c r="K46" i="112"/>
  <c r="K47" i="112"/>
  <c r="K48" i="112"/>
  <c r="K49" i="112"/>
  <c r="K50" i="112"/>
  <c r="K51" i="112"/>
  <c r="K52" i="112"/>
  <c r="K53" i="112"/>
  <c r="K54" i="112"/>
  <c r="K55" i="112"/>
  <c r="K56" i="112"/>
  <c r="K57" i="112"/>
  <c r="K62" i="112"/>
  <c r="K77" i="112"/>
  <c r="K78" i="112"/>
  <c r="K28" i="112"/>
  <c r="K29" i="112"/>
  <c r="K30" i="112"/>
  <c r="K32" i="112"/>
  <c r="K33" i="112"/>
  <c r="K34" i="112"/>
  <c r="K35" i="112"/>
  <c r="K36" i="112"/>
  <c r="K81" i="112"/>
  <c r="L80" i="112"/>
  <c r="K80" i="112"/>
  <c r="K79" i="112"/>
  <c r="K38" i="112"/>
  <c r="K37" i="112"/>
  <c r="K8" i="112"/>
  <c r="K7" i="112"/>
  <c r="L7" i="112" l="1"/>
  <c r="J82" i="112"/>
  <c r="D83" i="112" s="1"/>
  <c r="L81" i="112"/>
  <c r="L8" i="112"/>
  <c r="K82" i="112"/>
  <c r="K38" i="111"/>
  <c r="K37" i="111"/>
  <c r="K36" i="111"/>
  <c r="K32" i="111" l="1"/>
  <c r="K28" i="111"/>
  <c r="K16" i="111"/>
  <c r="K15" i="111"/>
  <c r="K13" i="111"/>
  <c r="K12" i="111"/>
  <c r="K11" i="111"/>
  <c r="K10" i="111"/>
  <c r="J54" i="111"/>
  <c r="D55" i="111" s="1"/>
  <c r="K53" i="111"/>
  <c r="L52" i="111"/>
  <c r="K52" i="111"/>
  <c r="K51" i="111"/>
  <c r="K27" i="111"/>
  <c r="K26" i="111"/>
  <c r="K25" i="111"/>
  <c r="K24" i="111"/>
  <c r="K8" i="111"/>
  <c r="L7" i="111"/>
  <c r="K7" i="111"/>
  <c r="L53" i="111" l="1"/>
  <c r="L8" i="111"/>
  <c r="K54" i="111"/>
  <c r="K13" i="110"/>
  <c r="K12" i="110"/>
  <c r="J43" i="110" l="1"/>
  <c r="D44" i="110" s="1"/>
  <c r="K42" i="110"/>
  <c r="L41" i="110"/>
  <c r="K41" i="110"/>
  <c r="K40" i="110"/>
  <c r="K39" i="110"/>
  <c r="K38" i="110"/>
  <c r="K37" i="110"/>
  <c r="K36" i="110"/>
  <c r="K35" i="110"/>
  <c r="K34" i="110"/>
  <c r="K33" i="110"/>
  <c r="K32" i="110"/>
  <c r="K31" i="110"/>
  <c r="K30" i="110"/>
  <c r="K29" i="110"/>
  <c r="K28" i="110"/>
  <c r="K27" i="110"/>
  <c r="K26" i="110"/>
  <c r="K25" i="110"/>
  <c r="K24" i="110"/>
  <c r="K23" i="110"/>
  <c r="K22" i="110"/>
  <c r="K21" i="110"/>
  <c r="K20" i="110"/>
  <c r="K19" i="110"/>
  <c r="K18" i="110"/>
  <c r="K17" i="110"/>
  <c r="K16" i="110"/>
  <c r="K15" i="110"/>
  <c r="K14" i="110"/>
  <c r="K11" i="110"/>
  <c r="K10" i="110"/>
  <c r="K9" i="110"/>
  <c r="K8" i="110"/>
  <c r="L7" i="110"/>
  <c r="K7" i="110"/>
  <c r="L8" i="110" l="1"/>
  <c r="L42" i="110"/>
  <c r="K43" i="110"/>
  <c r="K9" i="109"/>
  <c r="J59" i="109" l="1"/>
  <c r="D60" i="109" s="1"/>
  <c r="K58" i="109"/>
  <c r="L57" i="109"/>
  <c r="K57" i="109"/>
  <c r="K56" i="109"/>
  <c r="K55" i="109"/>
  <c r="K54" i="109"/>
  <c r="K53" i="109"/>
  <c r="K52" i="109"/>
  <c r="K51" i="109"/>
  <c r="K50" i="109"/>
  <c r="K49" i="109"/>
  <c r="K48" i="109"/>
  <c r="K47" i="109"/>
  <c r="K46" i="109"/>
  <c r="K45" i="109"/>
  <c r="K44" i="109"/>
  <c r="K43" i="109"/>
  <c r="K42" i="109"/>
  <c r="K41" i="109"/>
  <c r="K40" i="109"/>
  <c r="K39" i="109"/>
  <c r="K38" i="109"/>
  <c r="K37" i="109"/>
  <c r="K36" i="109"/>
  <c r="K35" i="109"/>
  <c r="K34" i="109"/>
  <c r="K33" i="109"/>
  <c r="K32" i="109"/>
  <c r="K31" i="109"/>
  <c r="K30" i="109"/>
  <c r="K29" i="109"/>
  <c r="K27" i="109"/>
  <c r="K26" i="109"/>
  <c r="K25" i="109"/>
  <c r="K24" i="109"/>
  <c r="K23" i="109"/>
  <c r="K22" i="109"/>
  <c r="K21" i="109"/>
  <c r="K20" i="109"/>
  <c r="K19" i="109"/>
  <c r="K18" i="109"/>
  <c r="K17" i="109"/>
  <c r="K16" i="109"/>
  <c r="K15" i="109"/>
  <c r="K14" i="109"/>
  <c r="K13" i="109"/>
  <c r="K12" i="109"/>
  <c r="K11" i="109"/>
  <c r="K10" i="109"/>
  <c r="K8" i="109"/>
  <c r="L7" i="109"/>
  <c r="K7" i="109"/>
  <c r="L58" i="109" l="1"/>
  <c r="K59" i="109"/>
  <c r="L8" i="109"/>
  <c r="K43" i="108"/>
  <c r="K42" i="108"/>
  <c r="K41" i="108"/>
  <c r="K40" i="108"/>
  <c r="K39" i="108"/>
  <c r="K38" i="108"/>
  <c r="K37" i="108"/>
  <c r="K36" i="108"/>
  <c r="J79" i="108" l="1"/>
  <c r="D80" i="108" s="1"/>
  <c r="K78" i="108"/>
  <c r="L77" i="108"/>
  <c r="K77" i="108"/>
  <c r="K76" i="108"/>
  <c r="K75" i="108"/>
  <c r="K74" i="108"/>
  <c r="K73" i="108"/>
  <c r="K72" i="108"/>
  <c r="K71" i="108"/>
  <c r="K70" i="108"/>
  <c r="K69" i="108"/>
  <c r="K68" i="108"/>
  <c r="K67" i="108"/>
  <c r="K66" i="108"/>
  <c r="K65" i="108"/>
  <c r="K64" i="108"/>
  <c r="K63" i="108"/>
  <c r="K62" i="108"/>
  <c r="K61" i="108"/>
  <c r="K60" i="108"/>
  <c r="K59" i="108"/>
  <c r="K58" i="108"/>
  <c r="K57" i="108"/>
  <c r="K56" i="108"/>
  <c r="K55" i="108"/>
  <c r="K54" i="108"/>
  <c r="K53" i="108"/>
  <c r="K52" i="108"/>
  <c r="K51" i="108"/>
  <c r="K50" i="108"/>
  <c r="K49" i="108"/>
  <c r="K48" i="108"/>
  <c r="K47" i="108"/>
  <c r="K46" i="108"/>
  <c r="K45" i="108"/>
  <c r="K44" i="108"/>
  <c r="K35" i="108"/>
  <c r="K34" i="108"/>
  <c r="K33" i="108"/>
  <c r="K32" i="108"/>
  <c r="K31" i="108"/>
  <c r="K30" i="108"/>
  <c r="K29" i="108"/>
  <c r="K28" i="108"/>
  <c r="K27" i="108"/>
  <c r="K26" i="108"/>
  <c r="K25" i="108"/>
  <c r="K24" i="108"/>
  <c r="K23" i="108"/>
  <c r="K22" i="108"/>
  <c r="K21" i="108"/>
  <c r="K20" i="108"/>
  <c r="K19" i="108"/>
  <c r="K18" i="108"/>
  <c r="K17" i="108"/>
  <c r="K16" i="108"/>
  <c r="K15" i="108"/>
  <c r="K14" i="108"/>
  <c r="K13" i="108"/>
  <c r="K12" i="108"/>
  <c r="K11" i="108"/>
  <c r="K10" i="108"/>
  <c r="K9" i="108"/>
  <c r="K8" i="108"/>
  <c r="L7" i="108"/>
  <c r="K7" i="108"/>
  <c r="L78" i="108" l="1"/>
  <c r="K79" i="108"/>
  <c r="L8" i="108"/>
  <c r="J72" i="107"/>
  <c r="D73" i="107" s="1"/>
  <c r="K71" i="107"/>
  <c r="L70" i="107"/>
  <c r="K70" i="107"/>
  <c r="K69" i="107"/>
  <c r="K68" i="107"/>
  <c r="K67" i="107"/>
  <c r="K66" i="107"/>
  <c r="K65" i="107"/>
  <c r="K64" i="107"/>
  <c r="K63" i="107"/>
  <c r="K62" i="107"/>
  <c r="K61" i="107"/>
  <c r="K60" i="107"/>
  <c r="K59" i="107"/>
  <c r="K58" i="107"/>
  <c r="K57" i="107"/>
  <c r="K56" i="107"/>
  <c r="K55" i="107"/>
  <c r="K54" i="107"/>
  <c r="K53" i="107"/>
  <c r="K52" i="107"/>
  <c r="K51" i="107"/>
  <c r="K50" i="107"/>
  <c r="K49" i="107"/>
  <c r="K48" i="107"/>
  <c r="K47" i="107"/>
  <c r="K46" i="107"/>
  <c r="K45" i="107"/>
  <c r="K44" i="107"/>
  <c r="K43" i="107"/>
  <c r="K42" i="107"/>
  <c r="K41" i="107"/>
  <c r="K40" i="107"/>
  <c r="K39" i="107"/>
  <c r="K38" i="107"/>
  <c r="K37" i="107"/>
  <c r="K36" i="107"/>
  <c r="K35" i="107"/>
  <c r="K34" i="107"/>
  <c r="K33" i="107"/>
  <c r="K32" i="107"/>
  <c r="K31" i="107"/>
  <c r="K30" i="107"/>
  <c r="K29" i="107"/>
  <c r="K28" i="107"/>
  <c r="K27" i="107"/>
  <c r="K26" i="107"/>
  <c r="K25" i="107"/>
  <c r="K24" i="107"/>
  <c r="K23" i="107"/>
  <c r="K22" i="107"/>
  <c r="K21" i="107"/>
  <c r="K20" i="107"/>
  <c r="K19" i="107"/>
  <c r="K18" i="107"/>
  <c r="K17" i="107"/>
  <c r="K16" i="107"/>
  <c r="K15" i="107"/>
  <c r="K14" i="107"/>
  <c r="K13" i="107"/>
  <c r="K12" i="107"/>
  <c r="K11" i="107"/>
  <c r="K10" i="107"/>
  <c r="K9" i="107"/>
  <c r="K8" i="107"/>
  <c r="L7" i="107"/>
  <c r="K7" i="107"/>
  <c r="K72" i="107" l="1"/>
  <c r="L71" i="107"/>
  <c r="L8" i="107"/>
  <c r="E82" i="106"/>
  <c r="K86" i="106"/>
  <c r="K85" i="106"/>
  <c r="K84" i="106"/>
  <c r="K83" i="106"/>
  <c r="K82" i="106"/>
  <c r="K81" i="106"/>
  <c r="K80" i="106"/>
  <c r="K76" i="106"/>
  <c r="K75" i="106"/>
  <c r="K74" i="106"/>
  <c r="K73" i="106"/>
  <c r="K72" i="106"/>
  <c r="K71" i="106"/>
  <c r="K68" i="106"/>
  <c r="K67" i="106"/>
  <c r="K66" i="106"/>
  <c r="K65" i="106"/>
  <c r="K64" i="106"/>
  <c r="K63" i="106"/>
  <c r="K62" i="106"/>
  <c r="K37" i="106" l="1"/>
  <c r="K36" i="106"/>
  <c r="K35" i="106"/>
  <c r="K34" i="106"/>
  <c r="K33" i="106"/>
  <c r="K32" i="106"/>
  <c r="K31" i="106"/>
  <c r="J90" i="106"/>
  <c r="D91" i="106" s="1"/>
  <c r="K89" i="106"/>
  <c r="L88" i="106"/>
  <c r="K88" i="106"/>
  <c r="K87" i="106"/>
  <c r="K79" i="106"/>
  <c r="K78" i="106"/>
  <c r="K77" i="106"/>
  <c r="K70" i="106"/>
  <c r="K69" i="106"/>
  <c r="K61" i="106"/>
  <c r="K60" i="106"/>
  <c r="K59" i="106"/>
  <c r="K58" i="106"/>
  <c r="K57" i="106"/>
  <c r="K56" i="106"/>
  <c r="K55" i="106"/>
  <c r="K54" i="106"/>
  <c r="K53" i="106"/>
  <c r="K52" i="106"/>
  <c r="K51" i="106"/>
  <c r="K50" i="106"/>
  <c r="K49" i="106"/>
  <c r="K48" i="106"/>
  <c r="K47" i="106"/>
  <c r="K46" i="106"/>
  <c r="K45" i="106"/>
  <c r="K44" i="106"/>
  <c r="K43" i="106"/>
  <c r="K42" i="106"/>
  <c r="K41" i="106"/>
  <c r="K40" i="106"/>
  <c r="K39" i="106"/>
  <c r="K38" i="106"/>
  <c r="K30" i="106"/>
  <c r="K29" i="106"/>
  <c r="K28" i="106"/>
  <c r="K27" i="106"/>
  <c r="K26" i="106"/>
  <c r="K25" i="106"/>
  <c r="K24" i="106"/>
  <c r="K23" i="106"/>
  <c r="K22" i="106"/>
  <c r="K21" i="106"/>
  <c r="K20" i="106"/>
  <c r="K19" i="106"/>
  <c r="K18" i="106"/>
  <c r="K17" i="106"/>
  <c r="K16" i="106"/>
  <c r="K15" i="106"/>
  <c r="K14" i="106"/>
  <c r="K13" i="106"/>
  <c r="K12" i="106"/>
  <c r="K11" i="106"/>
  <c r="K10" i="106"/>
  <c r="K9" i="106"/>
  <c r="K8" i="106"/>
  <c r="L7" i="106"/>
  <c r="K7" i="106"/>
  <c r="K90" i="106" l="1"/>
  <c r="L89" i="106"/>
  <c r="L8" i="106"/>
  <c r="F35" i="105"/>
  <c r="E35" i="105"/>
  <c r="K30" i="105"/>
  <c r="K29" i="105"/>
  <c r="K28" i="105"/>
  <c r="K27" i="105"/>
  <c r="K26" i="105"/>
  <c r="K25" i="105"/>
  <c r="K24" i="105"/>
  <c r="K23" i="105"/>
  <c r="K22" i="105"/>
  <c r="K21" i="105"/>
  <c r="K20" i="105"/>
  <c r="K19" i="105"/>
  <c r="K18" i="105"/>
  <c r="K16" i="105"/>
  <c r="J67" i="105" l="1"/>
  <c r="D68" i="105" s="1"/>
  <c r="K66" i="105"/>
  <c r="L65" i="105"/>
  <c r="K65" i="105"/>
  <c r="K64" i="105"/>
  <c r="K63" i="105"/>
  <c r="K62" i="105"/>
  <c r="K61" i="105"/>
  <c r="K60" i="105"/>
  <c r="K59" i="105"/>
  <c r="K58" i="105"/>
  <c r="K57" i="105"/>
  <c r="K56" i="105"/>
  <c r="K55" i="105"/>
  <c r="K54" i="105"/>
  <c r="K53" i="105"/>
  <c r="K52" i="105"/>
  <c r="K51" i="105"/>
  <c r="K50" i="105"/>
  <c r="K49" i="105"/>
  <c r="K48" i="105"/>
  <c r="K47" i="105"/>
  <c r="K46" i="105"/>
  <c r="K45" i="105"/>
  <c r="K44" i="105"/>
  <c r="K43" i="105"/>
  <c r="K42" i="105"/>
  <c r="K41" i="105"/>
  <c r="K40" i="105"/>
  <c r="K39" i="105"/>
  <c r="K38" i="105"/>
  <c r="K37" i="105"/>
  <c r="K36" i="105"/>
  <c r="K35" i="105"/>
  <c r="K34" i="105"/>
  <c r="K33" i="105"/>
  <c r="K32" i="105"/>
  <c r="K31" i="105"/>
  <c r="K17" i="105"/>
  <c r="K15" i="105"/>
  <c r="K14" i="105"/>
  <c r="K13" i="105"/>
  <c r="K12" i="105"/>
  <c r="K11" i="105"/>
  <c r="K10" i="105"/>
  <c r="K9" i="105"/>
  <c r="K8" i="105"/>
  <c r="L7" i="105"/>
  <c r="K7" i="105"/>
  <c r="K67" i="105" l="1"/>
  <c r="L66" i="105"/>
  <c r="L8" i="105"/>
  <c r="J84" i="104"/>
  <c r="D85" i="104" s="1"/>
  <c r="K83" i="104"/>
  <c r="L82" i="104"/>
  <c r="K82" i="104"/>
  <c r="K81" i="104"/>
  <c r="K80" i="104"/>
  <c r="K79" i="104"/>
  <c r="K78" i="104"/>
  <c r="K77" i="104"/>
  <c r="K76" i="104"/>
  <c r="K75" i="104"/>
  <c r="K74" i="104"/>
  <c r="K73" i="104"/>
  <c r="K72" i="104"/>
  <c r="K71" i="104"/>
  <c r="K70" i="104"/>
  <c r="K69" i="104"/>
  <c r="K68" i="104"/>
  <c r="K67" i="104"/>
  <c r="K66" i="104"/>
  <c r="K65" i="104"/>
  <c r="K64" i="104"/>
  <c r="K63" i="104"/>
  <c r="K62" i="104"/>
  <c r="K61" i="104"/>
  <c r="K60" i="104"/>
  <c r="K59" i="104"/>
  <c r="K58" i="104"/>
  <c r="K57" i="104"/>
  <c r="K56" i="104"/>
  <c r="K55" i="104"/>
  <c r="K54" i="104"/>
  <c r="K53" i="104"/>
  <c r="K52" i="104"/>
  <c r="K51" i="104"/>
  <c r="K50" i="104"/>
  <c r="K49" i="104"/>
  <c r="K48" i="104"/>
  <c r="K47" i="104"/>
  <c r="K46" i="104"/>
  <c r="K45" i="104"/>
  <c r="K44" i="104"/>
  <c r="K43" i="104"/>
  <c r="K42" i="104"/>
  <c r="K41" i="104"/>
  <c r="K40" i="104"/>
  <c r="K39" i="104"/>
  <c r="K38" i="104"/>
  <c r="K37" i="104"/>
  <c r="K36" i="104"/>
  <c r="K35" i="104"/>
  <c r="K34" i="104"/>
  <c r="K33" i="104"/>
  <c r="K32" i="104"/>
  <c r="K31" i="104"/>
  <c r="K30" i="104"/>
  <c r="K29" i="104"/>
  <c r="K28" i="104"/>
  <c r="K27" i="104"/>
  <c r="K26" i="104"/>
  <c r="K25" i="104"/>
  <c r="K24" i="104"/>
  <c r="K22" i="104"/>
  <c r="K20" i="104"/>
  <c r="K18" i="104"/>
  <c r="K17" i="104"/>
  <c r="K15" i="104"/>
  <c r="K14" i="104"/>
  <c r="K13" i="104"/>
  <c r="K12" i="104"/>
  <c r="K11" i="104"/>
  <c r="K10" i="104"/>
  <c r="K9" i="104"/>
  <c r="K8" i="104"/>
  <c r="L7" i="104"/>
  <c r="K7" i="104"/>
  <c r="F77" i="103"/>
  <c r="K44" i="103"/>
  <c r="K45" i="103"/>
  <c r="K46" i="103"/>
  <c r="K47" i="103"/>
  <c r="K48" i="103"/>
  <c r="K49" i="103"/>
  <c r="K50" i="103"/>
  <c r="K32" i="103"/>
  <c r="K33" i="103"/>
  <c r="K34" i="103"/>
  <c r="K35" i="103"/>
  <c r="K36" i="103"/>
  <c r="K37" i="103"/>
  <c r="K38" i="103"/>
  <c r="K39" i="103"/>
  <c r="K40" i="103"/>
  <c r="K41" i="103"/>
  <c r="K42" i="103"/>
  <c r="K43" i="103"/>
  <c r="L83" i="104" l="1"/>
  <c r="L8" i="104"/>
  <c r="K84" i="104"/>
  <c r="K64" i="102"/>
  <c r="K63" i="102"/>
  <c r="K62" i="102"/>
  <c r="K29" i="103"/>
  <c r="K28" i="103"/>
  <c r="K27" i="103"/>
  <c r="K65" i="102"/>
  <c r="K25" i="103"/>
  <c r="K24" i="103"/>
  <c r="K22" i="103"/>
  <c r="K27" i="102"/>
  <c r="K23" i="102"/>
  <c r="K20" i="103"/>
  <c r="K18" i="103"/>
  <c r="K17" i="103"/>
  <c r="K14" i="103"/>
  <c r="J85" i="103"/>
  <c r="D86" i="103" s="1"/>
  <c r="K84" i="103"/>
  <c r="L83" i="103"/>
  <c r="K83" i="103"/>
  <c r="K82" i="103"/>
  <c r="K81" i="103"/>
  <c r="K80" i="103"/>
  <c r="K79" i="103"/>
  <c r="K78" i="103"/>
  <c r="K77" i="103"/>
  <c r="K76" i="103"/>
  <c r="K75" i="103"/>
  <c r="K74" i="103"/>
  <c r="K73" i="103"/>
  <c r="K72" i="103"/>
  <c r="K71" i="103"/>
  <c r="K70" i="103"/>
  <c r="K69" i="103"/>
  <c r="K68" i="103"/>
  <c r="K67" i="103"/>
  <c r="K66" i="103"/>
  <c r="K65" i="103"/>
  <c r="K64" i="103"/>
  <c r="K63" i="103"/>
  <c r="K62" i="103"/>
  <c r="K61" i="103"/>
  <c r="K60" i="103"/>
  <c r="K59" i="103"/>
  <c r="K58" i="103"/>
  <c r="K57" i="103"/>
  <c r="K56" i="103"/>
  <c r="K55" i="103"/>
  <c r="K54" i="103"/>
  <c r="K53" i="103"/>
  <c r="K52" i="103"/>
  <c r="K51" i="103"/>
  <c r="K31" i="103"/>
  <c r="K30" i="103"/>
  <c r="K26" i="103"/>
  <c r="K15" i="103"/>
  <c r="K13" i="103"/>
  <c r="K12" i="103"/>
  <c r="K11" i="103"/>
  <c r="K10" i="103"/>
  <c r="K9" i="103"/>
  <c r="K8" i="103"/>
  <c r="L7" i="103"/>
  <c r="K7" i="103"/>
  <c r="K85" i="103" l="1"/>
  <c r="L84" i="103"/>
  <c r="L8" i="103"/>
  <c r="J68" i="102"/>
  <c r="D69" i="102" s="1"/>
  <c r="K67" i="102"/>
  <c r="L66" i="102"/>
  <c r="K66" i="102"/>
  <c r="K61" i="102"/>
  <c r="K60" i="102"/>
  <c r="K59" i="102"/>
  <c r="K58" i="102"/>
  <c r="K57" i="102"/>
  <c r="K56" i="102"/>
  <c r="K55" i="102"/>
  <c r="K54" i="102"/>
  <c r="K53" i="102"/>
  <c r="K52" i="102"/>
  <c r="K51" i="102"/>
  <c r="K50" i="102"/>
  <c r="K49" i="102"/>
  <c r="K48" i="102"/>
  <c r="K47" i="102"/>
  <c r="K46" i="102"/>
  <c r="K45" i="102"/>
  <c r="K44" i="102"/>
  <c r="K43" i="102"/>
  <c r="K42" i="102"/>
  <c r="K41" i="102"/>
  <c r="K40" i="102"/>
  <c r="K39" i="102"/>
  <c r="K38" i="102"/>
  <c r="K37" i="102"/>
  <c r="K36" i="102"/>
  <c r="K35" i="102"/>
  <c r="K34" i="102"/>
  <c r="K33" i="102"/>
  <c r="K32" i="102"/>
  <c r="K26" i="102"/>
  <c r="K25" i="102"/>
  <c r="K24" i="102"/>
  <c r="K22" i="102"/>
  <c r="K21" i="102"/>
  <c r="K20" i="102"/>
  <c r="K19" i="102"/>
  <c r="K18" i="102"/>
  <c r="K17" i="102"/>
  <c r="K16" i="102"/>
  <c r="K15" i="102"/>
  <c r="K14" i="102"/>
  <c r="K13" i="102"/>
  <c r="K12" i="102"/>
  <c r="K10" i="102"/>
  <c r="K9" i="102"/>
  <c r="K8" i="102"/>
  <c r="L7" i="102"/>
  <c r="K7" i="102"/>
  <c r="L67" i="102" l="1"/>
  <c r="K11" i="102"/>
  <c r="L8" i="102" s="1"/>
  <c r="K64" i="101"/>
  <c r="K63" i="101"/>
  <c r="K62" i="101"/>
  <c r="K61" i="101"/>
  <c r="K60" i="101"/>
  <c r="J67" i="101"/>
  <c r="D68" i="101" s="1"/>
  <c r="K66" i="101"/>
  <c r="L65" i="101"/>
  <c r="K65" i="101"/>
  <c r="K59" i="101"/>
  <c r="K58" i="101"/>
  <c r="K57" i="101"/>
  <c r="K56" i="101"/>
  <c r="K55" i="101"/>
  <c r="K54" i="101"/>
  <c r="K53" i="101"/>
  <c r="K52" i="101"/>
  <c r="K51" i="101"/>
  <c r="K50" i="101"/>
  <c r="K49" i="101"/>
  <c r="K48" i="101"/>
  <c r="K47" i="101"/>
  <c r="K46" i="101"/>
  <c r="K45" i="101"/>
  <c r="K44" i="101"/>
  <c r="K43" i="101"/>
  <c r="K42" i="101"/>
  <c r="K41" i="101"/>
  <c r="K40" i="101"/>
  <c r="K39" i="101"/>
  <c r="K38" i="101"/>
  <c r="K37" i="101"/>
  <c r="K36" i="101"/>
  <c r="K35" i="101"/>
  <c r="K34" i="101"/>
  <c r="K33" i="101"/>
  <c r="K32" i="101"/>
  <c r="K31" i="101"/>
  <c r="K30" i="101"/>
  <c r="K29" i="101"/>
  <c r="K28" i="101"/>
  <c r="K27" i="101"/>
  <c r="K26" i="101"/>
  <c r="K25" i="101"/>
  <c r="K24" i="101"/>
  <c r="K23" i="101"/>
  <c r="K22" i="101"/>
  <c r="K21" i="101"/>
  <c r="K20" i="101"/>
  <c r="K19" i="101"/>
  <c r="K18" i="101"/>
  <c r="K17" i="101"/>
  <c r="K16" i="101"/>
  <c r="K15" i="101"/>
  <c r="K14" i="101"/>
  <c r="K13" i="101"/>
  <c r="K12" i="101"/>
  <c r="K11" i="101"/>
  <c r="K10" i="101"/>
  <c r="K9" i="101"/>
  <c r="K8" i="101"/>
  <c r="L7" i="101"/>
  <c r="K7" i="101"/>
  <c r="K68" i="102" l="1"/>
  <c r="K67" i="101"/>
  <c r="L66" i="101"/>
  <c r="L8" i="101"/>
  <c r="K36" i="100"/>
  <c r="L7" i="100"/>
  <c r="J62" i="100"/>
  <c r="D63" i="100" s="1"/>
  <c r="K61" i="100"/>
  <c r="L60" i="100"/>
  <c r="K60" i="100"/>
  <c r="K59" i="100"/>
  <c r="K58" i="100"/>
  <c r="K57" i="100"/>
  <c r="K56" i="100"/>
  <c r="K55" i="100"/>
  <c r="K54" i="100"/>
  <c r="K53" i="100"/>
  <c r="K52" i="100"/>
  <c r="K51" i="100"/>
  <c r="K50" i="100"/>
  <c r="K49" i="100"/>
  <c r="K48" i="100"/>
  <c r="K47" i="100"/>
  <c r="K46" i="100"/>
  <c r="K45" i="100"/>
  <c r="K44" i="100"/>
  <c r="K43" i="100"/>
  <c r="K42" i="100"/>
  <c r="K41" i="100"/>
  <c r="K40" i="100"/>
  <c r="K39" i="100"/>
  <c r="K38" i="100"/>
  <c r="K37" i="100"/>
  <c r="K35" i="100"/>
  <c r="K34" i="100"/>
  <c r="K33" i="100"/>
  <c r="K32" i="100"/>
  <c r="K31" i="100"/>
  <c r="K30" i="100"/>
  <c r="K29" i="100"/>
  <c r="K28" i="100"/>
  <c r="K27" i="100"/>
  <c r="K26" i="100"/>
  <c r="K25" i="100"/>
  <c r="K24" i="100"/>
  <c r="K23" i="100"/>
  <c r="K22" i="100"/>
  <c r="K21" i="100"/>
  <c r="K20" i="100"/>
  <c r="K19" i="100"/>
  <c r="K18" i="100"/>
  <c r="K17" i="100"/>
  <c r="K16" i="100"/>
  <c r="K15" i="100"/>
  <c r="K14" i="100"/>
  <c r="K13" i="100"/>
  <c r="K12" i="100"/>
  <c r="K11" i="100"/>
  <c r="K10" i="100"/>
  <c r="K9" i="100"/>
  <c r="K8" i="100"/>
  <c r="K7" i="100"/>
  <c r="K62" i="100" l="1"/>
  <c r="L61" i="100"/>
  <c r="L8" i="100"/>
  <c r="K75" i="99"/>
  <c r="K74" i="99"/>
  <c r="K73" i="99"/>
  <c r="K72" i="99"/>
  <c r="K71" i="99"/>
  <c r="K70" i="99"/>
  <c r="K69" i="99"/>
  <c r="K68" i="99"/>
  <c r="K67" i="99"/>
  <c r="K66" i="99"/>
  <c r="K65" i="99"/>
  <c r="K64" i="99"/>
  <c r="K63" i="99"/>
  <c r="K62" i="99"/>
  <c r="K61" i="99"/>
  <c r="K60" i="99"/>
  <c r="K59" i="99"/>
  <c r="K58" i="99"/>
  <c r="K57" i="99"/>
  <c r="K56" i="99"/>
  <c r="K55" i="99"/>
  <c r="K54" i="99"/>
  <c r="K53" i="99"/>
  <c r="K52" i="99"/>
  <c r="K51" i="99"/>
  <c r="K50" i="99"/>
  <c r="K49" i="99"/>
  <c r="K48" i="99"/>
  <c r="K47" i="99"/>
  <c r="K46" i="99"/>
  <c r="K45" i="99"/>
  <c r="K36" i="99"/>
  <c r="K35" i="99"/>
  <c r="K34" i="99"/>
  <c r="K33" i="99"/>
  <c r="K32" i="99"/>
  <c r="K31" i="99"/>
  <c r="K30" i="99"/>
  <c r="K29" i="99"/>
  <c r="K28" i="99"/>
  <c r="K19" i="99"/>
  <c r="J89" i="99" l="1"/>
  <c r="D90" i="99" s="1"/>
  <c r="K88" i="99"/>
  <c r="L87" i="99"/>
  <c r="K87" i="99"/>
  <c r="K86" i="99"/>
  <c r="K85" i="99"/>
  <c r="K84" i="99"/>
  <c r="K83" i="99"/>
  <c r="K82" i="99"/>
  <c r="K81" i="99"/>
  <c r="K80" i="99"/>
  <c r="K79" i="99"/>
  <c r="K78" i="99"/>
  <c r="K77" i="99"/>
  <c r="K76" i="99"/>
  <c r="K44" i="99"/>
  <c r="K43" i="99"/>
  <c r="K42" i="99"/>
  <c r="K41" i="99"/>
  <c r="K40" i="99"/>
  <c r="K39" i="99"/>
  <c r="K38" i="99"/>
  <c r="K37" i="99"/>
  <c r="K27" i="99"/>
  <c r="K26" i="99"/>
  <c r="K25" i="99"/>
  <c r="K24" i="99"/>
  <c r="K23" i="99"/>
  <c r="K22" i="99"/>
  <c r="K21" i="99"/>
  <c r="K20" i="99"/>
  <c r="K18" i="99"/>
  <c r="K17" i="99"/>
  <c r="K16" i="99"/>
  <c r="K15" i="99"/>
  <c r="K14" i="99"/>
  <c r="K13" i="99"/>
  <c r="K12" i="99"/>
  <c r="K11" i="99"/>
  <c r="K10" i="99"/>
  <c r="K9" i="99"/>
  <c r="K8" i="99"/>
  <c r="L7" i="99"/>
  <c r="K7" i="99"/>
  <c r="L88" i="99" l="1"/>
  <c r="K89" i="99"/>
  <c r="L8" i="99"/>
  <c r="J55" i="98"/>
  <c r="D56" i="98" s="1"/>
  <c r="K54" i="98"/>
  <c r="L53" i="98"/>
  <c r="K53" i="98"/>
  <c r="K52" i="98"/>
  <c r="K51" i="98"/>
  <c r="K50" i="98"/>
  <c r="K49" i="98"/>
  <c r="K48" i="98"/>
  <c r="K47" i="98"/>
  <c r="K46" i="98"/>
  <c r="K45" i="98"/>
  <c r="K44" i="98"/>
  <c r="K43" i="98"/>
  <c r="K42" i="98"/>
  <c r="K41" i="98"/>
  <c r="K40" i="98"/>
  <c r="K39" i="98"/>
  <c r="K38" i="98"/>
  <c r="K37" i="98"/>
  <c r="K36" i="98"/>
  <c r="K35" i="98"/>
  <c r="K34" i="98"/>
  <c r="K33" i="98"/>
  <c r="K32" i="98"/>
  <c r="K31" i="98"/>
  <c r="K30" i="98"/>
  <c r="K29" i="98"/>
  <c r="K28" i="98"/>
  <c r="K27" i="98"/>
  <c r="K26" i="98"/>
  <c r="K25" i="98"/>
  <c r="K24" i="98"/>
  <c r="K23" i="98"/>
  <c r="K22" i="98"/>
  <c r="K21" i="98"/>
  <c r="K20" i="98"/>
  <c r="K19" i="98"/>
  <c r="K18" i="98"/>
  <c r="K17" i="98"/>
  <c r="K16" i="98"/>
  <c r="K15" i="98"/>
  <c r="K14" i="98"/>
  <c r="K13" i="98"/>
  <c r="K12" i="98"/>
  <c r="K11" i="98"/>
  <c r="K10" i="98"/>
  <c r="K9" i="98"/>
  <c r="K8" i="98"/>
  <c r="L7" i="98"/>
  <c r="K7" i="98"/>
  <c r="L54" i="98" l="1"/>
  <c r="K55" i="98"/>
  <c r="L8" i="98"/>
  <c r="J55" i="97"/>
  <c r="D56" i="97" s="1"/>
  <c r="K54" i="97"/>
  <c r="L53" i="97"/>
  <c r="K53" i="97"/>
  <c r="K52" i="97"/>
  <c r="K51" i="97"/>
  <c r="K50" i="97"/>
  <c r="K49" i="97"/>
  <c r="K48" i="97"/>
  <c r="K47" i="97"/>
  <c r="K46" i="97"/>
  <c r="K45" i="97"/>
  <c r="K44" i="97"/>
  <c r="K43" i="97"/>
  <c r="K42" i="97"/>
  <c r="K41" i="97"/>
  <c r="K40" i="97"/>
  <c r="K39" i="97"/>
  <c r="K38" i="97"/>
  <c r="K37" i="97"/>
  <c r="K36" i="97"/>
  <c r="K35" i="97"/>
  <c r="K34" i="97"/>
  <c r="K33" i="97"/>
  <c r="K32" i="97"/>
  <c r="K31" i="97"/>
  <c r="K30" i="97"/>
  <c r="K29" i="97"/>
  <c r="K28" i="97"/>
  <c r="K27" i="97"/>
  <c r="K26" i="97"/>
  <c r="K25" i="97"/>
  <c r="K24" i="97"/>
  <c r="K23" i="97"/>
  <c r="K22" i="97"/>
  <c r="K21" i="97"/>
  <c r="K20" i="97"/>
  <c r="K19" i="97"/>
  <c r="K18" i="97"/>
  <c r="K17" i="97"/>
  <c r="K16" i="97"/>
  <c r="K15" i="97"/>
  <c r="K14" i="97"/>
  <c r="K13" i="97"/>
  <c r="K12" i="97"/>
  <c r="K11" i="97"/>
  <c r="K10" i="97"/>
  <c r="K9" i="97"/>
  <c r="K8" i="97"/>
  <c r="L7" i="97"/>
  <c r="K7" i="97"/>
  <c r="L54" i="97" l="1"/>
  <c r="K55" i="97"/>
  <c r="L8" i="97"/>
  <c r="K42" i="96"/>
  <c r="K61" i="96"/>
  <c r="K60" i="96"/>
  <c r="K59" i="96"/>
  <c r="K58" i="96"/>
  <c r="K57" i="96"/>
  <c r="K56" i="96"/>
  <c r="K55" i="96"/>
  <c r="K54" i="96"/>
  <c r="K53" i="96"/>
  <c r="K52" i="96"/>
  <c r="K51" i="96"/>
  <c r="K50" i="96"/>
  <c r="K49" i="96"/>
  <c r="K48" i="96"/>
  <c r="K47" i="96"/>
  <c r="K46" i="96"/>
  <c r="K45" i="96"/>
  <c r="K44" i="96"/>
  <c r="K43" i="96"/>
  <c r="K41" i="96"/>
  <c r="K40" i="96"/>
  <c r="K39" i="96"/>
  <c r="K38" i="96"/>
  <c r="K37" i="96"/>
  <c r="K36" i="96"/>
  <c r="K35" i="96"/>
  <c r="K34" i="96"/>
  <c r="K33" i="96"/>
  <c r="K32" i="96"/>
  <c r="K31" i="96"/>
  <c r="K30" i="96"/>
  <c r="K29" i="96"/>
  <c r="K28" i="96"/>
  <c r="K27" i="96"/>
  <c r="K26" i="96"/>
  <c r="K25" i="96"/>
  <c r="K24" i="96"/>
  <c r="K23" i="96"/>
  <c r="K22" i="96"/>
  <c r="K21" i="96"/>
  <c r="K20" i="96"/>
  <c r="K19" i="96"/>
  <c r="K18" i="96"/>
  <c r="K17" i="96"/>
  <c r="K16" i="96"/>
  <c r="K15" i="96"/>
  <c r="K14" i="96"/>
  <c r="K13" i="96"/>
  <c r="K12" i="96"/>
  <c r="K11" i="96"/>
  <c r="K10" i="96"/>
  <c r="K9" i="96"/>
  <c r="K8" i="96"/>
  <c r="L7" i="96"/>
  <c r="K7" i="96"/>
  <c r="L60" i="96" l="1"/>
  <c r="J62" i="96"/>
  <c r="D63" i="96" s="1"/>
  <c r="K62" i="96"/>
  <c r="L8" i="96"/>
  <c r="L61" i="96"/>
  <c r="K36" i="95"/>
  <c r="K35" i="95"/>
  <c r="K34" i="95"/>
  <c r="K33" i="95"/>
  <c r="K32" i="95"/>
  <c r="K48" i="95" l="1"/>
  <c r="K23" i="95"/>
  <c r="K25" i="95"/>
  <c r="J78" i="95"/>
  <c r="D79" i="95" s="1"/>
  <c r="K77" i="95"/>
  <c r="L76" i="95"/>
  <c r="K76" i="95"/>
  <c r="K75" i="95"/>
  <c r="K74" i="95"/>
  <c r="K73" i="95"/>
  <c r="K72" i="95"/>
  <c r="K71" i="95"/>
  <c r="K70" i="95"/>
  <c r="K69" i="95"/>
  <c r="K68" i="95"/>
  <c r="K67" i="95"/>
  <c r="K66" i="95"/>
  <c r="K65" i="95"/>
  <c r="K64" i="95"/>
  <c r="K63" i="95"/>
  <c r="K62" i="95"/>
  <c r="K61" i="95"/>
  <c r="K60" i="95"/>
  <c r="K59" i="95"/>
  <c r="K58" i="95"/>
  <c r="K57" i="95"/>
  <c r="K56" i="95"/>
  <c r="K55" i="95"/>
  <c r="K54" i="95"/>
  <c r="K53" i="95"/>
  <c r="K52" i="95"/>
  <c r="K51" i="95"/>
  <c r="K50" i="95"/>
  <c r="K49" i="95"/>
  <c r="K47" i="95"/>
  <c r="K46" i="95"/>
  <c r="K45" i="95"/>
  <c r="K44" i="95"/>
  <c r="K43" i="95"/>
  <c r="K42" i="95"/>
  <c r="K41" i="95"/>
  <c r="K40" i="95"/>
  <c r="K39" i="95"/>
  <c r="K38" i="95"/>
  <c r="K37" i="95"/>
  <c r="K31" i="95"/>
  <c r="K30" i="95"/>
  <c r="K29" i="95"/>
  <c r="K28" i="95"/>
  <c r="K27" i="95"/>
  <c r="K26" i="95"/>
  <c r="K24" i="95"/>
  <c r="K22" i="95"/>
  <c r="K21" i="95"/>
  <c r="K20" i="95"/>
  <c r="K19" i="95"/>
  <c r="K18" i="95"/>
  <c r="K17" i="95"/>
  <c r="K16" i="95"/>
  <c r="K15" i="95"/>
  <c r="K14" i="95"/>
  <c r="K13" i="95"/>
  <c r="K12" i="95"/>
  <c r="K11" i="95"/>
  <c r="K10" i="95"/>
  <c r="K9" i="95"/>
  <c r="K8" i="95"/>
  <c r="L7" i="95"/>
  <c r="K7" i="95"/>
  <c r="K78" i="95" l="1"/>
  <c r="L77" i="95"/>
  <c r="L8" i="95"/>
  <c r="F52" i="94"/>
  <c r="K55" i="94"/>
  <c r="K54" i="94"/>
  <c r="K53" i="94"/>
  <c r="K52" i="94"/>
  <c r="K51" i="94"/>
  <c r="K50" i="94"/>
  <c r="K49" i="94"/>
  <c r="K48" i="94"/>
  <c r="K47" i="94"/>
  <c r="K46" i="94"/>
  <c r="K45" i="94"/>
  <c r="K44" i="94"/>
  <c r="K43" i="94"/>
  <c r="K24" i="94"/>
  <c r="K23" i="94"/>
  <c r="K22" i="94"/>
  <c r="K21" i="94"/>
  <c r="K20" i="94"/>
  <c r="K19" i="94"/>
  <c r="K18" i="94"/>
  <c r="K17" i="94"/>
  <c r="K16" i="94"/>
  <c r="K15" i="94"/>
  <c r="K14" i="94"/>
  <c r="K13" i="94"/>
  <c r="J73" i="94" l="1"/>
  <c r="D74" i="94" s="1"/>
  <c r="K72" i="94"/>
  <c r="L71" i="94"/>
  <c r="K71" i="94"/>
  <c r="K70" i="94"/>
  <c r="K69" i="94"/>
  <c r="K68" i="94"/>
  <c r="K67" i="94"/>
  <c r="K66" i="94"/>
  <c r="K65" i="94"/>
  <c r="K64" i="94"/>
  <c r="K63" i="94"/>
  <c r="K62" i="94"/>
  <c r="K61" i="94"/>
  <c r="K60" i="94"/>
  <c r="K59" i="94"/>
  <c r="K58" i="94"/>
  <c r="K57" i="94"/>
  <c r="K56" i="94"/>
  <c r="K42" i="94"/>
  <c r="K41" i="94"/>
  <c r="K40" i="94"/>
  <c r="K39" i="94"/>
  <c r="K38" i="94"/>
  <c r="K37" i="94"/>
  <c r="K36" i="94"/>
  <c r="K35" i="94"/>
  <c r="K34" i="94"/>
  <c r="K33" i="94"/>
  <c r="K32" i="94"/>
  <c r="K31" i="94"/>
  <c r="K30" i="94"/>
  <c r="K29" i="94"/>
  <c r="K28" i="94"/>
  <c r="K27" i="94"/>
  <c r="K26" i="94"/>
  <c r="K25" i="94"/>
  <c r="K12" i="94"/>
  <c r="K11" i="94"/>
  <c r="K10" i="94"/>
  <c r="K9" i="94"/>
  <c r="K8" i="94"/>
  <c r="L7" i="94"/>
  <c r="K7" i="94"/>
  <c r="K46" i="93"/>
  <c r="K45" i="93"/>
  <c r="K44" i="93"/>
  <c r="K43" i="93"/>
  <c r="K42" i="93"/>
  <c r="K41" i="93"/>
  <c r="K40" i="93"/>
  <c r="K39" i="93"/>
  <c r="K38" i="93"/>
  <c r="K37" i="93"/>
  <c r="K36" i="93"/>
  <c r="K35" i="93"/>
  <c r="K34" i="93"/>
  <c r="K33" i="93"/>
  <c r="K32" i="93"/>
  <c r="K31" i="93"/>
  <c r="K30" i="93"/>
  <c r="K24" i="93"/>
  <c r="K23" i="93"/>
  <c r="K22" i="93"/>
  <c r="K21" i="93"/>
  <c r="K20" i="93"/>
  <c r="K19" i="93"/>
  <c r="K18" i="93"/>
  <c r="K14" i="93"/>
  <c r="K13" i="93"/>
  <c r="K12" i="93"/>
  <c r="K11" i="93"/>
  <c r="K10" i="93"/>
  <c r="K9" i="93"/>
  <c r="K15" i="93"/>
  <c r="K73" i="94" l="1"/>
  <c r="L72" i="94"/>
  <c r="L8" i="94"/>
  <c r="K29" i="93"/>
  <c r="K17" i="93"/>
  <c r="K16" i="93"/>
  <c r="J50" i="93" l="1"/>
  <c r="D51" i="93" s="1"/>
  <c r="K49" i="93"/>
  <c r="L48" i="93"/>
  <c r="K48" i="93"/>
  <c r="K47" i="93"/>
  <c r="K28" i="93"/>
  <c r="K27" i="93"/>
  <c r="K26" i="93"/>
  <c r="K25" i="93"/>
  <c r="K8" i="93"/>
  <c r="L7" i="93"/>
  <c r="K7" i="93"/>
  <c r="L8" i="93" l="1"/>
  <c r="L49" i="93"/>
  <c r="K50" i="93"/>
  <c r="K46" i="92"/>
  <c r="K73" i="92" l="1"/>
  <c r="K72" i="92"/>
  <c r="K71" i="92"/>
  <c r="K69" i="92"/>
  <c r="K68" i="92"/>
  <c r="K67" i="92"/>
  <c r="K60" i="92"/>
  <c r="K58" i="92"/>
  <c r="K57" i="92"/>
  <c r="K53" i="92"/>
  <c r="K52" i="92"/>
  <c r="K33" i="91"/>
  <c r="K42" i="92"/>
  <c r="K41" i="92"/>
  <c r="K39" i="92"/>
  <c r="K37" i="92"/>
  <c r="K36" i="92"/>
  <c r="K33" i="92"/>
  <c r="K31" i="92"/>
  <c r="K30" i="92"/>
  <c r="K28" i="92"/>
  <c r="K22" i="92"/>
  <c r="K21" i="92"/>
  <c r="K19" i="92"/>
  <c r="K17" i="92"/>
  <c r="K12" i="92"/>
  <c r="K9" i="92"/>
  <c r="J83" i="92"/>
  <c r="D84" i="92" s="1"/>
  <c r="K82" i="92"/>
  <c r="L81" i="92"/>
  <c r="K81" i="92"/>
  <c r="K80" i="92"/>
  <c r="K79" i="92"/>
  <c r="K78" i="92"/>
  <c r="K77" i="92"/>
  <c r="K76" i="92"/>
  <c r="K75" i="92"/>
  <c r="K51" i="92"/>
  <c r="K50" i="92"/>
  <c r="K49" i="92"/>
  <c r="K48" i="92"/>
  <c r="K47" i="92"/>
  <c r="K45" i="92"/>
  <c r="K8" i="92"/>
  <c r="L7" i="92"/>
  <c r="K7" i="92"/>
  <c r="L8" i="92" l="1"/>
  <c r="L82" i="92"/>
  <c r="K83" i="92"/>
  <c r="K85" i="91"/>
  <c r="K84" i="91"/>
  <c r="K79" i="91"/>
  <c r="K77" i="91"/>
  <c r="K68" i="91"/>
  <c r="K66" i="91"/>
  <c r="K64" i="91"/>
  <c r="K62" i="91"/>
  <c r="K31" i="91"/>
  <c r="K40" i="91" l="1"/>
  <c r="K39" i="91"/>
  <c r="K38" i="91"/>
  <c r="K37" i="91"/>
  <c r="K36" i="91"/>
  <c r="K35" i="91"/>
  <c r="K34" i="91"/>
  <c r="K32" i="91"/>
  <c r="K59" i="91"/>
  <c r="K57" i="91"/>
  <c r="K29" i="91"/>
  <c r="K28" i="91"/>
  <c r="K27" i="91"/>
  <c r="K26" i="91"/>
  <c r="K25" i="91"/>
  <c r="K24" i="91"/>
  <c r="K23" i="91"/>
  <c r="K22" i="91"/>
  <c r="K21" i="91"/>
  <c r="K20" i="91"/>
  <c r="K19" i="91"/>
  <c r="K18" i="91"/>
  <c r="J102" i="91"/>
  <c r="D103" i="91" s="1"/>
  <c r="K101" i="91"/>
  <c r="L100" i="91"/>
  <c r="K100" i="91"/>
  <c r="K99" i="91"/>
  <c r="K98" i="91"/>
  <c r="K97" i="91"/>
  <c r="K96" i="91"/>
  <c r="K95" i="91"/>
  <c r="K94" i="91"/>
  <c r="K93" i="91"/>
  <c r="K92" i="91"/>
  <c r="K91" i="91"/>
  <c r="K90" i="91"/>
  <c r="K71" i="91"/>
  <c r="K70" i="91"/>
  <c r="K69" i="91"/>
  <c r="K67" i="91"/>
  <c r="K65" i="91"/>
  <c r="K63" i="91"/>
  <c r="K61" i="91"/>
  <c r="K60" i="91"/>
  <c r="K58" i="91"/>
  <c r="K56" i="91"/>
  <c r="K55" i="91"/>
  <c r="K54" i="91"/>
  <c r="K53" i="91"/>
  <c r="K52" i="91"/>
  <c r="K51" i="91"/>
  <c r="K50" i="91"/>
  <c r="K49" i="91"/>
  <c r="K48" i="91"/>
  <c r="K47" i="91"/>
  <c r="K46" i="91"/>
  <c r="K45" i="91"/>
  <c r="K44" i="91"/>
  <c r="K43" i="91"/>
  <c r="K42" i="91"/>
  <c r="K41" i="91"/>
  <c r="K30" i="91"/>
  <c r="K17" i="91"/>
  <c r="K16" i="91"/>
  <c r="K15" i="91"/>
  <c r="K14" i="91"/>
  <c r="K13" i="91"/>
  <c r="K12" i="91"/>
  <c r="K11" i="91"/>
  <c r="K10" i="91"/>
  <c r="K9" i="91"/>
  <c r="K8" i="91"/>
  <c r="L7" i="91"/>
  <c r="K7" i="91"/>
  <c r="L8" i="91" l="1"/>
  <c r="K102" i="91"/>
  <c r="L101" i="91"/>
  <c r="K84" i="89"/>
  <c r="K83" i="89"/>
  <c r="K82" i="89"/>
  <c r="K14" i="90"/>
  <c r="J67" i="90" l="1"/>
  <c r="D68" i="90" s="1"/>
  <c r="K66" i="90"/>
  <c r="L65" i="90"/>
  <c r="K65" i="90"/>
  <c r="K64" i="90"/>
  <c r="K63" i="90"/>
  <c r="K62" i="90"/>
  <c r="K61" i="90"/>
  <c r="K60" i="90"/>
  <c r="K59" i="90"/>
  <c r="K58" i="90"/>
  <c r="K57" i="90"/>
  <c r="K56" i="90"/>
  <c r="K55" i="90"/>
  <c r="K54" i="90"/>
  <c r="K53" i="90"/>
  <c r="K52" i="90"/>
  <c r="K51" i="90"/>
  <c r="K50" i="90"/>
  <c r="K49" i="90"/>
  <c r="K48" i="90"/>
  <c r="K47" i="90"/>
  <c r="K46" i="90"/>
  <c r="K45" i="90"/>
  <c r="K44" i="90"/>
  <c r="K43" i="90"/>
  <c r="K42" i="90"/>
  <c r="K41" i="90"/>
  <c r="K40" i="90"/>
  <c r="K39" i="90"/>
  <c r="K38" i="90"/>
  <c r="K37" i="90"/>
  <c r="K36" i="90"/>
  <c r="K35" i="90"/>
  <c r="K34" i="90"/>
  <c r="K33" i="90"/>
  <c r="K32" i="90"/>
  <c r="K31" i="90"/>
  <c r="K30" i="90"/>
  <c r="K29" i="90"/>
  <c r="K28" i="90"/>
  <c r="K27" i="90"/>
  <c r="K26" i="90"/>
  <c r="K25" i="90"/>
  <c r="K24" i="90"/>
  <c r="K23" i="90"/>
  <c r="K22" i="90"/>
  <c r="K21" i="90"/>
  <c r="K20" i="90"/>
  <c r="K19" i="90"/>
  <c r="K18" i="90"/>
  <c r="K17" i="90"/>
  <c r="K16" i="90"/>
  <c r="K15" i="90"/>
  <c r="K13" i="90"/>
  <c r="K12" i="90"/>
  <c r="K11" i="90"/>
  <c r="K10" i="90"/>
  <c r="K9" i="90"/>
  <c r="K8" i="90"/>
  <c r="L7" i="90"/>
  <c r="K7" i="90"/>
  <c r="L66" i="90" l="1"/>
  <c r="K67" i="90"/>
  <c r="L8" i="90"/>
  <c r="K32" i="89"/>
  <c r="K37" i="89" l="1"/>
  <c r="K36" i="89"/>
  <c r="K35" i="89"/>
  <c r="K34" i="89"/>
  <c r="K33" i="89"/>
  <c r="J89" i="89"/>
  <c r="D90" i="89" s="1"/>
  <c r="K88" i="89"/>
  <c r="L87" i="89"/>
  <c r="K87" i="89"/>
  <c r="K86" i="89"/>
  <c r="K85" i="89"/>
  <c r="K81" i="89"/>
  <c r="K80" i="89"/>
  <c r="K79" i="89"/>
  <c r="K78" i="89"/>
  <c r="K77" i="89"/>
  <c r="K76" i="89"/>
  <c r="K75" i="89"/>
  <c r="K74" i="89"/>
  <c r="K73" i="89"/>
  <c r="K72" i="89"/>
  <c r="K71" i="89"/>
  <c r="K70" i="89"/>
  <c r="K69" i="89"/>
  <c r="K68" i="89"/>
  <c r="K67" i="89"/>
  <c r="K66" i="89"/>
  <c r="K65" i="89"/>
  <c r="K64" i="89"/>
  <c r="K63" i="89"/>
  <c r="K62" i="89"/>
  <c r="K61" i="89"/>
  <c r="K60" i="89"/>
  <c r="K59" i="89"/>
  <c r="K58" i="89"/>
  <c r="K57" i="89"/>
  <c r="K56" i="89"/>
  <c r="K55" i="89"/>
  <c r="K54" i="89"/>
  <c r="K53" i="89"/>
  <c r="K52" i="89"/>
  <c r="K51" i="89"/>
  <c r="K50" i="89"/>
  <c r="K49" i="89"/>
  <c r="K48" i="89"/>
  <c r="K47" i="89"/>
  <c r="K46" i="89"/>
  <c r="K45" i="89"/>
  <c r="K44" i="89"/>
  <c r="K43" i="89"/>
  <c r="K42" i="89"/>
  <c r="K41" i="89"/>
  <c r="K40" i="89"/>
  <c r="K39" i="89"/>
  <c r="K38" i="89"/>
  <c r="K31" i="89"/>
  <c r="K30" i="89"/>
  <c r="K29" i="89"/>
  <c r="K28" i="89"/>
  <c r="K27" i="89"/>
  <c r="K26" i="89"/>
  <c r="K25" i="89"/>
  <c r="K24" i="89"/>
  <c r="K23" i="89"/>
  <c r="K22" i="89"/>
  <c r="K21" i="89"/>
  <c r="K20" i="89"/>
  <c r="K19" i="89"/>
  <c r="K18" i="89"/>
  <c r="K17" i="89"/>
  <c r="K16" i="89"/>
  <c r="K15" i="89"/>
  <c r="K13" i="89"/>
  <c r="K12" i="89"/>
  <c r="K11" i="89"/>
  <c r="K10" i="89"/>
  <c r="K9" i="89"/>
  <c r="K8" i="89"/>
  <c r="K7" i="89"/>
  <c r="K14" i="89" l="1"/>
  <c r="K89" i="89" s="1"/>
  <c r="L7" i="89"/>
  <c r="L88" i="89"/>
  <c r="J33" i="88"/>
  <c r="J32" i="88"/>
  <c r="L8" i="89" l="1"/>
  <c r="K89" i="88"/>
  <c r="K88" i="88"/>
  <c r="K87" i="88"/>
  <c r="K86" i="88"/>
  <c r="K85" i="88"/>
  <c r="K84" i="88"/>
  <c r="K83" i="88"/>
  <c r="K82" i="88"/>
  <c r="K81" i="88"/>
  <c r="K80" i="88"/>
  <c r="K79" i="88"/>
  <c r="K78" i="88"/>
  <c r="K77" i="88"/>
  <c r="K76" i="88"/>
  <c r="K71" i="88"/>
  <c r="K70" i="88"/>
  <c r="K69" i="88"/>
  <c r="K68" i="88"/>
  <c r="K67" i="88"/>
  <c r="K66" i="88"/>
  <c r="K65" i="88"/>
  <c r="K64" i="88"/>
  <c r="K63" i="88"/>
  <c r="K92" i="88"/>
  <c r="K91" i="88"/>
  <c r="K90" i="88"/>
  <c r="K75" i="88"/>
  <c r="K74" i="88"/>
  <c r="K73" i="88"/>
  <c r="K72" i="88"/>
  <c r="K33" i="88"/>
  <c r="K32" i="88"/>
  <c r="K31" i="88"/>
  <c r="K30" i="88"/>
  <c r="K29" i="88"/>
  <c r="K21" i="88" l="1"/>
  <c r="K20" i="88"/>
  <c r="K19" i="88"/>
  <c r="K18" i="88"/>
  <c r="K17" i="88"/>
  <c r="K16" i="88"/>
  <c r="K15" i="88"/>
  <c r="J96" i="88"/>
  <c r="D97" i="88" s="1"/>
  <c r="K95" i="88"/>
  <c r="L94" i="88"/>
  <c r="K94" i="88"/>
  <c r="K93" i="88"/>
  <c r="K62" i="88"/>
  <c r="K61" i="88"/>
  <c r="K60" i="88"/>
  <c r="K59" i="88"/>
  <c r="K58" i="88"/>
  <c r="K57" i="88"/>
  <c r="K56" i="88"/>
  <c r="K55" i="88"/>
  <c r="K54" i="88"/>
  <c r="K53" i="88"/>
  <c r="K52" i="88"/>
  <c r="K51" i="88"/>
  <c r="K50" i="88"/>
  <c r="K49" i="88"/>
  <c r="K48" i="88"/>
  <c r="K47" i="88"/>
  <c r="K46" i="88"/>
  <c r="K45" i="88"/>
  <c r="K44" i="88"/>
  <c r="K43" i="88"/>
  <c r="K42" i="88"/>
  <c r="K41" i="88"/>
  <c r="K40" i="88"/>
  <c r="K39" i="88"/>
  <c r="K38" i="88"/>
  <c r="K37" i="88"/>
  <c r="K36" i="88"/>
  <c r="K35" i="88"/>
  <c r="K34" i="88"/>
  <c r="K28" i="88"/>
  <c r="K27" i="88"/>
  <c r="K26" i="88"/>
  <c r="K25" i="88"/>
  <c r="K24" i="88"/>
  <c r="K23" i="88"/>
  <c r="K22" i="88"/>
  <c r="K14" i="88"/>
  <c r="K13" i="88"/>
  <c r="K12" i="88"/>
  <c r="K11" i="88"/>
  <c r="K10" i="88"/>
  <c r="K9" i="88"/>
  <c r="K8" i="88"/>
  <c r="L7" i="88"/>
  <c r="K7" i="88"/>
  <c r="L95" i="88" l="1"/>
  <c r="L8" i="88"/>
  <c r="K96" i="88"/>
  <c r="J58" i="87"/>
  <c r="D59" i="87" s="1"/>
  <c r="K57" i="87"/>
  <c r="L56" i="87"/>
  <c r="K56" i="87"/>
  <c r="K55" i="87"/>
  <c r="K54" i="87"/>
  <c r="K53" i="87"/>
  <c r="K52" i="87"/>
  <c r="K51" i="87"/>
  <c r="K50" i="87"/>
  <c r="K49" i="87"/>
  <c r="K48" i="87"/>
  <c r="K47" i="87"/>
  <c r="K46" i="87"/>
  <c r="K45" i="87"/>
  <c r="K44" i="87"/>
  <c r="K43" i="87"/>
  <c r="K42" i="87"/>
  <c r="K41" i="87"/>
  <c r="K40" i="87"/>
  <c r="K38" i="87"/>
  <c r="K37" i="87"/>
  <c r="K36" i="87"/>
  <c r="K35" i="87"/>
  <c r="K34" i="87"/>
  <c r="K33" i="87"/>
  <c r="K32" i="87"/>
  <c r="K31" i="87"/>
  <c r="K30" i="87"/>
  <c r="K29" i="87"/>
  <c r="K28" i="87"/>
  <c r="K27" i="87"/>
  <c r="K26" i="87"/>
  <c r="K25" i="87"/>
  <c r="K24" i="87"/>
  <c r="K23" i="87"/>
  <c r="K22" i="87"/>
  <c r="K21" i="87"/>
  <c r="K20" i="87"/>
  <c r="K19" i="87"/>
  <c r="K18" i="87"/>
  <c r="K17" i="87"/>
  <c r="K16" i="87"/>
  <c r="K15" i="87"/>
  <c r="K14" i="87"/>
  <c r="K13" i="87"/>
  <c r="K12" i="87"/>
  <c r="K11" i="87"/>
  <c r="K10" i="87"/>
  <c r="K9" i="87"/>
  <c r="K8" i="87"/>
  <c r="L7" i="87"/>
  <c r="K7" i="87"/>
  <c r="K58" i="87" l="1"/>
  <c r="L57" i="87"/>
  <c r="L8" i="87"/>
  <c r="K66" i="85"/>
  <c r="K65" i="85"/>
  <c r="K64" i="85"/>
  <c r="K46" i="86" l="1"/>
  <c r="K45" i="86"/>
  <c r="J69" i="86" l="1"/>
  <c r="D70" i="86" s="1"/>
  <c r="K68" i="86"/>
  <c r="L67" i="86"/>
  <c r="K67" i="86"/>
  <c r="K66" i="86"/>
  <c r="K65" i="86"/>
  <c r="K64" i="86"/>
  <c r="K63" i="86"/>
  <c r="K62" i="86"/>
  <c r="K61" i="86"/>
  <c r="K60" i="86"/>
  <c r="K59" i="86"/>
  <c r="K58" i="86"/>
  <c r="K57" i="86"/>
  <c r="K56" i="86"/>
  <c r="K55" i="86"/>
  <c r="K54" i="86"/>
  <c r="K53" i="86"/>
  <c r="K52" i="86"/>
  <c r="K51" i="86"/>
  <c r="K50" i="86"/>
  <c r="K49" i="86"/>
  <c r="K48" i="86"/>
  <c r="K47" i="86"/>
  <c r="K44" i="86"/>
  <c r="K43" i="86"/>
  <c r="K42" i="86"/>
  <c r="K41" i="86"/>
  <c r="K40" i="86"/>
  <c r="K39" i="86"/>
  <c r="K38" i="86"/>
  <c r="K37" i="86"/>
  <c r="K36" i="86"/>
  <c r="K35" i="86"/>
  <c r="K34" i="86"/>
  <c r="K33" i="86"/>
  <c r="K32" i="86"/>
  <c r="K31" i="86"/>
  <c r="K30" i="86"/>
  <c r="K29" i="86"/>
  <c r="K28" i="86"/>
  <c r="K27" i="86"/>
  <c r="K26" i="86"/>
  <c r="K25" i="86"/>
  <c r="K24" i="86"/>
  <c r="K23" i="86"/>
  <c r="K22" i="86"/>
  <c r="K21" i="86"/>
  <c r="K20" i="86"/>
  <c r="K19" i="86"/>
  <c r="K18" i="86"/>
  <c r="K17" i="86"/>
  <c r="K16" i="86"/>
  <c r="K15" i="86"/>
  <c r="K14" i="86"/>
  <c r="K13" i="86"/>
  <c r="K12" i="86"/>
  <c r="K11" i="86"/>
  <c r="K10" i="86"/>
  <c r="K9" i="86"/>
  <c r="K8" i="86"/>
  <c r="L7" i="86"/>
  <c r="K7" i="86"/>
  <c r="L8" i="86" l="1"/>
  <c r="L68" i="86"/>
  <c r="K69" i="86"/>
  <c r="K76" i="85"/>
  <c r="K75" i="85"/>
  <c r="K74" i="85"/>
  <c r="K73" i="85"/>
  <c r="K72" i="85"/>
  <c r="K71" i="85"/>
  <c r="K70" i="85"/>
  <c r="K69" i="85"/>
  <c r="K68" i="85"/>
  <c r="K67" i="85"/>
  <c r="K63" i="85"/>
  <c r="K62" i="85"/>
  <c r="K61" i="85"/>
  <c r="K60" i="85"/>
  <c r="K59" i="85"/>
  <c r="K58" i="85"/>
  <c r="K57" i="85"/>
  <c r="K56" i="85"/>
  <c r="K55" i="85"/>
  <c r="K54" i="85"/>
  <c r="K53" i="85"/>
  <c r="K52" i="85"/>
  <c r="K51" i="85"/>
  <c r="K33" i="85"/>
  <c r="K32" i="85"/>
  <c r="K31" i="85"/>
  <c r="K30" i="85"/>
  <c r="K29" i="85"/>
  <c r="K28" i="85"/>
  <c r="K27" i="85"/>
  <c r="K26" i="85"/>
  <c r="K25" i="85"/>
  <c r="K24" i="85"/>
  <c r="K23" i="85"/>
  <c r="K22" i="85"/>
  <c r="K21" i="85"/>
  <c r="K20" i="85"/>
  <c r="K19" i="85"/>
  <c r="K18" i="85"/>
  <c r="K17" i="85"/>
  <c r="K16" i="85"/>
  <c r="K15" i="85"/>
  <c r="K14" i="85"/>
  <c r="K13" i="85"/>
  <c r="K12" i="85"/>
  <c r="K11" i="85"/>
  <c r="K10" i="85"/>
  <c r="K9" i="85"/>
  <c r="K50" i="85" l="1"/>
  <c r="K49" i="85"/>
  <c r="J86" i="85"/>
  <c r="D87" i="85" s="1"/>
  <c r="K85" i="85"/>
  <c r="L84" i="85"/>
  <c r="K84" i="85"/>
  <c r="K83" i="85"/>
  <c r="K82" i="85"/>
  <c r="K81" i="85"/>
  <c r="K80" i="85"/>
  <c r="K79" i="85"/>
  <c r="K78" i="85"/>
  <c r="K77" i="85"/>
  <c r="K48" i="85"/>
  <c r="K47" i="85"/>
  <c r="K46" i="85"/>
  <c r="K45" i="85"/>
  <c r="K44" i="85"/>
  <c r="K43" i="85"/>
  <c r="K42" i="85"/>
  <c r="K41" i="85"/>
  <c r="K40" i="85"/>
  <c r="K39" i="85"/>
  <c r="K38" i="85"/>
  <c r="K37" i="85"/>
  <c r="K36" i="85"/>
  <c r="K35" i="85"/>
  <c r="K34" i="85"/>
  <c r="K8" i="85"/>
  <c r="L7" i="85"/>
  <c r="K7" i="85"/>
  <c r="L8" i="85" l="1"/>
  <c r="K86" i="85"/>
  <c r="L85" i="85"/>
  <c r="K22" i="82"/>
  <c r="K21" i="82"/>
  <c r="K20" i="82"/>
  <c r="J93" i="84" l="1"/>
  <c r="D94" i="84" s="1"/>
  <c r="K92" i="84"/>
  <c r="L91" i="84"/>
  <c r="K91" i="84"/>
  <c r="K90" i="84"/>
  <c r="K89" i="84"/>
  <c r="K88" i="84"/>
  <c r="K87" i="84"/>
  <c r="K86" i="84"/>
  <c r="K85" i="84"/>
  <c r="K84" i="84"/>
  <c r="K83" i="84"/>
  <c r="K82" i="84"/>
  <c r="K81" i="84"/>
  <c r="K80" i="84"/>
  <c r="K79" i="84"/>
  <c r="K78" i="84"/>
  <c r="K77" i="84"/>
  <c r="K76" i="84"/>
  <c r="K75" i="84"/>
  <c r="K74" i="84"/>
  <c r="K73" i="84"/>
  <c r="K72" i="84"/>
  <c r="K71" i="84"/>
  <c r="K70" i="84"/>
  <c r="K69" i="84"/>
  <c r="K68" i="84"/>
  <c r="K67" i="84"/>
  <c r="K66" i="84"/>
  <c r="K65" i="84"/>
  <c r="K64" i="84"/>
  <c r="K63" i="84"/>
  <c r="K62" i="84"/>
  <c r="K61" i="84"/>
  <c r="K60" i="84"/>
  <c r="K59" i="84"/>
  <c r="K58" i="84"/>
  <c r="K57" i="84"/>
  <c r="K56" i="84"/>
  <c r="K55" i="84"/>
  <c r="K54" i="84"/>
  <c r="K53" i="84"/>
  <c r="K52" i="84"/>
  <c r="K51" i="84"/>
  <c r="K50" i="84"/>
  <c r="K49" i="84"/>
  <c r="K48" i="84"/>
  <c r="K47" i="84"/>
  <c r="K46" i="84"/>
  <c r="K45" i="84"/>
  <c r="K44" i="84"/>
  <c r="K43" i="84"/>
  <c r="K42" i="84"/>
  <c r="K41" i="84"/>
  <c r="K40" i="84"/>
  <c r="K39" i="84"/>
  <c r="K38" i="84"/>
  <c r="K37" i="84"/>
  <c r="K36" i="84"/>
  <c r="K35" i="84"/>
  <c r="K34" i="84"/>
  <c r="K33" i="84"/>
  <c r="K32" i="84"/>
  <c r="K31" i="84"/>
  <c r="K30" i="84"/>
  <c r="K29" i="84"/>
  <c r="K28" i="84"/>
  <c r="K27" i="84"/>
  <c r="K26" i="84"/>
  <c r="K25" i="84"/>
  <c r="K24" i="84"/>
  <c r="K23" i="84"/>
  <c r="K22" i="84"/>
  <c r="K21" i="84"/>
  <c r="K20" i="84"/>
  <c r="K19" i="84"/>
  <c r="K18" i="84"/>
  <c r="K17" i="84"/>
  <c r="K16" i="84"/>
  <c r="K15" i="84"/>
  <c r="K14" i="84"/>
  <c r="K13" i="84"/>
  <c r="K12" i="84"/>
  <c r="K11" i="84"/>
  <c r="K10" i="84"/>
  <c r="K9" i="84"/>
  <c r="K8" i="84"/>
  <c r="L7" i="84"/>
  <c r="K7" i="84"/>
  <c r="L8" i="84" l="1"/>
  <c r="K93" i="84"/>
  <c r="L92" i="84"/>
  <c r="K84" i="83"/>
  <c r="K83" i="83"/>
  <c r="K82" i="83"/>
  <c r="K81" i="83"/>
  <c r="K80" i="83"/>
  <c r="K79" i="83"/>
  <c r="K75" i="83"/>
  <c r="K74" i="83"/>
  <c r="K73" i="83"/>
  <c r="K72" i="83"/>
  <c r="K71" i="83"/>
  <c r="K70" i="83"/>
  <c r="K69" i="83"/>
  <c r="K68" i="83"/>
  <c r="K67" i="83"/>
  <c r="K66" i="83"/>
  <c r="K65" i="83"/>
  <c r="K39" i="83"/>
  <c r="K38" i="83"/>
  <c r="K37" i="83"/>
  <c r="K36" i="83"/>
  <c r="K31" i="83"/>
  <c r="J93" i="83"/>
  <c r="D94" i="83" s="1"/>
  <c r="K92" i="83"/>
  <c r="L91" i="83"/>
  <c r="K91" i="83"/>
  <c r="K90" i="83"/>
  <c r="K89" i="83"/>
  <c r="K88" i="83"/>
  <c r="K87" i="83"/>
  <c r="K86" i="83"/>
  <c r="K85" i="83"/>
  <c r="K78" i="83"/>
  <c r="K77" i="83"/>
  <c r="K76" i="83"/>
  <c r="K64" i="83"/>
  <c r="K63" i="83"/>
  <c r="K62" i="83"/>
  <c r="K61" i="83"/>
  <c r="K60" i="83"/>
  <c r="K59" i="83"/>
  <c r="K58" i="83"/>
  <c r="K57" i="83"/>
  <c r="K56" i="83"/>
  <c r="K55" i="83"/>
  <c r="K54" i="83"/>
  <c r="K53" i="83"/>
  <c r="K52" i="83"/>
  <c r="K51" i="83"/>
  <c r="K50" i="83"/>
  <c r="K49" i="83"/>
  <c r="K48" i="83"/>
  <c r="K47" i="83"/>
  <c r="K46" i="83"/>
  <c r="K45" i="83"/>
  <c r="K44" i="83"/>
  <c r="K43" i="83"/>
  <c r="K42" i="83"/>
  <c r="K41" i="83"/>
  <c r="K40" i="83"/>
  <c r="K35" i="83"/>
  <c r="K34" i="83"/>
  <c r="K33" i="83"/>
  <c r="K32" i="83"/>
  <c r="K30" i="83"/>
  <c r="K29" i="83"/>
  <c r="K28" i="83"/>
  <c r="K27" i="83"/>
  <c r="K26" i="83"/>
  <c r="K25" i="83"/>
  <c r="K24" i="83"/>
  <c r="K23" i="83"/>
  <c r="K22" i="83"/>
  <c r="K21" i="83"/>
  <c r="K20" i="83"/>
  <c r="K19" i="83"/>
  <c r="K18" i="83"/>
  <c r="K17" i="83"/>
  <c r="K16" i="83"/>
  <c r="K15" i="83"/>
  <c r="K14" i="83"/>
  <c r="K13" i="83"/>
  <c r="K12" i="83"/>
  <c r="K11" i="83"/>
  <c r="K10" i="83"/>
  <c r="K9" i="83"/>
  <c r="K8" i="83"/>
  <c r="L7" i="83"/>
  <c r="K7" i="83"/>
  <c r="K93" i="83" l="1"/>
  <c r="L92" i="83"/>
  <c r="L8" i="83"/>
  <c r="J78" i="82"/>
  <c r="D79" i="82" s="1"/>
  <c r="K77" i="82"/>
  <c r="L76" i="82"/>
  <c r="K76" i="82"/>
  <c r="K75" i="82"/>
  <c r="K74" i="82"/>
  <c r="K73" i="82"/>
  <c r="K72" i="82"/>
  <c r="K71" i="82"/>
  <c r="K70" i="82"/>
  <c r="K69" i="82"/>
  <c r="K68" i="82"/>
  <c r="K67" i="82"/>
  <c r="K66" i="82"/>
  <c r="K65" i="82"/>
  <c r="K64" i="82"/>
  <c r="K63" i="82"/>
  <c r="K62" i="82"/>
  <c r="K61" i="82"/>
  <c r="K60" i="82"/>
  <c r="K59" i="82"/>
  <c r="K58" i="82"/>
  <c r="K57" i="82"/>
  <c r="K56" i="82"/>
  <c r="K55" i="82"/>
  <c r="K54" i="82"/>
  <c r="K53" i="82"/>
  <c r="K52" i="82"/>
  <c r="K51" i="82"/>
  <c r="K50" i="82"/>
  <c r="K49" i="82"/>
  <c r="K48" i="82"/>
  <c r="K47" i="82"/>
  <c r="K46" i="82"/>
  <c r="K45" i="82"/>
  <c r="K44" i="82"/>
  <c r="K43" i="82"/>
  <c r="K42" i="82"/>
  <c r="K41" i="82"/>
  <c r="K40" i="82"/>
  <c r="K39" i="82"/>
  <c r="K38" i="82"/>
  <c r="K37" i="82"/>
  <c r="K36" i="82"/>
  <c r="K35" i="82"/>
  <c r="K34" i="82"/>
  <c r="K33" i="82"/>
  <c r="K32" i="82"/>
  <c r="K31" i="82"/>
  <c r="K30" i="82"/>
  <c r="K29" i="82"/>
  <c r="K28" i="82"/>
  <c r="K27" i="82"/>
  <c r="K26" i="82"/>
  <c r="K25" i="82"/>
  <c r="K24" i="82"/>
  <c r="K23" i="82"/>
  <c r="K19" i="82"/>
  <c r="K18" i="82"/>
  <c r="K17" i="82"/>
  <c r="K16" i="82"/>
  <c r="K15" i="82"/>
  <c r="K14" i="82"/>
  <c r="K13" i="82"/>
  <c r="K12" i="82"/>
  <c r="K11" i="82"/>
  <c r="K10" i="82"/>
  <c r="K9" i="82"/>
  <c r="K8" i="82"/>
  <c r="L7" i="82"/>
  <c r="K7" i="82"/>
  <c r="L77" i="82" l="1"/>
  <c r="K78" i="82"/>
  <c r="L8" i="82"/>
  <c r="K59" i="81"/>
  <c r="K58" i="81"/>
  <c r="K57" i="81"/>
  <c r="J75" i="81"/>
  <c r="D76" i="81" s="1"/>
  <c r="K74" i="81"/>
  <c r="L73" i="81"/>
  <c r="K73" i="81"/>
  <c r="K72" i="81"/>
  <c r="K71" i="81"/>
  <c r="K70" i="81"/>
  <c r="K69" i="81"/>
  <c r="K68" i="81"/>
  <c r="K67" i="81"/>
  <c r="K66" i="81"/>
  <c r="K65" i="81"/>
  <c r="K64" i="81"/>
  <c r="K63" i="81"/>
  <c r="K62" i="81"/>
  <c r="K61" i="81"/>
  <c r="K60" i="81"/>
  <c r="K56" i="81"/>
  <c r="K55" i="81"/>
  <c r="K54" i="81"/>
  <c r="K53" i="81"/>
  <c r="K52" i="81"/>
  <c r="K51" i="81"/>
  <c r="K50" i="81"/>
  <c r="K49" i="81"/>
  <c r="K48" i="81"/>
  <c r="K47" i="81"/>
  <c r="K46" i="81"/>
  <c r="K45" i="81"/>
  <c r="K44" i="81"/>
  <c r="K43" i="81"/>
  <c r="K42" i="81"/>
  <c r="K41" i="81"/>
  <c r="K40" i="81"/>
  <c r="K39" i="81"/>
  <c r="K38" i="81"/>
  <c r="K37" i="81"/>
  <c r="K36" i="81"/>
  <c r="K35" i="81"/>
  <c r="K34" i="81"/>
  <c r="K33" i="81"/>
  <c r="K32" i="81"/>
  <c r="K31" i="81"/>
  <c r="K30" i="81"/>
  <c r="K29" i="81"/>
  <c r="K28" i="81"/>
  <c r="K27" i="81"/>
  <c r="K26" i="81"/>
  <c r="K25" i="81"/>
  <c r="K24" i="81"/>
  <c r="K23" i="81"/>
  <c r="K22" i="81"/>
  <c r="K21" i="81"/>
  <c r="K20" i="81"/>
  <c r="K19" i="81"/>
  <c r="K18" i="81"/>
  <c r="K17" i="81"/>
  <c r="K16" i="81"/>
  <c r="K15" i="81"/>
  <c r="K14" i="81"/>
  <c r="K13" i="81"/>
  <c r="K12" i="81"/>
  <c r="K11" i="81"/>
  <c r="K10" i="81"/>
  <c r="K9" i="81"/>
  <c r="K8" i="81"/>
  <c r="L7" i="81"/>
  <c r="K7" i="81"/>
  <c r="L74" i="81" l="1"/>
  <c r="L8" i="81"/>
  <c r="K75" i="81"/>
  <c r="F54" i="80"/>
  <c r="K56" i="80"/>
  <c r="K55" i="80"/>
  <c r="K54" i="80"/>
  <c r="K53" i="80" l="1"/>
  <c r="K52" i="80"/>
  <c r="K51" i="80"/>
  <c r="K50" i="80"/>
  <c r="K49" i="80"/>
  <c r="K48" i="80"/>
  <c r="K47" i="80"/>
  <c r="K46" i="80"/>
  <c r="K45" i="80"/>
  <c r="K44" i="80"/>
  <c r="K43" i="80"/>
  <c r="K42" i="80"/>
  <c r="K41" i="80"/>
  <c r="K98" i="80" l="1"/>
  <c r="K97" i="80"/>
  <c r="K96" i="80"/>
  <c r="K95" i="80"/>
  <c r="K94" i="80"/>
  <c r="K93" i="80"/>
  <c r="K92" i="80"/>
  <c r="K91" i="80"/>
  <c r="K90" i="80"/>
  <c r="K89" i="80"/>
  <c r="K88" i="80"/>
  <c r="K87" i="80"/>
  <c r="K86" i="80"/>
  <c r="K85" i="80"/>
  <c r="K84" i="80"/>
  <c r="K83" i="80"/>
  <c r="K82" i="80"/>
  <c r="K81" i="80"/>
  <c r="K80" i="80"/>
  <c r="K79" i="80"/>
  <c r="K78" i="80"/>
  <c r="K77" i="80"/>
  <c r="K76" i="80"/>
  <c r="K75" i="80"/>
  <c r="K74" i="80"/>
  <c r="K73" i="80"/>
  <c r="K72" i="80"/>
  <c r="K71" i="80"/>
  <c r="K70" i="80"/>
  <c r="K69" i="80"/>
  <c r="K68" i="80"/>
  <c r="K67" i="80"/>
  <c r="K66" i="80"/>
  <c r="K65" i="80"/>
  <c r="K64" i="80"/>
  <c r="K63" i="80"/>
  <c r="K62" i="80"/>
  <c r="K58" i="80"/>
  <c r="K57" i="80"/>
  <c r="K40" i="80"/>
  <c r="K39" i="80"/>
  <c r="K38" i="80"/>
  <c r="K37" i="80"/>
  <c r="K36" i="80"/>
  <c r="K35" i="80"/>
  <c r="K34" i="80"/>
  <c r="K33" i="80"/>
  <c r="K32" i="80"/>
  <c r="K31" i="80"/>
  <c r="K30" i="80"/>
  <c r="K29" i="80"/>
  <c r="K28" i="80"/>
  <c r="K27" i="80"/>
  <c r="K26" i="80"/>
  <c r="K25" i="80"/>
  <c r="K24" i="80"/>
  <c r="K23" i="80"/>
  <c r="K22" i="80"/>
  <c r="K21" i="80"/>
  <c r="K20" i="80"/>
  <c r="K19" i="80"/>
  <c r="K18" i="80"/>
  <c r="K17" i="80"/>
  <c r="K16" i="80"/>
  <c r="K15" i="80"/>
  <c r="K14" i="80"/>
  <c r="K13" i="80"/>
  <c r="K12" i="80"/>
  <c r="K11" i="80"/>
  <c r="K10" i="80"/>
  <c r="K9" i="80"/>
  <c r="K8" i="80"/>
  <c r="J101" i="80"/>
  <c r="D102" i="80" s="1"/>
  <c r="K100" i="80"/>
  <c r="L99" i="80"/>
  <c r="K99" i="80"/>
  <c r="K61" i="80"/>
  <c r="K60" i="80"/>
  <c r="K59" i="80"/>
  <c r="L7" i="80"/>
  <c r="K7" i="80"/>
  <c r="L8" i="80" l="1"/>
  <c r="L100" i="80"/>
  <c r="K101" i="80"/>
  <c r="K42" i="79"/>
  <c r="K41" i="79"/>
  <c r="K40" i="79"/>
  <c r="K39" i="79"/>
  <c r="K38" i="79"/>
  <c r="K37" i="79"/>
  <c r="K36" i="79"/>
  <c r="K35" i="79"/>
  <c r="K34" i="79"/>
  <c r="K33" i="79"/>
  <c r="K71" i="79" l="1"/>
  <c r="K70" i="79"/>
  <c r="K68" i="79"/>
  <c r="K67" i="79"/>
  <c r="K65" i="79"/>
  <c r="K63" i="79"/>
  <c r="K60" i="79"/>
  <c r="K57" i="79"/>
  <c r="K55" i="79"/>
  <c r="K54" i="79"/>
  <c r="K52" i="79"/>
  <c r="K51" i="79"/>
  <c r="K46" i="79"/>
  <c r="K29" i="79"/>
  <c r="K27" i="79"/>
  <c r="K26" i="79"/>
  <c r="K24" i="79"/>
  <c r="K23" i="79"/>
  <c r="K16" i="79"/>
  <c r="K17" i="79"/>
  <c r="K18" i="79"/>
  <c r="K15" i="79"/>
  <c r="K12" i="79"/>
  <c r="K10" i="79"/>
  <c r="K9" i="79"/>
  <c r="J88" i="79"/>
  <c r="D89" i="79" s="1"/>
  <c r="K87" i="79"/>
  <c r="L86" i="79"/>
  <c r="K86" i="79"/>
  <c r="K85" i="79"/>
  <c r="K84" i="79"/>
  <c r="K83" i="79"/>
  <c r="K82" i="79"/>
  <c r="K81" i="79"/>
  <c r="K80" i="79"/>
  <c r="K79" i="79"/>
  <c r="K78" i="79"/>
  <c r="K77" i="79"/>
  <c r="K76" i="79"/>
  <c r="K75" i="79"/>
  <c r="K74" i="79"/>
  <c r="K45" i="79"/>
  <c r="K44" i="79"/>
  <c r="K43" i="79"/>
  <c r="K32" i="79"/>
  <c r="K31" i="79"/>
  <c r="K30" i="79"/>
  <c r="K8" i="79"/>
  <c r="L7" i="79"/>
  <c r="K7" i="79"/>
  <c r="L87" i="79" l="1"/>
  <c r="L8" i="79"/>
  <c r="K88" i="79"/>
  <c r="K65" i="78"/>
  <c r="K36" i="78"/>
  <c r="K35" i="78"/>
  <c r="K34" i="78"/>
  <c r="K32" i="78"/>
  <c r="K31" i="78"/>
  <c r="K30" i="78"/>
  <c r="K29" i="78"/>
  <c r="K28" i="78"/>
  <c r="K27" i="78"/>
  <c r="K26" i="78"/>
  <c r="K25" i="78"/>
  <c r="K24" i="78"/>
  <c r="K23" i="78"/>
  <c r="K52" i="78" l="1"/>
  <c r="K49" i="78"/>
  <c r="K60" i="78"/>
  <c r="K55" i="78"/>
  <c r="K54" i="78"/>
  <c r="K51" i="78"/>
  <c r="K48" i="78"/>
  <c r="K46" i="78"/>
  <c r="K45" i="78"/>
  <c r="K43" i="78"/>
  <c r="K42" i="78"/>
  <c r="K22" i="78"/>
  <c r="K20" i="78"/>
  <c r="K18" i="78"/>
  <c r="K17" i="78"/>
  <c r="K16" i="78"/>
  <c r="K15" i="78"/>
  <c r="K13" i="78"/>
  <c r="K12" i="78"/>
  <c r="K10" i="78"/>
  <c r="K9" i="78"/>
  <c r="J77" i="78"/>
  <c r="D78" i="78" s="1"/>
  <c r="K76" i="78"/>
  <c r="L75" i="78"/>
  <c r="K75" i="78"/>
  <c r="K74" i="78"/>
  <c r="K73" i="78"/>
  <c r="K72" i="78"/>
  <c r="K71" i="78"/>
  <c r="K70" i="78"/>
  <c r="K69" i="78"/>
  <c r="K68" i="78"/>
  <c r="K67" i="78"/>
  <c r="K66" i="78"/>
  <c r="K64" i="78"/>
  <c r="K63" i="78"/>
  <c r="K41" i="78"/>
  <c r="K40" i="78"/>
  <c r="K39" i="78"/>
  <c r="K38" i="78"/>
  <c r="K37" i="78"/>
  <c r="K33" i="78"/>
  <c r="K8" i="78"/>
  <c r="L7" i="78"/>
  <c r="K7" i="78"/>
  <c r="L76" i="78" l="1"/>
  <c r="L8" i="78"/>
  <c r="K77" i="78"/>
  <c r="K65" i="77"/>
  <c r="K64" i="77"/>
  <c r="K63" i="77"/>
  <c r="K62" i="77"/>
  <c r="K61" i="77"/>
  <c r="J72" i="77" l="1"/>
  <c r="D73" i="77" s="1"/>
  <c r="K71" i="77"/>
  <c r="L70" i="77"/>
  <c r="K70" i="77"/>
  <c r="K69" i="77"/>
  <c r="K68" i="77"/>
  <c r="K67" i="77"/>
  <c r="K66" i="77"/>
  <c r="K60" i="77"/>
  <c r="K59" i="77"/>
  <c r="K58" i="77"/>
  <c r="K57" i="77"/>
  <c r="K56" i="77"/>
  <c r="K55" i="77"/>
  <c r="K54" i="77"/>
  <c r="K53" i="77"/>
  <c r="K52" i="77"/>
  <c r="K51" i="77"/>
  <c r="K50" i="77"/>
  <c r="K49" i="77"/>
  <c r="K48" i="77"/>
  <c r="K47" i="77"/>
  <c r="K46" i="77"/>
  <c r="K45" i="77"/>
  <c r="K44" i="77"/>
  <c r="K43" i="77"/>
  <c r="K42" i="77"/>
  <c r="K41" i="77"/>
  <c r="K40" i="77"/>
  <c r="K39" i="77"/>
  <c r="K38" i="77"/>
  <c r="K37" i="77"/>
  <c r="K36" i="77"/>
  <c r="K35" i="77"/>
  <c r="K34" i="77"/>
  <c r="K33" i="77"/>
  <c r="K32" i="77"/>
  <c r="K31" i="77"/>
  <c r="K30" i="77"/>
  <c r="K29" i="77"/>
  <c r="K28" i="77"/>
  <c r="K27" i="77"/>
  <c r="K26" i="77"/>
  <c r="K25" i="77"/>
  <c r="K24" i="77"/>
  <c r="K23" i="77"/>
  <c r="K22" i="77"/>
  <c r="K21" i="77"/>
  <c r="K20" i="77"/>
  <c r="K19" i="77"/>
  <c r="K18" i="77"/>
  <c r="K17" i="77"/>
  <c r="K16" i="77"/>
  <c r="K15" i="77"/>
  <c r="K14" i="77"/>
  <c r="K13" i="77"/>
  <c r="K12" i="77"/>
  <c r="K11" i="77"/>
  <c r="K10" i="77"/>
  <c r="K9" i="77"/>
  <c r="K8" i="77"/>
  <c r="L7" i="77"/>
  <c r="K7" i="77"/>
  <c r="K85" i="76"/>
  <c r="K89" i="76"/>
  <c r="K88" i="76"/>
  <c r="K87" i="76"/>
  <c r="K86" i="76"/>
  <c r="K72" i="77" l="1"/>
  <c r="L8" i="77"/>
  <c r="L71" i="77"/>
  <c r="K51" i="76"/>
  <c r="K50" i="76"/>
  <c r="K49" i="76"/>
  <c r="K48" i="76"/>
  <c r="K47" i="76"/>
  <c r="K46" i="76"/>
  <c r="K45" i="76"/>
  <c r="K44" i="76"/>
  <c r="K43" i="76"/>
  <c r="K42" i="76"/>
  <c r="K41" i="76"/>
  <c r="K52" i="76" l="1"/>
  <c r="K40" i="76"/>
  <c r="K39" i="76"/>
  <c r="K38" i="76"/>
  <c r="K37" i="76"/>
  <c r="K36" i="76"/>
  <c r="K35" i="76"/>
  <c r="K34" i="76"/>
  <c r="K33" i="76"/>
  <c r="K32" i="76"/>
  <c r="J93" i="76"/>
  <c r="D94" i="76" s="1"/>
  <c r="K92" i="76"/>
  <c r="L91" i="76"/>
  <c r="K91" i="76"/>
  <c r="K90" i="76"/>
  <c r="K84" i="76"/>
  <c r="K83" i="76"/>
  <c r="K82" i="76"/>
  <c r="K81" i="76"/>
  <c r="K80" i="76"/>
  <c r="K79" i="76"/>
  <c r="K78" i="76"/>
  <c r="K77" i="76"/>
  <c r="K76" i="76"/>
  <c r="K75" i="76"/>
  <c r="K74" i="76"/>
  <c r="K73" i="76"/>
  <c r="K72" i="76"/>
  <c r="K71" i="76"/>
  <c r="K70" i="76"/>
  <c r="K69" i="76"/>
  <c r="K68" i="76"/>
  <c r="K67" i="76"/>
  <c r="K66" i="76"/>
  <c r="K65" i="76"/>
  <c r="K64" i="76"/>
  <c r="K63" i="76"/>
  <c r="K62" i="76"/>
  <c r="K61" i="76"/>
  <c r="K60" i="76"/>
  <c r="K59" i="76"/>
  <c r="K58" i="76"/>
  <c r="K57" i="76"/>
  <c r="K56" i="76"/>
  <c r="K55" i="76"/>
  <c r="K54" i="76"/>
  <c r="K53" i="76"/>
  <c r="K31" i="76"/>
  <c r="K30" i="76"/>
  <c r="K29" i="76"/>
  <c r="K28" i="76"/>
  <c r="K27" i="76"/>
  <c r="K26" i="76"/>
  <c r="K25" i="76"/>
  <c r="K24" i="76"/>
  <c r="K23" i="76"/>
  <c r="K22" i="76"/>
  <c r="K21" i="76"/>
  <c r="K20" i="76"/>
  <c r="K19" i="76"/>
  <c r="K18" i="76"/>
  <c r="K17" i="76"/>
  <c r="K16" i="76"/>
  <c r="K15" i="76"/>
  <c r="K14" i="76"/>
  <c r="K13" i="76"/>
  <c r="K12" i="76"/>
  <c r="K11" i="76"/>
  <c r="K10" i="76"/>
  <c r="K9" i="76"/>
  <c r="K8" i="76"/>
  <c r="L7" i="76"/>
  <c r="K7" i="76"/>
  <c r="L8" i="76" l="1"/>
  <c r="K93" i="76"/>
  <c r="L92" i="76"/>
  <c r="K31" i="75"/>
  <c r="K30" i="75"/>
  <c r="K29" i="75"/>
  <c r="K28" i="75"/>
  <c r="K27" i="75"/>
  <c r="K26" i="75"/>
  <c r="K25" i="75"/>
  <c r="K12" i="75"/>
  <c r="K9" i="75"/>
  <c r="J69" i="75"/>
  <c r="D70" i="75" s="1"/>
  <c r="K68" i="75"/>
  <c r="L67" i="75"/>
  <c r="K67" i="75"/>
  <c r="K66" i="75"/>
  <c r="K65" i="75"/>
  <c r="K64" i="75"/>
  <c r="K63" i="75"/>
  <c r="K62" i="75"/>
  <c r="K61" i="75"/>
  <c r="K60" i="75"/>
  <c r="K59" i="75"/>
  <c r="K58" i="75"/>
  <c r="K57" i="75"/>
  <c r="K56" i="75"/>
  <c r="K55" i="75"/>
  <c r="K54" i="75"/>
  <c r="K53" i="75"/>
  <c r="K52" i="75"/>
  <c r="K51" i="75"/>
  <c r="K50" i="75"/>
  <c r="K49" i="75"/>
  <c r="K48" i="75"/>
  <c r="K47" i="75"/>
  <c r="K46" i="75"/>
  <c r="K45" i="75"/>
  <c r="K44" i="75"/>
  <c r="K43" i="75"/>
  <c r="K42" i="75"/>
  <c r="K41" i="75"/>
  <c r="K40" i="75"/>
  <c r="K39" i="75"/>
  <c r="K38" i="75"/>
  <c r="K37" i="75"/>
  <c r="K36" i="75"/>
  <c r="K35" i="75"/>
  <c r="K34" i="75"/>
  <c r="K33" i="75"/>
  <c r="K32" i="75"/>
  <c r="K24" i="75"/>
  <c r="K23" i="75"/>
  <c r="K22" i="75"/>
  <c r="K21" i="75"/>
  <c r="K20" i="75"/>
  <c r="K19" i="75"/>
  <c r="K18" i="75"/>
  <c r="K17" i="75"/>
  <c r="K16" i="75"/>
  <c r="K15" i="75"/>
  <c r="K14" i="75"/>
  <c r="K13" i="75"/>
  <c r="K11" i="75"/>
  <c r="K10" i="75"/>
  <c r="K8" i="75"/>
  <c r="L7" i="75"/>
  <c r="K7" i="75"/>
  <c r="L68" i="75" l="1"/>
  <c r="K69" i="75"/>
  <c r="L8" i="75"/>
  <c r="E42" i="74" l="1"/>
  <c r="F42" i="74"/>
  <c r="F44" i="74"/>
  <c r="F45" i="74" s="1"/>
  <c r="F69" i="74" l="1"/>
  <c r="F67" i="74"/>
  <c r="F62" i="74"/>
  <c r="K37" i="74"/>
  <c r="K36" i="74"/>
  <c r="K35" i="74"/>
  <c r="K34" i="74"/>
  <c r="K33" i="74"/>
  <c r="K32" i="74"/>
  <c r="K31" i="74"/>
  <c r="J90" i="74"/>
  <c r="D91" i="74" s="1"/>
  <c r="K89" i="74"/>
  <c r="L88" i="74"/>
  <c r="K88" i="74"/>
  <c r="K87" i="74"/>
  <c r="K86" i="74"/>
  <c r="K85" i="74"/>
  <c r="K84" i="74"/>
  <c r="K83" i="74"/>
  <c r="K82" i="74"/>
  <c r="K81" i="74"/>
  <c r="K80" i="74"/>
  <c r="K79" i="74"/>
  <c r="K78" i="74"/>
  <c r="K77" i="74"/>
  <c r="K76" i="74"/>
  <c r="K75" i="74"/>
  <c r="K74" i="74"/>
  <c r="K73" i="74"/>
  <c r="K72" i="74"/>
  <c r="K71" i="74"/>
  <c r="K70" i="74"/>
  <c r="K69" i="74"/>
  <c r="K68" i="74"/>
  <c r="K67" i="74"/>
  <c r="K66" i="74"/>
  <c r="K65" i="74"/>
  <c r="K64" i="74"/>
  <c r="K63" i="74"/>
  <c r="K62" i="74"/>
  <c r="K61" i="74"/>
  <c r="K60" i="74"/>
  <c r="K59" i="74"/>
  <c r="K58" i="74"/>
  <c r="K57" i="74"/>
  <c r="K56" i="74"/>
  <c r="K55" i="74"/>
  <c r="K54" i="74"/>
  <c r="K53" i="74"/>
  <c r="K52" i="74"/>
  <c r="K51" i="74"/>
  <c r="K50" i="74"/>
  <c r="K49" i="74"/>
  <c r="K48" i="74"/>
  <c r="K47" i="74"/>
  <c r="K46" i="74"/>
  <c r="K45" i="74"/>
  <c r="K44" i="74"/>
  <c r="K43" i="74"/>
  <c r="K42" i="74"/>
  <c r="K41" i="74"/>
  <c r="K40" i="74"/>
  <c r="K39" i="74"/>
  <c r="K38" i="74"/>
  <c r="K30" i="74"/>
  <c r="K29" i="74"/>
  <c r="K28" i="74"/>
  <c r="K27" i="74"/>
  <c r="K26" i="74"/>
  <c r="K25" i="74"/>
  <c r="K24" i="74"/>
  <c r="K23" i="74"/>
  <c r="K22" i="74"/>
  <c r="K21" i="74"/>
  <c r="K20" i="74"/>
  <c r="K19" i="74"/>
  <c r="K18" i="74"/>
  <c r="K17" i="74"/>
  <c r="K16" i="74"/>
  <c r="K15" i="74"/>
  <c r="K14" i="74"/>
  <c r="K13" i="74"/>
  <c r="K12" i="74"/>
  <c r="K11" i="74"/>
  <c r="K10" i="74"/>
  <c r="K9" i="74"/>
  <c r="K8" i="74"/>
  <c r="L7" i="74"/>
  <c r="K7" i="74"/>
  <c r="L89" i="74" l="1"/>
  <c r="L8" i="74"/>
  <c r="K90" i="74"/>
  <c r="K82" i="73"/>
  <c r="K81" i="73"/>
  <c r="K80" i="73"/>
  <c r="K79" i="73"/>
  <c r="K78" i="73"/>
  <c r="K77" i="73"/>
  <c r="K49" i="73"/>
  <c r="K48" i="73"/>
  <c r="K47" i="73"/>
  <c r="K46" i="73"/>
  <c r="K45" i="73"/>
  <c r="F57" i="73" l="1"/>
  <c r="K44" i="73"/>
  <c r="K43" i="73"/>
  <c r="K42" i="73"/>
  <c r="K41" i="73"/>
  <c r="K40" i="73"/>
  <c r="K39" i="73"/>
  <c r="K38" i="73"/>
  <c r="K37" i="73"/>
  <c r="K36" i="73"/>
  <c r="K35" i="73"/>
  <c r="K34" i="73"/>
  <c r="K33" i="73"/>
  <c r="K32" i="73"/>
  <c r="K31" i="73"/>
  <c r="K30" i="73"/>
  <c r="K10" i="73"/>
  <c r="K9" i="73"/>
  <c r="J90" i="73"/>
  <c r="D91" i="73" s="1"/>
  <c r="K89" i="73"/>
  <c r="L88" i="73"/>
  <c r="K88" i="73"/>
  <c r="K87" i="73"/>
  <c r="K86" i="73"/>
  <c r="K85" i="73"/>
  <c r="K84" i="73"/>
  <c r="K83" i="73"/>
  <c r="K76" i="73"/>
  <c r="K75" i="73"/>
  <c r="K74" i="73"/>
  <c r="K73" i="73"/>
  <c r="K72" i="73"/>
  <c r="K71" i="73"/>
  <c r="K70" i="73"/>
  <c r="K69" i="73"/>
  <c r="K68" i="73"/>
  <c r="K67" i="73"/>
  <c r="K66" i="73"/>
  <c r="K65" i="73"/>
  <c r="K64" i="73"/>
  <c r="K63" i="73"/>
  <c r="K62" i="73"/>
  <c r="K61" i="73"/>
  <c r="K60" i="73"/>
  <c r="K59" i="73"/>
  <c r="K58" i="73"/>
  <c r="K57" i="73"/>
  <c r="K56" i="73"/>
  <c r="K55" i="73"/>
  <c r="K54" i="73"/>
  <c r="K53" i="73"/>
  <c r="K52" i="73"/>
  <c r="K51" i="73"/>
  <c r="K50" i="73"/>
  <c r="K29" i="73"/>
  <c r="K28" i="73"/>
  <c r="K27" i="73"/>
  <c r="K26" i="73"/>
  <c r="K25" i="73"/>
  <c r="K24" i="73"/>
  <c r="K23" i="73"/>
  <c r="K22" i="73"/>
  <c r="K21" i="73"/>
  <c r="K20" i="73"/>
  <c r="K19" i="73"/>
  <c r="K18" i="73"/>
  <c r="K17" i="73"/>
  <c r="K16" i="73"/>
  <c r="K15" i="73"/>
  <c r="K14" i="73"/>
  <c r="K13" i="73"/>
  <c r="K12" i="73"/>
  <c r="K11" i="73"/>
  <c r="K8" i="73"/>
  <c r="L7" i="73"/>
  <c r="K7" i="73"/>
  <c r="L89" i="73" l="1"/>
  <c r="L8" i="73"/>
  <c r="K90" i="73"/>
  <c r="F19" i="72"/>
  <c r="F33" i="72" l="1"/>
  <c r="K23" i="72" l="1"/>
  <c r="K22" i="72"/>
  <c r="K21" i="72"/>
  <c r="K12" i="72"/>
  <c r="F12" i="72"/>
  <c r="E12" i="72"/>
  <c r="K11" i="72"/>
  <c r="K10" i="72"/>
  <c r="K9" i="72"/>
  <c r="K17" i="72"/>
  <c r="K16" i="72"/>
  <c r="K15" i="72"/>
  <c r="F9" i="72"/>
  <c r="E9" i="72"/>
  <c r="K14" i="72"/>
  <c r="K18" i="72"/>
  <c r="K19" i="72"/>
  <c r="K20" i="72"/>
  <c r="K66" i="72"/>
  <c r="L65" i="72"/>
  <c r="K65" i="72"/>
  <c r="K64" i="72"/>
  <c r="K63" i="72"/>
  <c r="K62" i="72"/>
  <c r="K61" i="72"/>
  <c r="K60" i="72"/>
  <c r="K59" i="72"/>
  <c r="K58" i="72"/>
  <c r="K57" i="72"/>
  <c r="K56" i="72"/>
  <c r="K55" i="72"/>
  <c r="K54" i="72"/>
  <c r="K53" i="72"/>
  <c r="K52" i="72"/>
  <c r="K51" i="72"/>
  <c r="K50" i="72"/>
  <c r="K49" i="72"/>
  <c r="K48" i="72"/>
  <c r="K47" i="72"/>
  <c r="K46" i="72"/>
  <c r="K45" i="72"/>
  <c r="K44" i="72"/>
  <c r="K43" i="72"/>
  <c r="K42" i="72"/>
  <c r="K41" i="72"/>
  <c r="K40" i="72"/>
  <c r="K39" i="72"/>
  <c r="K38" i="72"/>
  <c r="K37" i="72"/>
  <c r="K36" i="72"/>
  <c r="K35" i="72"/>
  <c r="K34" i="72"/>
  <c r="K33" i="72"/>
  <c r="K32" i="72"/>
  <c r="K31" i="72"/>
  <c r="K30" i="72"/>
  <c r="K29" i="72"/>
  <c r="K28" i="72"/>
  <c r="K27" i="72"/>
  <c r="K26" i="72"/>
  <c r="K25" i="72"/>
  <c r="K24" i="72"/>
  <c r="K13" i="72"/>
  <c r="K8" i="72"/>
  <c r="L7" i="72"/>
  <c r="K7" i="72"/>
  <c r="J67" i="72" l="1"/>
  <c r="D68" i="72" s="1"/>
  <c r="L66" i="72"/>
  <c r="L8" i="72"/>
  <c r="K67" i="72"/>
  <c r="K65" i="71"/>
  <c r="K64" i="71"/>
  <c r="K63" i="71"/>
  <c r="K62" i="71"/>
  <c r="K61" i="71"/>
  <c r="K27" i="71"/>
  <c r="K17" i="71" l="1"/>
  <c r="K16" i="71"/>
  <c r="K15" i="71"/>
  <c r="K14" i="71"/>
  <c r="K13" i="71"/>
  <c r="K12" i="71"/>
  <c r="J74" i="71" l="1"/>
  <c r="D75" i="71" s="1"/>
  <c r="K73" i="71"/>
  <c r="L72" i="71"/>
  <c r="K72" i="71"/>
  <c r="K71" i="71"/>
  <c r="K70" i="71"/>
  <c r="K69" i="71"/>
  <c r="K68" i="71"/>
  <c r="K67" i="71"/>
  <c r="K66" i="71"/>
  <c r="K60" i="71"/>
  <c r="K59" i="71"/>
  <c r="K58" i="71"/>
  <c r="K57" i="71"/>
  <c r="K56" i="71"/>
  <c r="K55" i="71"/>
  <c r="K54" i="71"/>
  <c r="K53" i="71"/>
  <c r="K52" i="71"/>
  <c r="K51" i="71"/>
  <c r="K50" i="71"/>
  <c r="K49" i="71"/>
  <c r="K48" i="71"/>
  <c r="K47" i="71"/>
  <c r="K46" i="71"/>
  <c r="K45" i="71"/>
  <c r="K44" i="71"/>
  <c r="K43" i="71"/>
  <c r="K42" i="71"/>
  <c r="K41" i="71"/>
  <c r="K40" i="71"/>
  <c r="K39" i="71"/>
  <c r="K38" i="71"/>
  <c r="K37" i="71"/>
  <c r="K36" i="71"/>
  <c r="K35" i="71"/>
  <c r="K34" i="71"/>
  <c r="K33" i="71"/>
  <c r="K32" i="71"/>
  <c r="K31" i="71"/>
  <c r="K30" i="71"/>
  <c r="K29" i="71"/>
  <c r="K28" i="71"/>
  <c r="K26" i="71"/>
  <c r="K25" i="71"/>
  <c r="K24" i="71"/>
  <c r="K23" i="71"/>
  <c r="K22" i="71"/>
  <c r="K21" i="71"/>
  <c r="K20" i="71"/>
  <c r="K19" i="71"/>
  <c r="K18" i="71"/>
  <c r="K11" i="71"/>
  <c r="K10" i="71"/>
  <c r="K9" i="71"/>
  <c r="K8" i="71"/>
  <c r="L7" i="71"/>
  <c r="K7" i="71"/>
  <c r="L73" i="71" l="1"/>
  <c r="K74" i="71"/>
  <c r="L8" i="71"/>
  <c r="K37" i="70"/>
  <c r="J70" i="70"/>
  <c r="D71" i="70" s="1"/>
  <c r="K69" i="70"/>
  <c r="L68" i="70"/>
  <c r="K68" i="70"/>
  <c r="K67" i="70"/>
  <c r="K66" i="70"/>
  <c r="K65" i="70"/>
  <c r="K64" i="70"/>
  <c r="K63" i="70"/>
  <c r="K62" i="70"/>
  <c r="K61" i="70"/>
  <c r="K60" i="70"/>
  <c r="K59" i="70"/>
  <c r="K58" i="70"/>
  <c r="K57" i="70"/>
  <c r="K56" i="70"/>
  <c r="K55" i="70"/>
  <c r="K54" i="70"/>
  <c r="K53" i="70"/>
  <c r="K52" i="70"/>
  <c r="K51" i="70"/>
  <c r="K50" i="70"/>
  <c r="K49" i="70"/>
  <c r="K48" i="70"/>
  <c r="K47" i="70"/>
  <c r="K46" i="70"/>
  <c r="K45" i="70"/>
  <c r="K44" i="70"/>
  <c r="K43" i="70"/>
  <c r="K42" i="70"/>
  <c r="K41" i="70"/>
  <c r="K40" i="70"/>
  <c r="K39" i="70"/>
  <c r="K38" i="70"/>
  <c r="K36" i="70"/>
  <c r="K35" i="70"/>
  <c r="K34" i="70"/>
  <c r="K33" i="70"/>
  <c r="K32" i="70"/>
  <c r="K31" i="70"/>
  <c r="K30" i="70"/>
  <c r="K29" i="70"/>
  <c r="K28" i="70"/>
  <c r="K27" i="70"/>
  <c r="K26" i="70"/>
  <c r="K25" i="70"/>
  <c r="K24" i="70"/>
  <c r="K23" i="70"/>
  <c r="K22" i="70"/>
  <c r="K21" i="70"/>
  <c r="K20" i="70"/>
  <c r="K19" i="70"/>
  <c r="K18" i="70"/>
  <c r="K17" i="70"/>
  <c r="K16" i="70"/>
  <c r="K15" i="70"/>
  <c r="K14" i="70"/>
  <c r="K13" i="70"/>
  <c r="K12" i="70"/>
  <c r="K11" i="70"/>
  <c r="K10" i="70"/>
  <c r="K9" i="70"/>
  <c r="K8" i="70"/>
  <c r="L7" i="70"/>
  <c r="K7" i="70"/>
  <c r="L69" i="70" l="1"/>
  <c r="L8" i="70"/>
  <c r="K70" i="70"/>
  <c r="K61" i="69"/>
  <c r="K59" i="69"/>
  <c r="K56" i="69"/>
  <c r="K55" i="69"/>
  <c r="K54" i="69"/>
  <c r="K53" i="69"/>
  <c r="K52" i="69"/>
  <c r="K51" i="69"/>
  <c r="K50" i="69"/>
  <c r="K31" i="69"/>
  <c r="K30" i="69"/>
  <c r="K29" i="69"/>
  <c r="K28" i="69"/>
  <c r="K27" i="69"/>
  <c r="K26" i="69"/>
  <c r="K34" i="69" l="1"/>
  <c r="K33" i="69"/>
  <c r="K32" i="69"/>
  <c r="K25" i="69"/>
  <c r="K46" i="69"/>
  <c r="K44" i="69"/>
  <c r="K15" i="69"/>
  <c r="J69" i="69" l="1"/>
  <c r="D70" i="69" s="1"/>
  <c r="K68" i="69"/>
  <c r="L67" i="69"/>
  <c r="K67" i="69"/>
  <c r="K66" i="69"/>
  <c r="K65" i="69"/>
  <c r="K64" i="69"/>
  <c r="K63" i="69"/>
  <c r="K62" i="69"/>
  <c r="K60" i="69"/>
  <c r="K58" i="69"/>
  <c r="K57" i="69"/>
  <c r="K49" i="69"/>
  <c r="K48" i="69"/>
  <c r="K47" i="69"/>
  <c r="K45" i="69"/>
  <c r="K43" i="69"/>
  <c r="K42" i="69"/>
  <c r="K41" i="69"/>
  <c r="K40" i="69"/>
  <c r="K39" i="69"/>
  <c r="K38" i="69"/>
  <c r="K37" i="69"/>
  <c r="K36" i="69"/>
  <c r="K35" i="69"/>
  <c r="K24" i="69"/>
  <c r="K23" i="69"/>
  <c r="K22" i="69"/>
  <c r="K21" i="69"/>
  <c r="K20" i="69"/>
  <c r="K19" i="69"/>
  <c r="K18" i="69"/>
  <c r="K17" i="69"/>
  <c r="K16" i="69"/>
  <c r="K14" i="69"/>
  <c r="K13" i="69"/>
  <c r="K12" i="69"/>
  <c r="K11" i="69"/>
  <c r="K10" i="69"/>
  <c r="K9" i="69"/>
  <c r="K8" i="69"/>
  <c r="L7" i="69"/>
  <c r="K7" i="69"/>
  <c r="L8" i="69" l="1"/>
  <c r="L68" i="69"/>
  <c r="K69" i="69"/>
  <c r="K22" i="68"/>
  <c r="K51" i="68"/>
  <c r="L50" i="68"/>
  <c r="K50" i="68"/>
  <c r="K49" i="68"/>
  <c r="K48" i="68"/>
  <c r="K47" i="68"/>
  <c r="K46" i="68"/>
  <c r="K45" i="68"/>
  <c r="K44" i="68"/>
  <c r="K43" i="68"/>
  <c r="K42" i="68"/>
  <c r="K41" i="68"/>
  <c r="K40" i="68"/>
  <c r="K39" i="68"/>
  <c r="K38" i="68"/>
  <c r="K37" i="68"/>
  <c r="K36" i="68"/>
  <c r="K35" i="68"/>
  <c r="K34" i="68"/>
  <c r="K33" i="68"/>
  <c r="K32" i="68"/>
  <c r="K31" i="68"/>
  <c r="K30" i="68"/>
  <c r="K29" i="68"/>
  <c r="K28" i="68"/>
  <c r="K27" i="68"/>
  <c r="K26" i="68"/>
  <c r="K25" i="68"/>
  <c r="K24" i="68"/>
  <c r="K23" i="68"/>
  <c r="K21" i="68"/>
  <c r="K20" i="68"/>
  <c r="K19" i="68"/>
  <c r="K18" i="68"/>
  <c r="K17" i="68"/>
  <c r="K16" i="68"/>
  <c r="K15" i="68"/>
  <c r="J52" i="68"/>
  <c r="D53" i="68" s="1"/>
  <c r="K14" i="68"/>
  <c r="K13" i="68"/>
  <c r="K12" i="68"/>
  <c r="K11" i="68"/>
  <c r="K10" i="68"/>
  <c r="K9" i="68"/>
  <c r="K8" i="68"/>
  <c r="K7" i="68"/>
  <c r="L51" i="68" l="1"/>
  <c r="K52" i="68"/>
  <c r="L8" i="68"/>
  <c r="L7" i="68"/>
  <c r="J15" i="67"/>
  <c r="K15" i="67" s="1"/>
  <c r="J52" i="67" l="1"/>
  <c r="D53" i="67" s="1"/>
  <c r="K51" i="67"/>
  <c r="L50" i="67"/>
  <c r="K50" i="67"/>
  <c r="K49" i="67"/>
  <c r="K48" i="67"/>
  <c r="K47" i="67"/>
  <c r="K46" i="67"/>
  <c r="K45" i="67"/>
  <c r="K44" i="67"/>
  <c r="K43" i="67"/>
  <c r="K42" i="67"/>
  <c r="K41" i="67"/>
  <c r="K40" i="67"/>
  <c r="K39" i="67"/>
  <c r="K38" i="67"/>
  <c r="K37" i="67"/>
  <c r="K36" i="67"/>
  <c r="K35" i="67"/>
  <c r="K34" i="67"/>
  <c r="K33" i="67"/>
  <c r="K32" i="67"/>
  <c r="K31" i="67"/>
  <c r="K30" i="67"/>
  <c r="K29" i="67"/>
  <c r="K28" i="67"/>
  <c r="K27" i="67"/>
  <c r="K26" i="67"/>
  <c r="K25" i="67"/>
  <c r="K24" i="67"/>
  <c r="K23" i="67"/>
  <c r="K22" i="67"/>
  <c r="K21" i="67"/>
  <c r="K20" i="67"/>
  <c r="K19" i="67"/>
  <c r="K18" i="67"/>
  <c r="K17" i="67"/>
  <c r="K16" i="67"/>
  <c r="K14" i="67"/>
  <c r="K13" i="67"/>
  <c r="K12" i="67"/>
  <c r="K11" i="67"/>
  <c r="K10" i="67"/>
  <c r="K9" i="67"/>
  <c r="K8" i="67"/>
  <c r="L7" i="67"/>
  <c r="K7" i="67"/>
  <c r="L51" i="67" l="1"/>
  <c r="K52" i="67"/>
  <c r="L8" i="67"/>
  <c r="F48" i="66"/>
  <c r="F47" i="66"/>
  <c r="J60" i="66"/>
  <c r="D61" i="66" s="1"/>
  <c r="K59" i="66"/>
  <c r="L58" i="66"/>
  <c r="K58" i="66"/>
  <c r="K57" i="66"/>
  <c r="K56" i="66"/>
  <c r="K55" i="66"/>
  <c r="K54" i="66"/>
  <c r="K53" i="66"/>
  <c r="K52" i="66"/>
  <c r="K51" i="66"/>
  <c r="K50" i="66"/>
  <c r="K49" i="66"/>
  <c r="K48" i="66"/>
  <c r="K47" i="66"/>
  <c r="K46" i="66"/>
  <c r="K45" i="66"/>
  <c r="K44" i="66"/>
  <c r="K43" i="66"/>
  <c r="K42" i="66"/>
  <c r="K41" i="66"/>
  <c r="K40" i="66"/>
  <c r="K39" i="66"/>
  <c r="K38" i="66"/>
  <c r="K37" i="66"/>
  <c r="K36" i="66"/>
  <c r="K35" i="66"/>
  <c r="K34" i="66"/>
  <c r="K33" i="66"/>
  <c r="K32" i="66"/>
  <c r="K31" i="66"/>
  <c r="K30" i="66"/>
  <c r="K29" i="66"/>
  <c r="K28" i="66"/>
  <c r="K27" i="66"/>
  <c r="K26" i="66"/>
  <c r="K25" i="66"/>
  <c r="K24" i="66"/>
  <c r="K23" i="66"/>
  <c r="K22" i="66"/>
  <c r="K21" i="66"/>
  <c r="K20" i="66"/>
  <c r="K19" i="66"/>
  <c r="K18" i="66"/>
  <c r="K17" i="66"/>
  <c r="K16" i="66"/>
  <c r="K15" i="66"/>
  <c r="K14" i="66"/>
  <c r="K13" i="66"/>
  <c r="K12" i="66"/>
  <c r="K11" i="66"/>
  <c r="K10" i="66"/>
  <c r="K9" i="66"/>
  <c r="K8" i="66"/>
  <c r="L7" i="66"/>
  <c r="K7" i="66"/>
  <c r="L8" i="66" l="1"/>
  <c r="K60" i="66"/>
  <c r="L59" i="66"/>
  <c r="K16" i="65"/>
  <c r="K19" i="65" l="1"/>
  <c r="J60" i="65"/>
  <c r="D61" i="65" s="1"/>
  <c r="K59" i="65"/>
  <c r="L58" i="65"/>
  <c r="K58" i="65"/>
  <c r="K57" i="65"/>
  <c r="K56" i="65"/>
  <c r="K55" i="65"/>
  <c r="K54" i="65"/>
  <c r="K53" i="65"/>
  <c r="K52" i="65"/>
  <c r="K51" i="65"/>
  <c r="K50" i="65"/>
  <c r="K49" i="65"/>
  <c r="K48" i="65"/>
  <c r="K47" i="65"/>
  <c r="K46" i="65"/>
  <c r="K45" i="65"/>
  <c r="K44" i="65"/>
  <c r="K43" i="65"/>
  <c r="K42" i="65"/>
  <c r="K41" i="65"/>
  <c r="K40" i="65"/>
  <c r="K39" i="65"/>
  <c r="K38" i="65"/>
  <c r="K37" i="65"/>
  <c r="K36" i="65"/>
  <c r="K35" i="65"/>
  <c r="K34" i="65"/>
  <c r="K33" i="65"/>
  <c r="K32" i="65"/>
  <c r="K31" i="65"/>
  <c r="K30" i="65"/>
  <c r="K29" i="65"/>
  <c r="K28" i="65"/>
  <c r="K27" i="65"/>
  <c r="K26" i="65"/>
  <c r="K25" i="65"/>
  <c r="K24" i="65"/>
  <c r="K23" i="65"/>
  <c r="K22" i="65"/>
  <c r="K21" i="65"/>
  <c r="K20" i="65"/>
  <c r="K18" i="65"/>
  <c r="K17" i="65"/>
  <c r="K15" i="65"/>
  <c r="K14" i="65"/>
  <c r="K13" i="65"/>
  <c r="K12" i="65"/>
  <c r="K11" i="65"/>
  <c r="K10" i="65"/>
  <c r="K9" i="65"/>
  <c r="K8" i="65"/>
  <c r="L7" i="65"/>
  <c r="K7" i="65"/>
  <c r="L59" i="65" l="1"/>
  <c r="K60" i="65"/>
  <c r="L8" i="65"/>
  <c r="K37" i="64"/>
  <c r="J60" i="64"/>
  <c r="D61" i="64" s="1"/>
  <c r="L7" i="64"/>
  <c r="E9" i="64"/>
  <c r="K12" i="64"/>
  <c r="K9" i="64"/>
  <c r="K59" i="64"/>
  <c r="K58" i="64"/>
  <c r="K57" i="64"/>
  <c r="K56" i="64"/>
  <c r="K55" i="64"/>
  <c r="K54" i="64"/>
  <c r="K53" i="64"/>
  <c r="K52" i="64"/>
  <c r="K51" i="64"/>
  <c r="K50" i="64"/>
  <c r="K49" i="64"/>
  <c r="K48" i="64"/>
  <c r="K47" i="64"/>
  <c r="K46" i="64"/>
  <c r="K45" i="64"/>
  <c r="K44" i="64"/>
  <c r="K43" i="64"/>
  <c r="K42" i="64"/>
  <c r="K41" i="64"/>
  <c r="K40" i="64"/>
  <c r="K39" i="64"/>
  <c r="K38" i="64"/>
  <c r="K36" i="64"/>
  <c r="K35" i="64"/>
  <c r="K34" i="64"/>
  <c r="K33" i="64"/>
  <c r="K32" i="64"/>
  <c r="K31" i="64"/>
  <c r="K30" i="64"/>
  <c r="K29" i="64"/>
  <c r="K28" i="64"/>
  <c r="K27" i="64"/>
  <c r="K26" i="64"/>
  <c r="K25" i="64"/>
  <c r="K24" i="64"/>
  <c r="K23" i="64"/>
  <c r="K22" i="64"/>
  <c r="K21" i="64"/>
  <c r="K20" i="64"/>
  <c r="K19" i="64"/>
  <c r="K18" i="64"/>
  <c r="K17" i="64"/>
  <c r="K16" i="64"/>
  <c r="K15" i="64"/>
  <c r="K14" i="64"/>
  <c r="K13" i="64"/>
  <c r="K11" i="64"/>
  <c r="K10" i="64"/>
  <c r="K8" i="64"/>
  <c r="K7" i="64"/>
  <c r="L58" i="64" l="1"/>
  <c r="K60" i="64"/>
  <c r="L59" i="64"/>
  <c r="L8" i="64"/>
  <c r="K28" i="63"/>
  <c r="K27" i="63"/>
  <c r="K26" i="63"/>
  <c r="K25" i="63"/>
  <c r="K24" i="63"/>
  <c r="K17" i="63" l="1"/>
  <c r="J78" i="63"/>
  <c r="D79" i="63" s="1"/>
  <c r="K77" i="63"/>
  <c r="L76" i="63"/>
  <c r="K76" i="63"/>
  <c r="K75" i="63"/>
  <c r="K74" i="63"/>
  <c r="K73" i="63"/>
  <c r="K72" i="63"/>
  <c r="K71" i="63"/>
  <c r="K70" i="63"/>
  <c r="K69" i="63"/>
  <c r="K68" i="63"/>
  <c r="K67" i="63"/>
  <c r="K66" i="63"/>
  <c r="K65" i="63"/>
  <c r="K64" i="63"/>
  <c r="K63" i="63"/>
  <c r="K62" i="63"/>
  <c r="K61" i="63"/>
  <c r="K60" i="63"/>
  <c r="K59" i="63"/>
  <c r="K58" i="63"/>
  <c r="K57" i="63"/>
  <c r="K56" i="63"/>
  <c r="K55" i="63"/>
  <c r="K54" i="63"/>
  <c r="K53" i="63"/>
  <c r="K52" i="63"/>
  <c r="K51" i="63"/>
  <c r="K50" i="63"/>
  <c r="K49" i="63"/>
  <c r="K48" i="63"/>
  <c r="K47" i="63"/>
  <c r="K46" i="63"/>
  <c r="K45" i="63"/>
  <c r="K44" i="63"/>
  <c r="K43" i="63"/>
  <c r="K42" i="63"/>
  <c r="K41" i="63"/>
  <c r="K40" i="63"/>
  <c r="K39" i="63"/>
  <c r="K38" i="63"/>
  <c r="K37" i="63"/>
  <c r="K36" i="63"/>
  <c r="K35" i="63"/>
  <c r="K34" i="63"/>
  <c r="K33" i="63"/>
  <c r="K32" i="63"/>
  <c r="K31" i="63"/>
  <c r="K30" i="63"/>
  <c r="K29" i="63"/>
  <c r="K23" i="63"/>
  <c r="K22" i="63"/>
  <c r="K21" i="63"/>
  <c r="K20" i="63"/>
  <c r="K19" i="63"/>
  <c r="K18" i="63"/>
  <c r="K16" i="63"/>
  <c r="K15" i="63"/>
  <c r="K14" i="63"/>
  <c r="K13" i="63"/>
  <c r="K12" i="63"/>
  <c r="K11" i="63"/>
  <c r="K10" i="63"/>
  <c r="K9" i="63"/>
  <c r="K8" i="63"/>
  <c r="L7" i="63"/>
  <c r="K7" i="63"/>
  <c r="K78" i="63" l="1"/>
  <c r="L77" i="63"/>
  <c r="L8" i="63"/>
  <c r="K16" i="62"/>
  <c r="K21" i="62" l="1"/>
  <c r="K20" i="62"/>
  <c r="K19" i="62"/>
  <c r="K18" i="62"/>
  <c r="K17" i="62"/>
  <c r="K15" i="62"/>
  <c r="K66" i="62"/>
  <c r="K65" i="62"/>
  <c r="K64" i="62"/>
  <c r="K63" i="62"/>
  <c r="K62" i="62"/>
  <c r="K61" i="62"/>
  <c r="K60" i="62"/>
  <c r="K59" i="62"/>
  <c r="K58" i="62"/>
  <c r="K57" i="62"/>
  <c r="K56" i="62"/>
  <c r="K70" i="62"/>
  <c r="K69" i="62"/>
  <c r="K68" i="62"/>
  <c r="K67" i="62"/>
  <c r="K55" i="62"/>
  <c r="K54" i="62"/>
  <c r="K53" i="62"/>
  <c r="K52" i="62"/>
  <c r="K51" i="62"/>
  <c r="K50" i="62"/>
  <c r="J74" i="62"/>
  <c r="D75" i="62" s="1"/>
  <c r="K73" i="62"/>
  <c r="L72" i="62"/>
  <c r="K72" i="62"/>
  <c r="K71" i="62"/>
  <c r="K49" i="62"/>
  <c r="K48" i="62"/>
  <c r="K47" i="62"/>
  <c r="K46" i="62"/>
  <c r="K45" i="62"/>
  <c r="K44" i="62"/>
  <c r="K43" i="62"/>
  <c r="K42" i="62"/>
  <c r="K41" i="62"/>
  <c r="K40" i="62"/>
  <c r="K39" i="62"/>
  <c r="K38" i="62"/>
  <c r="K37" i="62"/>
  <c r="K36" i="62"/>
  <c r="K35" i="62"/>
  <c r="K34" i="62"/>
  <c r="K33" i="62"/>
  <c r="K32" i="62"/>
  <c r="K31" i="62"/>
  <c r="K30" i="62"/>
  <c r="K29" i="62"/>
  <c r="K28" i="62"/>
  <c r="K27" i="62"/>
  <c r="K26" i="62"/>
  <c r="K25" i="62"/>
  <c r="K24" i="62"/>
  <c r="K23" i="62"/>
  <c r="K22" i="62"/>
  <c r="K14" i="62"/>
  <c r="K13" i="62"/>
  <c r="K12" i="62"/>
  <c r="K11" i="62"/>
  <c r="K10" i="62"/>
  <c r="K9" i="62"/>
  <c r="K8" i="62"/>
  <c r="K7" i="62"/>
  <c r="L7" i="62" l="1"/>
  <c r="K74" i="62"/>
  <c r="L73" i="62"/>
  <c r="L8" i="62"/>
  <c r="J62" i="61"/>
  <c r="D63" i="61" s="1"/>
  <c r="K61" i="61"/>
  <c r="L60" i="61"/>
  <c r="K60" i="61"/>
  <c r="K59" i="61"/>
  <c r="K58" i="61"/>
  <c r="K57" i="61"/>
  <c r="K56" i="61"/>
  <c r="K55" i="61"/>
  <c r="K54" i="61"/>
  <c r="K53" i="61"/>
  <c r="K52" i="61"/>
  <c r="K51" i="61"/>
  <c r="K50" i="61"/>
  <c r="K49" i="61"/>
  <c r="K48" i="61"/>
  <c r="K47" i="61"/>
  <c r="K46" i="61"/>
  <c r="K45" i="61"/>
  <c r="K44" i="61"/>
  <c r="K43" i="61"/>
  <c r="K42" i="61"/>
  <c r="K41" i="61"/>
  <c r="K40" i="61"/>
  <c r="K39" i="61"/>
  <c r="K38" i="61"/>
  <c r="K37" i="61"/>
  <c r="K36" i="61"/>
  <c r="K35" i="61"/>
  <c r="K34" i="61"/>
  <c r="K33" i="61"/>
  <c r="K32" i="61"/>
  <c r="K31" i="61"/>
  <c r="K30" i="61"/>
  <c r="K29" i="61"/>
  <c r="K28" i="61"/>
  <c r="K27" i="61"/>
  <c r="K26" i="61"/>
  <c r="K25" i="61"/>
  <c r="K24" i="61"/>
  <c r="K23" i="61"/>
  <c r="K22" i="61"/>
  <c r="K21" i="61"/>
  <c r="K20" i="61"/>
  <c r="K19" i="61"/>
  <c r="K18" i="61"/>
  <c r="K17" i="61"/>
  <c r="K16" i="61"/>
  <c r="K15" i="61"/>
  <c r="K14" i="61"/>
  <c r="K13" i="61"/>
  <c r="K12" i="61"/>
  <c r="K11" i="61"/>
  <c r="K10" i="61"/>
  <c r="K9" i="61"/>
  <c r="K8" i="61"/>
  <c r="L7" i="61"/>
  <c r="K7" i="61"/>
  <c r="L61" i="61" l="1"/>
  <c r="K62" i="61"/>
  <c r="L8" i="61"/>
  <c r="K70" i="60"/>
  <c r="K80" i="60"/>
  <c r="K79" i="60"/>
  <c r="K78" i="60"/>
  <c r="K77" i="60"/>
  <c r="K76" i="60"/>
  <c r="K75" i="60"/>
  <c r="K74" i="60"/>
  <c r="K73" i="60"/>
  <c r="K72" i="60"/>
  <c r="K71" i="60"/>
  <c r="K69" i="60"/>
  <c r="K68" i="60"/>
  <c r="K67" i="60"/>
  <c r="K66" i="60"/>
  <c r="J84" i="60" l="1"/>
  <c r="D85" i="60" s="1"/>
  <c r="K83" i="60"/>
  <c r="L82" i="60"/>
  <c r="K82" i="60"/>
  <c r="K81" i="60"/>
  <c r="K65" i="60"/>
  <c r="K64" i="60"/>
  <c r="K63" i="60"/>
  <c r="K62" i="60"/>
  <c r="K61" i="60"/>
  <c r="K60" i="60"/>
  <c r="K59" i="60"/>
  <c r="K58" i="60"/>
  <c r="K57" i="60"/>
  <c r="K56" i="60"/>
  <c r="K55" i="60"/>
  <c r="K54" i="60"/>
  <c r="K53" i="60"/>
  <c r="K52" i="60"/>
  <c r="K51" i="60"/>
  <c r="K50" i="60"/>
  <c r="K49" i="60"/>
  <c r="K48" i="60"/>
  <c r="K47" i="60"/>
  <c r="K46" i="60"/>
  <c r="K45" i="60"/>
  <c r="K44" i="60"/>
  <c r="K43" i="60"/>
  <c r="K42" i="60"/>
  <c r="K41" i="60"/>
  <c r="K40" i="60"/>
  <c r="K39" i="60"/>
  <c r="K38" i="60"/>
  <c r="K37" i="60"/>
  <c r="K36" i="60"/>
  <c r="K35" i="60"/>
  <c r="K34" i="60"/>
  <c r="K33" i="60"/>
  <c r="K32" i="60"/>
  <c r="K31" i="60"/>
  <c r="K30" i="60"/>
  <c r="K29" i="60"/>
  <c r="K28" i="60"/>
  <c r="K27" i="60"/>
  <c r="K26" i="60"/>
  <c r="K25" i="60"/>
  <c r="K24" i="60"/>
  <c r="K23" i="60"/>
  <c r="K22" i="60"/>
  <c r="K21" i="60"/>
  <c r="K20" i="60"/>
  <c r="K19" i="60"/>
  <c r="K18" i="60"/>
  <c r="K17" i="60"/>
  <c r="K16" i="60"/>
  <c r="K15" i="60"/>
  <c r="K14" i="60"/>
  <c r="K13" i="60"/>
  <c r="K12" i="60"/>
  <c r="K11" i="60"/>
  <c r="K10" i="60"/>
  <c r="K9" i="60"/>
  <c r="K8" i="60"/>
  <c r="L7" i="60"/>
  <c r="K7" i="60"/>
  <c r="L83" i="60" l="1"/>
  <c r="K84" i="60"/>
  <c r="L8" i="60"/>
  <c r="J69" i="59"/>
  <c r="D70" i="59" s="1"/>
  <c r="K68" i="59"/>
  <c r="L67" i="59"/>
  <c r="K67" i="59"/>
  <c r="K66" i="59"/>
  <c r="K65" i="59"/>
  <c r="K64" i="59"/>
  <c r="K63" i="59"/>
  <c r="K62" i="59"/>
  <c r="K61" i="59"/>
  <c r="K60" i="59"/>
  <c r="K59" i="59"/>
  <c r="K58" i="59"/>
  <c r="K57" i="59"/>
  <c r="K56" i="59"/>
  <c r="K55" i="59"/>
  <c r="K54" i="59"/>
  <c r="K53" i="59"/>
  <c r="K52" i="59"/>
  <c r="K51" i="59"/>
  <c r="K50" i="59"/>
  <c r="K49" i="59"/>
  <c r="K48" i="59"/>
  <c r="K47" i="59"/>
  <c r="K46" i="59"/>
  <c r="K45" i="59"/>
  <c r="K44" i="59"/>
  <c r="K43" i="59"/>
  <c r="K42" i="59"/>
  <c r="K41" i="59"/>
  <c r="K40" i="59"/>
  <c r="K39" i="59"/>
  <c r="K38" i="59"/>
  <c r="K37" i="59"/>
  <c r="K36" i="59"/>
  <c r="K35" i="59"/>
  <c r="K34" i="59"/>
  <c r="K33" i="59"/>
  <c r="K32" i="59"/>
  <c r="K31" i="59"/>
  <c r="K30" i="59"/>
  <c r="K29" i="59"/>
  <c r="K28" i="59"/>
  <c r="K27" i="59"/>
  <c r="K26" i="59"/>
  <c r="K25" i="59"/>
  <c r="K24" i="59"/>
  <c r="K23" i="59"/>
  <c r="K22" i="59"/>
  <c r="K21" i="59"/>
  <c r="K20" i="59"/>
  <c r="K19" i="59"/>
  <c r="K18" i="59"/>
  <c r="K17" i="59"/>
  <c r="K16" i="59"/>
  <c r="K15" i="59"/>
  <c r="K14" i="59"/>
  <c r="K13" i="59"/>
  <c r="K12" i="59"/>
  <c r="K11" i="59"/>
  <c r="K10" i="59"/>
  <c r="K9" i="59"/>
  <c r="K8" i="59"/>
  <c r="L7" i="59"/>
  <c r="K7" i="59"/>
  <c r="L68" i="59" l="1"/>
  <c r="K69" i="59"/>
  <c r="L8" i="59"/>
  <c r="K34" i="58"/>
  <c r="K35" i="58"/>
  <c r="K33" i="58"/>
  <c r="K32" i="58"/>
  <c r="K31" i="58"/>
  <c r="K30" i="58"/>
  <c r="K29" i="58"/>
  <c r="K28" i="58"/>
  <c r="K27" i="58"/>
  <c r="K26" i="58"/>
  <c r="K25" i="58"/>
  <c r="K24" i="58"/>
  <c r="K23" i="58"/>
  <c r="J69" i="58" l="1"/>
  <c r="D70" i="58" s="1"/>
  <c r="K68" i="58"/>
  <c r="L67" i="58"/>
  <c r="K67" i="58"/>
  <c r="K66" i="58"/>
  <c r="K65" i="58"/>
  <c r="K64" i="58"/>
  <c r="K63" i="58"/>
  <c r="K62" i="58"/>
  <c r="K61" i="58"/>
  <c r="K60" i="58"/>
  <c r="K59" i="58"/>
  <c r="K58" i="58"/>
  <c r="K57" i="58"/>
  <c r="K56" i="58"/>
  <c r="K55" i="58"/>
  <c r="K54" i="58"/>
  <c r="K53" i="58"/>
  <c r="K52" i="58"/>
  <c r="K51" i="58"/>
  <c r="K50" i="58"/>
  <c r="K49" i="58"/>
  <c r="K48" i="58"/>
  <c r="K47" i="58"/>
  <c r="K46" i="58"/>
  <c r="K45" i="58"/>
  <c r="K44" i="58"/>
  <c r="K43" i="58"/>
  <c r="K42" i="58"/>
  <c r="K41" i="58"/>
  <c r="K40" i="58"/>
  <c r="K39" i="58"/>
  <c r="K38" i="58"/>
  <c r="K37" i="58"/>
  <c r="K36" i="58"/>
  <c r="K22" i="58"/>
  <c r="K21" i="58"/>
  <c r="K20" i="58"/>
  <c r="K19" i="58"/>
  <c r="K18" i="58"/>
  <c r="K17" i="58"/>
  <c r="K16" i="58"/>
  <c r="K15" i="58"/>
  <c r="K14" i="58"/>
  <c r="K13" i="58"/>
  <c r="K12" i="58"/>
  <c r="K11" i="58"/>
  <c r="K10" i="58"/>
  <c r="K9" i="58"/>
  <c r="K8" i="58"/>
  <c r="L7" i="58"/>
  <c r="K7" i="58"/>
  <c r="L68" i="58" l="1"/>
  <c r="K69" i="58"/>
  <c r="L8" i="58"/>
  <c r="K50" i="57"/>
  <c r="K49" i="57"/>
  <c r="K48" i="57"/>
  <c r="K47" i="57"/>
  <c r="K46" i="57"/>
  <c r="J57" i="57" l="1"/>
  <c r="D58" i="57" s="1"/>
  <c r="K56" i="57"/>
  <c r="L55" i="57"/>
  <c r="K55" i="57"/>
  <c r="K54" i="57"/>
  <c r="K53" i="57"/>
  <c r="K52" i="57"/>
  <c r="K51" i="57"/>
  <c r="K45" i="57"/>
  <c r="K44" i="57"/>
  <c r="K43" i="57"/>
  <c r="K42" i="57"/>
  <c r="K41" i="57"/>
  <c r="K40" i="57"/>
  <c r="K39" i="57"/>
  <c r="K38" i="57"/>
  <c r="K37" i="57"/>
  <c r="K36" i="57"/>
  <c r="K35" i="57"/>
  <c r="K34" i="57"/>
  <c r="K33" i="57"/>
  <c r="K32" i="57"/>
  <c r="K31" i="57"/>
  <c r="K30" i="57"/>
  <c r="K29" i="57"/>
  <c r="K28" i="57"/>
  <c r="K27" i="57"/>
  <c r="K26" i="57"/>
  <c r="K25" i="57"/>
  <c r="K24" i="57"/>
  <c r="K23" i="57"/>
  <c r="K22" i="57"/>
  <c r="K21" i="57"/>
  <c r="K20" i="57"/>
  <c r="K19" i="57"/>
  <c r="K18" i="57"/>
  <c r="K17" i="57"/>
  <c r="K16" i="57"/>
  <c r="K15" i="57"/>
  <c r="K14" i="57"/>
  <c r="K13" i="57"/>
  <c r="K12" i="57"/>
  <c r="K11" i="57"/>
  <c r="K10" i="57"/>
  <c r="K9" i="57"/>
  <c r="K8" i="57"/>
  <c r="L7" i="57"/>
  <c r="K7" i="57"/>
  <c r="L56" i="57" l="1"/>
  <c r="L8" i="57"/>
  <c r="K57" i="57"/>
  <c r="K68" i="56"/>
  <c r="K67" i="56"/>
  <c r="K66" i="56"/>
  <c r="K65" i="56"/>
  <c r="K70" i="56"/>
  <c r="K69" i="56"/>
  <c r="K64" i="56"/>
  <c r="K63" i="56"/>
  <c r="K62" i="56"/>
  <c r="K61" i="56"/>
  <c r="K60" i="56"/>
  <c r="K34" i="56"/>
  <c r="K33" i="56"/>
  <c r="K32" i="56"/>
  <c r="K31" i="56"/>
  <c r="K30" i="56"/>
  <c r="K29" i="56"/>
  <c r="J73" i="56" l="1"/>
  <c r="D74" i="56" s="1"/>
  <c r="K72" i="56"/>
  <c r="L71" i="56"/>
  <c r="K71" i="56"/>
  <c r="K59" i="56"/>
  <c r="K58" i="56"/>
  <c r="K57" i="56"/>
  <c r="K56" i="56"/>
  <c r="K55" i="56"/>
  <c r="K54" i="56"/>
  <c r="K53" i="56"/>
  <c r="K52" i="56"/>
  <c r="K51" i="56"/>
  <c r="K50" i="56"/>
  <c r="K49" i="56"/>
  <c r="K48" i="56"/>
  <c r="K47" i="56"/>
  <c r="K46" i="56"/>
  <c r="K45" i="56"/>
  <c r="K44" i="56"/>
  <c r="K43" i="56"/>
  <c r="K42" i="56"/>
  <c r="K41" i="56"/>
  <c r="K40" i="56"/>
  <c r="K39" i="56"/>
  <c r="K38" i="56"/>
  <c r="K37" i="56"/>
  <c r="K36" i="56"/>
  <c r="K35" i="56"/>
  <c r="K28" i="56"/>
  <c r="K27" i="56"/>
  <c r="K26" i="56"/>
  <c r="K25" i="56"/>
  <c r="K24" i="56"/>
  <c r="K23" i="56"/>
  <c r="K22" i="56"/>
  <c r="K21" i="56"/>
  <c r="K20" i="56"/>
  <c r="K19" i="56"/>
  <c r="K18" i="56"/>
  <c r="K17" i="56"/>
  <c r="K16" i="56"/>
  <c r="K15" i="56"/>
  <c r="K14" i="56"/>
  <c r="K13" i="56"/>
  <c r="K12" i="56"/>
  <c r="K11" i="56"/>
  <c r="K10" i="56"/>
  <c r="K9" i="56"/>
  <c r="K8" i="56"/>
  <c r="L7" i="56"/>
  <c r="K7" i="56"/>
  <c r="L72" i="56" l="1"/>
  <c r="L8" i="56"/>
  <c r="K73" i="56"/>
  <c r="J20" i="55"/>
  <c r="F40" i="55" l="1"/>
  <c r="E40" i="55"/>
  <c r="K40" i="55"/>
  <c r="K30" i="55"/>
  <c r="K29" i="55"/>
  <c r="K28" i="55"/>
  <c r="K27" i="55"/>
  <c r="K26" i="55"/>
  <c r="J57" i="55" l="1"/>
  <c r="D58" i="55" s="1"/>
  <c r="K56" i="55"/>
  <c r="L55" i="55"/>
  <c r="K55" i="55"/>
  <c r="K54" i="55"/>
  <c r="K53" i="55"/>
  <c r="K52" i="55"/>
  <c r="K51" i="55"/>
  <c r="K50" i="55"/>
  <c r="K49" i="55"/>
  <c r="K48" i="55"/>
  <c r="K47" i="55"/>
  <c r="K46" i="55"/>
  <c r="K45" i="55"/>
  <c r="K44" i="55"/>
  <c r="K43" i="55"/>
  <c r="K42" i="55"/>
  <c r="K41" i="55"/>
  <c r="K39" i="55"/>
  <c r="K38" i="55"/>
  <c r="K37" i="55"/>
  <c r="K36" i="55"/>
  <c r="K35" i="55"/>
  <c r="K34" i="55"/>
  <c r="K33" i="55"/>
  <c r="K32" i="55"/>
  <c r="K31" i="55"/>
  <c r="K25" i="55"/>
  <c r="K24" i="55"/>
  <c r="K23" i="55"/>
  <c r="K22" i="55"/>
  <c r="K21" i="55"/>
  <c r="K20" i="55"/>
  <c r="K19" i="55"/>
  <c r="K18" i="55"/>
  <c r="K17" i="55"/>
  <c r="K16" i="55"/>
  <c r="K15" i="55"/>
  <c r="K14" i="55"/>
  <c r="K13" i="55"/>
  <c r="K12" i="55"/>
  <c r="K11" i="55"/>
  <c r="K10" i="55"/>
  <c r="K9" i="55"/>
  <c r="K8" i="55"/>
  <c r="L7" i="55"/>
  <c r="K7" i="55"/>
  <c r="K57" i="55" l="1"/>
  <c r="L8" i="55"/>
  <c r="L56" i="55"/>
  <c r="K52" i="54"/>
  <c r="L51" i="54"/>
  <c r="K51" i="54"/>
  <c r="K50" i="54"/>
  <c r="K49" i="54"/>
  <c r="K48" i="54"/>
  <c r="K47" i="54"/>
  <c r="K46" i="54"/>
  <c r="K45" i="54"/>
  <c r="K44" i="54"/>
  <c r="K43" i="54"/>
  <c r="K42" i="54"/>
  <c r="K41" i="54"/>
  <c r="K40" i="54"/>
  <c r="K39" i="54"/>
  <c r="K38" i="54"/>
  <c r="K37" i="54"/>
  <c r="K36" i="54"/>
  <c r="K35" i="54"/>
  <c r="K34" i="54"/>
  <c r="K33" i="54"/>
  <c r="K32" i="54"/>
  <c r="K31" i="54"/>
  <c r="K30" i="54"/>
  <c r="K29" i="54"/>
  <c r="K28" i="54"/>
  <c r="K27" i="54"/>
  <c r="K26" i="54"/>
  <c r="K25" i="54"/>
  <c r="K24" i="54"/>
  <c r="K23" i="54"/>
  <c r="K22" i="54"/>
  <c r="K21" i="54"/>
  <c r="K20" i="54"/>
  <c r="K19" i="54"/>
  <c r="K18" i="54"/>
  <c r="K17" i="54"/>
  <c r="K16" i="54"/>
  <c r="K15" i="54"/>
  <c r="K14" i="54"/>
  <c r="K13" i="54"/>
  <c r="K12" i="54"/>
  <c r="K11" i="54"/>
  <c r="K10" i="54"/>
  <c r="L7" i="54"/>
  <c r="K8" i="54"/>
  <c r="K7" i="54"/>
  <c r="L52" i="54" l="1"/>
  <c r="K9" i="54"/>
  <c r="K53" i="54" s="1"/>
  <c r="J53" i="54"/>
  <c r="D54" i="54" s="1"/>
  <c r="J23" i="53"/>
  <c r="J9" i="53"/>
  <c r="L8" i="54" l="1"/>
  <c r="K34" i="53"/>
  <c r="K33" i="53"/>
  <c r="K32" i="53"/>
  <c r="K31" i="53"/>
  <c r="K30" i="53"/>
  <c r="K29" i="53"/>
  <c r="K28" i="53"/>
  <c r="K17" i="53"/>
  <c r="J64" i="53" l="1"/>
  <c r="D65" i="53" s="1"/>
  <c r="K63" i="53"/>
  <c r="L62" i="53"/>
  <c r="K62" i="53"/>
  <c r="K61" i="53"/>
  <c r="K60" i="53"/>
  <c r="K59" i="53"/>
  <c r="K58" i="53"/>
  <c r="K57" i="53"/>
  <c r="K56" i="53"/>
  <c r="K55" i="53"/>
  <c r="K54" i="53"/>
  <c r="K53" i="53"/>
  <c r="K52" i="53"/>
  <c r="K51" i="53"/>
  <c r="K50" i="53"/>
  <c r="K49" i="53"/>
  <c r="K48" i="53"/>
  <c r="K47" i="53"/>
  <c r="K46" i="53"/>
  <c r="K45" i="53"/>
  <c r="K44" i="53"/>
  <c r="K43" i="53"/>
  <c r="K42" i="53"/>
  <c r="K41" i="53"/>
  <c r="K40" i="53"/>
  <c r="K39" i="53"/>
  <c r="K38" i="53"/>
  <c r="K37" i="53"/>
  <c r="K36" i="53"/>
  <c r="K35" i="53"/>
  <c r="K27" i="53"/>
  <c r="K26" i="53"/>
  <c r="K25" i="53"/>
  <c r="K24" i="53"/>
  <c r="K23" i="53"/>
  <c r="K22" i="53"/>
  <c r="K21" i="53"/>
  <c r="K20" i="53"/>
  <c r="K19" i="53"/>
  <c r="K18" i="53"/>
  <c r="K16" i="53"/>
  <c r="K15" i="53"/>
  <c r="K14" i="53"/>
  <c r="K13" i="53"/>
  <c r="K12" i="53"/>
  <c r="K11" i="53"/>
  <c r="K10" i="53"/>
  <c r="K9" i="53"/>
  <c r="K8" i="53"/>
  <c r="L7" i="53"/>
  <c r="K7" i="53"/>
  <c r="K64" i="53" l="1"/>
  <c r="L63" i="53"/>
  <c r="L8" i="53"/>
  <c r="J12" i="52"/>
  <c r="K12" i="52" s="1"/>
  <c r="J58" i="52" l="1"/>
  <c r="D59" i="52" s="1"/>
  <c r="K57" i="52"/>
  <c r="K56" i="52"/>
  <c r="K55" i="52"/>
  <c r="K54" i="52"/>
  <c r="K53" i="52"/>
  <c r="K52" i="52"/>
  <c r="K51" i="52"/>
  <c r="K50" i="52"/>
  <c r="K49" i="52"/>
  <c r="K48" i="52"/>
  <c r="K47" i="52"/>
  <c r="K46" i="52"/>
  <c r="K45" i="52"/>
  <c r="K44" i="52"/>
  <c r="K43" i="52"/>
  <c r="K42" i="52"/>
  <c r="K41" i="52"/>
  <c r="K40" i="52"/>
  <c r="K39" i="52"/>
  <c r="K38" i="52"/>
  <c r="K37" i="52"/>
  <c r="K36" i="52"/>
  <c r="K34" i="52"/>
  <c r="K33" i="52"/>
  <c r="K32" i="52"/>
  <c r="K31" i="52"/>
  <c r="K30" i="52"/>
  <c r="K29" i="52"/>
  <c r="K28" i="52"/>
  <c r="K27" i="52"/>
  <c r="K26" i="52"/>
  <c r="K25" i="52"/>
  <c r="K24" i="52"/>
  <c r="K23" i="52"/>
  <c r="K22" i="52"/>
  <c r="K21" i="52"/>
  <c r="K20" i="52"/>
  <c r="K19" i="52"/>
  <c r="K18" i="52"/>
  <c r="K17" i="52"/>
  <c r="K16" i="52"/>
  <c r="K15" i="52"/>
  <c r="K14" i="52"/>
  <c r="K13" i="52"/>
  <c r="K11" i="52"/>
  <c r="K10" i="52"/>
  <c r="K9" i="52"/>
  <c r="K8" i="52"/>
  <c r="L7" i="52"/>
  <c r="K7" i="52"/>
  <c r="L56" i="52" l="1"/>
  <c r="K35" i="52"/>
  <c r="L57" i="52" s="1"/>
  <c r="L8" i="52"/>
  <c r="J58" i="51"/>
  <c r="D59" i="51" s="1"/>
  <c r="K57" i="51"/>
  <c r="L56" i="51"/>
  <c r="K56" i="51"/>
  <c r="K55" i="51"/>
  <c r="K54" i="51"/>
  <c r="K53" i="51"/>
  <c r="K52" i="51"/>
  <c r="K51" i="51"/>
  <c r="K50" i="51"/>
  <c r="K49" i="51"/>
  <c r="K48" i="51"/>
  <c r="K47" i="51"/>
  <c r="K46" i="51"/>
  <c r="K45" i="51"/>
  <c r="K44" i="51"/>
  <c r="K43" i="51"/>
  <c r="K42" i="51"/>
  <c r="K41" i="51"/>
  <c r="K40" i="51"/>
  <c r="K39" i="51"/>
  <c r="K38" i="51"/>
  <c r="K37" i="51"/>
  <c r="K36" i="51"/>
  <c r="K35" i="51"/>
  <c r="K34" i="51"/>
  <c r="K33" i="51"/>
  <c r="K32" i="51"/>
  <c r="K31" i="51"/>
  <c r="K30" i="51"/>
  <c r="K29" i="51"/>
  <c r="K28" i="51"/>
  <c r="K27" i="51"/>
  <c r="K26" i="51"/>
  <c r="K25" i="51"/>
  <c r="K24" i="51"/>
  <c r="K23" i="51"/>
  <c r="K22" i="51"/>
  <c r="K21" i="51"/>
  <c r="K20" i="51"/>
  <c r="K19" i="51"/>
  <c r="K18" i="51"/>
  <c r="K17" i="51"/>
  <c r="K16" i="51"/>
  <c r="K15" i="51"/>
  <c r="K14" i="51"/>
  <c r="K13" i="51"/>
  <c r="K12" i="51"/>
  <c r="K11" i="51"/>
  <c r="K10" i="51"/>
  <c r="K9" i="51"/>
  <c r="K8" i="51"/>
  <c r="L7" i="51"/>
  <c r="K7" i="51"/>
  <c r="K58" i="52" l="1"/>
  <c r="K58" i="51"/>
  <c r="L57" i="51"/>
  <c r="L8" i="51"/>
  <c r="J58" i="50"/>
  <c r="D59" i="50" s="1"/>
  <c r="K57" i="50"/>
  <c r="L56" i="50"/>
  <c r="K56" i="50"/>
  <c r="K55" i="50"/>
  <c r="K54" i="50"/>
  <c r="K53" i="50"/>
  <c r="K52" i="50"/>
  <c r="K51" i="50"/>
  <c r="K50" i="50"/>
  <c r="K49" i="50"/>
  <c r="K48" i="50"/>
  <c r="K47" i="50"/>
  <c r="K46" i="50"/>
  <c r="K45" i="50"/>
  <c r="K44" i="50"/>
  <c r="K43" i="50"/>
  <c r="K42" i="50"/>
  <c r="K41" i="50"/>
  <c r="K40" i="50"/>
  <c r="K39" i="50"/>
  <c r="K38" i="50"/>
  <c r="K37" i="50"/>
  <c r="K36" i="50"/>
  <c r="K35" i="50"/>
  <c r="K34" i="50"/>
  <c r="K33" i="50"/>
  <c r="K32" i="50"/>
  <c r="K31" i="50"/>
  <c r="K30" i="50"/>
  <c r="K29" i="50"/>
  <c r="K28" i="50"/>
  <c r="K27" i="50"/>
  <c r="K26" i="50"/>
  <c r="K25" i="50"/>
  <c r="K24" i="50"/>
  <c r="K23" i="50"/>
  <c r="K22" i="50"/>
  <c r="K21" i="50"/>
  <c r="K20" i="50"/>
  <c r="K19" i="50"/>
  <c r="K18" i="50"/>
  <c r="K17" i="50"/>
  <c r="K16" i="50"/>
  <c r="K15" i="50"/>
  <c r="K14" i="50"/>
  <c r="K13" i="50"/>
  <c r="K12" i="50"/>
  <c r="K11" i="50"/>
  <c r="K10" i="50"/>
  <c r="K9" i="50"/>
  <c r="K8" i="50"/>
  <c r="L7" i="50"/>
  <c r="K7" i="50"/>
  <c r="K58" i="50" l="1"/>
  <c r="L57" i="50"/>
  <c r="L8" i="50"/>
  <c r="K32" i="49"/>
  <c r="K31" i="49"/>
  <c r="K30" i="49"/>
  <c r="K29" i="49"/>
  <c r="K28" i="49"/>
  <c r="K27" i="49"/>
  <c r="J64" i="49" l="1"/>
  <c r="D65" i="49" s="1"/>
  <c r="K63" i="49"/>
  <c r="L62" i="49"/>
  <c r="K62" i="49"/>
  <c r="K61" i="49"/>
  <c r="K60" i="49"/>
  <c r="K59" i="49"/>
  <c r="K58" i="49"/>
  <c r="K57" i="49"/>
  <c r="K56" i="49"/>
  <c r="K55" i="49"/>
  <c r="K54" i="49"/>
  <c r="K53" i="49"/>
  <c r="K52" i="49"/>
  <c r="K51" i="49"/>
  <c r="K50" i="49"/>
  <c r="K49" i="49"/>
  <c r="K48" i="49"/>
  <c r="K47" i="49"/>
  <c r="K46" i="49"/>
  <c r="K45" i="49"/>
  <c r="K44" i="49"/>
  <c r="K43" i="49"/>
  <c r="K42" i="49"/>
  <c r="K41" i="49"/>
  <c r="K40" i="49"/>
  <c r="K39" i="49"/>
  <c r="K38" i="49"/>
  <c r="K37" i="49"/>
  <c r="K36" i="49"/>
  <c r="K35" i="49"/>
  <c r="K34" i="49"/>
  <c r="K33" i="49"/>
  <c r="K26" i="49"/>
  <c r="K25" i="49"/>
  <c r="K24" i="49"/>
  <c r="K23" i="49"/>
  <c r="K22" i="49"/>
  <c r="K21" i="49"/>
  <c r="K20" i="49"/>
  <c r="K19" i="49"/>
  <c r="K18" i="49"/>
  <c r="K17" i="49"/>
  <c r="K16" i="49"/>
  <c r="K15" i="49"/>
  <c r="K14" i="49"/>
  <c r="K13" i="49"/>
  <c r="K12" i="49"/>
  <c r="K11" i="49"/>
  <c r="K10" i="49"/>
  <c r="K9" i="49"/>
  <c r="K8" i="49"/>
  <c r="L7" i="49"/>
  <c r="K7" i="49"/>
  <c r="L8" i="49" l="1"/>
  <c r="K64" i="49"/>
  <c r="L63" i="49"/>
  <c r="K70" i="48"/>
  <c r="K69" i="48"/>
  <c r="K68" i="48"/>
  <c r="K67" i="48"/>
  <c r="K66" i="48"/>
  <c r="K65" i="48"/>
  <c r="K64" i="48"/>
  <c r="K49" i="48"/>
  <c r="K59" i="48"/>
  <c r="K58" i="48"/>
  <c r="K57" i="48"/>
  <c r="K56" i="48"/>
  <c r="K55" i="48"/>
  <c r="K54" i="48"/>
  <c r="K53" i="48"/>
  <c r="K17" i="48"/>
  <c r="J76" i="48" l="1"/>
  <c r="D77" i="48" s="1"/>
  <c r="K75" i="48"/>
  <c r="L74" i="48"/>
  <c r="K74" i="48"/>
  <c r="K73" i="48"/>
  <c r="K72" i="48"/>
  <c r="K71" i="48"/>
  <c r="K63" i="48"/>
  <c r="K62" i="48"/>
  <c r="K61" i="48"/>
  <c r="K60" i="48"/>
  <c r="K52" i="48"/>
  <c r="K51" i="48"/>
  <c r="K50" i="48"/>
  <c r="K48" i="48"/>
  <c r="K47" i="48"/>
  <c r="K46" i="48"/>
  <c r="K45" i="48"/>
  <c r="K44" i="48"/>
  <c r="K43" i="48"/>
  <c r="K42" i="48"/>
  <c r="K41" i="48"/>
  <c r="K40" i="48"/>
  <c r="K39" i="48"/>
  <c r="K38" i="48"/>
  <c r="K37" i="48"/>
  <c r="K36" i="48"/>
  <c r="K35" i="48"/>
  <c r="K34" i="48"/>
  <c r="K33" i="48"/>
  <c r="K32" i="48"/>
  <c r="K31" i="48"/>
  <c r="K30" i="48"/>
  <c r="K29" i="48"/>
  <c r="K28" i="48"/>
  <c r="K27" i="48"/>
  <c r="K26" i="48"/>
  <c r="K25" i="48"/>
  <c r="K24" i="48"/>
  <c r="K23" i="48"/>
  <c r="K22" i="48"/>
  <c r="K21" i="48"/>
  <c r="K20" i="48"/>
  <c r="K19" i="48"/>
  <c r="K18" i="48"/>
  <c r="K16" i="48"/>
  <c r="K15" i="48"/>
  <c r="K14" i="48"/>
  <c r="K13" i="48"/>
  <c r="K12" i="48"/>
  <c r="K11" i="48"/>
  <c r="K10" i="48"/>
  <c r="K9" i="48"/>
  <c r="K8" i="48"/>
  <c r="L7" i="48"/>
  <c r="K7" i="48"/>
  <c r="K76" i="48" l="1"/>
  <c r="L75" i="48"/>
  <c r="L8" i="48"/>
  <c r="K38" i="47"/>
  <c r="J65" i="47" l="1"/>
  <c r="D66" i="47" s="1"/>
  <c r="K64" i="47"/>
  <c r="L63" i="47"/>
  <c r="K63" i="47"/>
  <c r="K62" i="47"/>
  <c r="K61" i="47"/>
  <c r="K60" i="47"/>
  <c r="K59" i="47"/>
  <c r="K58" i="47"/>
  <c r="K57" i="47"/>
  <c r="K56" i="47"/>
  <c r="K55" i="47"/>
  <c r="K54" i="47"/>
  <c r="K52" i="47"/>
  <c r="K51" i="47"/>
  <c r="K50" i="47"/>
  <c r="K49" i="47"/>
  <c r="K48" i="47"/>
  <c r="K47" i="47"/>
  <c r="K46" i="47"/>
  <c r="K45" i="47"/>
  <c r="K44" i="47"/>
  <c r="K43" i="47"/>
  <c r="K42" i="47"/>
  <c r="K41" i="47"/>
  <c r="K40" i="47"/>
  <c r="K39" i="47"/>
  <c r="K37" i="47"/>
  <c r="K36" i="47"/>
  <c r="K35" i="47"/>
  <c r="K34" i="47"/>
  <c r="K33" i="47"/>
  <c r="K32" i="47"/>
  <c r="K31" i="47"/>
  <c r="K30" i="47"/>
  <c r="K29" i="47"/>
  <c r="K28" i="47"/>
  <c r="K27" i="47"/>
  <c r="K26" i="47"/>
  <c r="K25" i="47"/>
  <c r="K24" i="47"/>
  <c r="K23" i="47"/>
  <c r="K22" i="47"/>
  <c r="K21" i="47"/>
  <c r="K20" i="47"/>
  <c r="K19" i="47"/>
  <c r="K18" i="47"/>
  <c r="K17" i="47"/>
  <c r="K16" i="47"/>
  <c r="K15" i="47"/>
  <c r="K14" i="47"/>
  <c r="K13" i="47"/>
  <c r="K12" i="47"/>
  <c r="K11" i="47"/>
  <c r="K10" i="47"/>
  <c r="K9" i="47"/>
  <c r="K8" i="47"/>
  <c r="L7" i="47"/>
  <c r="K7" i="47"/>
  <c r="L64" i="47" l="1"/>
  <c r="K65" i="47"/>
  <c r="L8" i="47"/>
  <c r="K51" i="46"/>
  <c r="K50" i="46"/>
  <c r="K49" i="46"/>
  <c r="K48" i="46"/>
  <c r="K47" i="46"/>
  <c r="K46" i="46"/>
  <c r="K45" i="46"/>
  <c r="K44" i="46"/>
  <c r="K42" i="46"/>
  <c r="K27" i="45"/>
  <c r="K26" i="45"/>
  <c r="K25" i="45"/>
  <c r="K24" i="45"/>
  <c r="K23" i="45"/>
  <c r="K22" i="45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31" i="46"/>
  <c r="K30" i="46"/>
  <c r="K29" i="46"/>
  <c r="K28" i="46"/>
  <c r="K27" i="46"/>
  <c r="K26" i="46"/>
  <c r="K25" i="46"/>
  <c r="K24" i="46"/>
  <c r="K23" i="46"/>
  <c r="K22" i="46"/>
  <c r="K21" i="46"/>
  <c r="K20" i="46"/>
  <c r="K19" i="46"/>
  <c r="K18" i="46"/>
  <c r="K17" i="46"/>
  <c r="K16" i="46"/>
  <c r="K15" i="46"/>
  <c r="K14" i="46"/>
  <c r="K13" i="46"/>
  <c r="K12" i="46"/>
  <c r="K11" i="46"/>
  <c r="K10" i="46"/>
  <c r="K9" i="46"/>
  <c r="J65" i="46" l="1"/>
  <c r="D66" i="46" s="1"/>
  <c r="K64" i="46"/>
  <c r="L63" i="46"/>
  <c r="K63" i="46"/>
  <c r="K62" i="46"/>
  <c r="K61" i="46"/>
  <c r="K60" i="46"/>
  <c r="K59" i="46"/>
  <c r="K58" i="46"/>
  <c r="K57" i="46"/>
  <c r="K56" i="46"/>
  <c r="K55" i="46"/>
  <c r="K54" i="46"/>
  <c r="K52" i="46"/>
  <c r="K43" i="46"/>
  <c r="K41" i="46"/>
  <c r="K40" i="46"/>
  <c r="K39" i="46"/>
  <c r="K38" i="46"/>
  <c r="K37" i="46"/>
  <c r="K36" i="46"/>
  <c r="K35" i="46"/>
  <c r="K34" i="46"/>
  <c r="K33" i="46"/>
  <c r="K32" i="46"/>
  <c r="K8" i="46"/>
  <c r="L7" i="46"/>
  <c r="K7" i="46"/>
  <c r="L64" i="46" l="1"/>
  <c r="K65" i="46"/>
  <c r="L8" i="46"/>
  <c r="K57" i="45"/>
  <c r="K56" i="45"/>
  <c r="K55" i="45"/>
  <c r="K54" i="45"/>
  <c r="K53" i="45"/>
  <c r="K52" i="45"/>
  <c r="K51" i="45"/>
  <c r="K49" i="45"/>
  <c r="K47" i="45"/>
  <c r="K46" i="45"/>
  <c r="K40" i="45" l="1"/>
  <c r="K41" i="45"/>
  <c r="J71" i="45" l="1"/>
  <c r="D72" i="45" s="1"/>
  <c r="K70" i="45"/>
  <c r="L69" i="45"/>
  <c r="K69" i="45"/>
  <c r="K68" i="45"/>
  <c r="K67" i="45"/>
  <c r="K66" i="45"/>
  <c r="K65" i="45"/>
  <c r="K64" i="45"/>
  <c r="K63" i="45"/>
  <c r="K62" i="45"/>
  <c r="K61" i="45"/>
  <c r="K60" i="45"/>
  <c r="K58" i="45"/>
  <c r="K45" i="45"/>
  <c r="K44" i="45"/>
  <c r="K43" i="45"/>
  <c r="K42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8" i="45"/>
  <c r="L7" i="45"/>
  <c r="K7" i="45"/>
  <c r="L8" i="45" l="1"/>
  <c r="K71" i="45"/>
  <c r="L70" i="45"/>
  <c r="K68" i="44"/>
  <c r="K67" i="44"/>
  <c r="K66" i="44"/>
  <c r="K65" i="44"/>
  <c r="K64" i="44"/>
  <c r="K63" i="44"/>
  <c r="K62" i="44"/>
  <c r="K61" i="44"/>
  <c r="J71" i="44" l="1"/>
  <c r="D72" i="44" s="1"/>
  <c r="K70" i="44"/>
  <c r="L69" i="44"/>
  <c r="K69" i="44"/>
  <c r="K60" i="44"/>
  <c r="K59" i="44"/>
  <c r="K58" i="44"/>
  <c r="K57" i="44"/>
  <c r="K56" i="44"/>
  <c r="K55" i="44"/>
  <c r="K54" i="44"/>
  <c r="K53" i="44"/>
  <c r="K52" i="44"/>
  <c r="K51" i="44"/>
  <c r="K50" i="44"/>
  <c r="K49" i="44"/>
  <c r="K48" i="44"/>
  <c r="K47" i="44"/>
  <c r="K46" i="44"/>
  <c r="K45" i="44"/>
  <c r="K44" i="44"/>
  <c r="K43" i="44"/>
  <c r="K42" i="44"/>
  <c r="K41" i="44"/>
  <c r="K40" i="44"/>
  <c r="K39" i="44"/>
  <c r="K38" i="44"/>
  <c r="K37" i="44"/>
  <c r="K36" i="44"/>
  <c r="K35" i="44"/>
  <c r="K34" i="44"/>
  <c r="K33" i="44"/>
  <c r="K32" i="44"/>
  <c r="K31" i="44"/>
  <c r="K30" i="44"/>
  <c r="K29" i="44"/>
  <c r="K28" i="44"/>
  <c r="K27" i="44"/>
  <c r="K26" i="44"/>
  <c r="K25" i="44"/>
  <c r="K24" i="44"/>
  <c r="K23" i="44"/>
  <c r="K22" i="44"/>
  <c r="K21" i="44"/>
  <c r="K20" i="44"/>
  <c r="K19" i="44"/>
  <c r="K18" i="44"/>
  <c r="K17" i="44"/>
  <c r="K16" i="44"/>
  <c r="K15" i="44"/>
  <c r="K14" i="44"/>
  <c r="K13" i="44"/>
  <c r="K12" i="44"/>
  <c r="K11" i="44"/>
  <c r="K10" i="44"/>
  <c r="K9" i="44"/>
  <c r="K8" i="44"/>
  <c r="L7" i="44"/>
  <c r="K7" i="44"/>
  <c r="L70" i="44" l="1"/>
  <c r="K71" i="44"/>
  <c r="L8" i="44"/>
  <c r="K18" i="43"/>
  <c r="K13" i="43"/>
  <c r="K12" i="43"/>
  <c r="J63" i="43" l="1"/>
  <c r="D64" i="43" s="1"/>
  <c r="K62" i="43"/>
  <c r="L61" i="43"/>
  <c r="K61" i="43"/>
  <c r="K60" i="43"/>
  <c r="K59" i="43"/>
  <c r="K58" i="43"/>
  <c r="K57" i="43"/>
  <c r="K56" i="43"/>
  <c r="K55" i="43"/>
  <c r="K54" i="43"/>
  <c r="K53" i="43"/>
  <c r="K52" i="43"/>
  <c r="K51" i="43"/>
  <c r="K50" i="43"/>
  <c r="K49" i="43"/>
  <c r="K48" i="43"/>
  <c r="K47" i="43"/>
  <c r="K46" i="43"/>
  <c r="K45" i="43"/>
  <c r="K44" i="43"/>
  <c r="K43" i="43"/>
  <c r="K42" i="43"/>
  <c r="K41" i="43"/>
  <c r="K40" i="43"/>
  <c r="K39" i="43"/>
  <c r="K38" i="43"/>
  <c r="K37" i="43"/>
  <c r="K36" i="43"/>
  <c r="K35" i="43"/>
  <c r="K34" i="43"/>
  <c r="K33" i="43"/>
  <c r="K32" i="43"/>
  <c r="K31" i="43"/>
  <c r="K30" i="43"/>
  <c r="K29" i="43"/>
  <c r="K28" i="43"/>
  <c r="K27" i="43"/>
  <c r="K26" i="43"/>
  <c r="K25" i="43"/>
  <c r="K24" i="43"/>
  <c r="K23" i="43"/>
  <c r="K22" i="43"/>
  <c r="K21" i="43"/>
  <c r="K20" i="43"/>
  <c r="K19" i="43"/>
  <c r="K17" i="43"/>
  <c r="K16" i="43"/>
  <c r="K15" i="43"/>
  <c r="K14" i="43"/>
  <c r="K11" i="43"/>
  <c r="K10" i="43"/>
  <c r="K9" i="43"/>
  <c r="K8" i="43"/>
  <c r="L7" i="43"/>
  <c r="K7" i="43"/>
  <c r="L62" i="43" l="1"/>
  <c r="L8" i="43"/>
  <c r="K63" i="43"/>
  <c r="F24" i="42"/>
  <c r="E24" i="42"/>
  <c r="K24" i="42"/>
  <c r="J68" i="42" l="1"/>
  <c r="D69" i="42" s="1"/>
  <c r="K67" i="42"/>
  <c r="L66" i="42"/>
  <c r="K66" i="42"/>
  <c r="K65" i="42"/>
  <c r="K64" i="42"/>
  <c r="K63" i="42"/>
  <c r="K62" i="42"/>
  <c r="K61" i="42"/>
  <c r="K60" i="42"/>
  <c r="K59" i="42"/>
  <c r="K58" i="42"/>
  <c r="K57" i="42"/>
  <c r="K56" i="42"/>
  <c r="K55" i="42"/>
  <c r="K54" i="42"/>
  <c r="K53" i="42"/>
  <c r="K52" i="42"/>
  <c r="K51" i="42"/>
  <c r="K50" i="42"/>
  <c r="K49" i="42"/>
  <c r="K48" i="42"/>
  <c r="K47" i="42"/>
  <c r="K46" i="42"/>
  <c r="K45" i="42"/>
  <c r="K44" i="42"/>
  <c r="K43" i="42"/>
  <c r="K42" i="42"/>
  <c r="K41" i="42"/>
  <c r="K40" i="42"/>
  <c r="K39" i="42"/>
  <c r="K38" i="42"/>
  <c r="K37" i="42"/>
  <c r="K36" i="42"/>
  <c r="K35" i="42"/>
  <c r="K34" i="42"/>
  <c r="K33" i="42"/>
  <c r="K32" i="42"/>
  <c r="K31" i="42"/>
  <c r="K30" i="42"/>
  <c r="K29" i="42"/>
  <c r="K28" i="42"/>
  <c r="K27" i="42"/>
  <c r="K26" i="42"/>
  <c r="K25" i="42"/>
  <c r="K23" i="42"/>
  <c r="K22" i="42"/>
  <c r="K21" i="42"/>
  <c r="K20" i="42"/>
  <c r="K19" i="42"/>
  <c r="K17" i="42"/>
  <c r="K16" i="42"/>
  <c r="K15" i="42"/>
  <c r="K14" i="42"/>
  <c r="K13" i="42"/>
  <c r="K12" i="42"/>
  <c r="K11" i="42"/>
  <c r="K10" i="42"/>
  <c r="K9" i="42"/>
  <c r="K8" i="42"/>
  <c r="L7" i="42"/>
  <c r="K7" i="42"/>
  <c r="L67" i="42" l="1"/>
  <c r="L8" i="42"/>
  <c r="K68" i="42"/>
  <c r="E40" i="41"/>
  <c r="K40" i="41"/>
  <c r="K32" i="41"/>
  <c r="K9" i="41"/>
  <c r="J68" i="41" l="1"/>
  <c r="D69" i="41" s="1"/>
  <c r="K67" i="41"/>
  <c r="L66" i="41"/>
  <c r="K66" i="41"/>
  <c r="K65" i="41"/>
  <c r="K64" i="41"/>
  <c r="K63" i="41"/>
  <c r="K62" i="41"/>
  <c r="K61" i="41"/>
  <c r="K60" i="41"/>
  <c r="K59" i="41"/>
  <c r="K58" i="41"/>
  <c r="K57" i="41"/>
  <c r="K56" i="41"/>
  <c r="K55" i="41"/>
  <c r="K54" i="41"/>
  <c r="K53" i="41"/>
  <c r="K52" i="41"/>
  <c r="K51" i="41"/>
  <c r="K50" i="41"/>
  <c r="K49" i="41"/>
  <c r="K48" i="41"/>
  <c r="K47" i="41"/>
  <c r="K46" i="41"/>
  <c r="K45" i="41"/>
  <c r="K44" i="41"/>
  <c r="K43" i="41"/>
  <c r="K42" i="41"/>
  <c r="K41" i="41"/>
  <c r="K39" i="41"/>
  <c r="K38" i="41"/>
  <c r="K37" i="41"/>
  <c r="K36" i="41"/>
  <c r="K35" i="41"/>
  <c r="K34" i="41"/>
  <c r="K33" i="41"/>
  <c r="K31" i="41"/>
  <c r="K30" i="41"/>
  <c r="K29" i="41"/>
  <c r="K28" i="41"/>
  <c r="K27" i="41"/>
  <c r="K26" i="41"/>
  <c r="K25" i="41"/>
  <c r="K24" i="41"/>
  <c r="K23" i="41"/>
  <c r="K22" i="41"/>
  <c r="K21" i="41"/>
  <c r="K20" i="41"/>
  <c r="K19" i="41"/>
  <c r="K17" i="41"/>
  <c r="K16" i="41"/>
  <c r="K15" i="41"/>
  <c r="K14" i="41"/>
  <c r="K13" i="41"/>
  <c r="K12" i="41"/>
  <c r="K11" i="41"/>
  <c r="K10" i="41"/>
  <c r="K8" i="41"/>
  <c r="L7" i="41"/>
  <c r="K7" i="41"/>
  <c r="L67" i="41" l="1"/>
  <c r="K68" i="41"/>
  <c r="L8" i="41"/>
  <c r="E63" i="40"/>
  <c r="F63" i="40"/>
  <c r="K38" i="40"/>
  <c r="K15" i="40"/>
  <c r="K22" i="40"/>
  <c r="K14" i="40"/>
  <c r="K9" i="39" l="1"/>
  <c r="K10" i="39"/>
  <c r="K11" i="39"/>
  <c r="K12" i="39"/>
  <c r="K13" i="39"/>
  <c r="K14" i="39"/>
  <c r="K15" i="39"/>
  <c r="K16" i="39"/>
  <c r="K17" i="39"/>
  <c r="K18" i="39"/>
  <c r="K19" i="39"/>
  <c r="K20" i="39"/>
  <c r="K21" i="39"/>
  <c r="K22" i="39"/>
  <c r="K23" i="39"/>
  <c r="K24" i="39"/>
  <c r="K25" i="39"/>
  <c r="K26" i="39"/>
  <c r="K27" i="39"/>
  <c r="K29" i="40"/>
  <c r="K28" i="40"/>
  <c r="K17" i="40"/>
  <c r="J76" i="40" l="1"/>
  <c r="D77" i="40" s="1"/>
  <c r="K75" i="40"/>
  <c r="L74" i="40"/>
  <c r="K74" i="40"/>
  <c r="K73" i="40"/>
  <c r="K72" i="40"/>
  <c r="K71" i="40"/>
  <c r="K70" i="40"/>
  <c r="K69" i="40"/>
  <c r="K68" i="40"/>
  <c r="K67" i="40"/>
  <c r="K66" i="40"/>
  <c r="K65" i="40"/>
  <c r="K64" i="40"/>
  <c r="K63" i="40"/>
  <c r="K62" i="40"/>
  <c r="K61" i="40"/>
  <c r="K60" i="40"/>
  <c r="K59" i="40"/>
  <c r="K58" i="40"/>
  <c r="K57" i="40"/>
  <c r="K56" i="40"/>
  <c r="K55" i="40"/>
  <c r="K54" i="40"/>
  <c r="K53" i="40"/>
  <c r="K52" i="40"/>
  <c r="K51" i="40"/>
  <c r="K50" i="40"/>
  <c r="K49" i="40"/>
  <c r="K48" i="40"/>
  <c r="K47" i="40"/>
  <c r="K46" i="40"/>
  <c r="K45" i="40"/>
  <c r="K44" i="40"/>
  <c r="K43" i="40"/>
  <c r="K42" i="40"/>
  <c r="K41" i="40"/>
  <c r="K40" i="40"/>
  <c r="K39" i="40"/>
  <c r="K37" i="40"/>
  <c r="K36" i="40"/>
  <c r="K35" i="40"/>
  <c r="K34" i="40"/>
  <c r="K33" i="40"/>
  <c r="K32" i="40"/>
  <c r="K31" i="40"/>
  <c r="K30" i="40"/>
  <c r="K27" i="40"/>
  <c r="K26" i="40"/>
  <c r="K25" i="40"/>
  <c r="K24" i="40"/>
  <c r="K23" i="40"/>
  <c r="K21" i="40"/>
  <c r="K20" i="40"/>
  <c r="K19" i="40"/>
  <c r="K16" i="40"/>
  <c r="K13" i="40"/>
  <c r="K12" i="40"/>
  <c r="K11" i="40"/>
  <c r="K10" i="40"/>
  <c r="K9" i="40"/>
  <c r="K8" i="40"/>
  <c r="L7" i="40"/>
  <c r="K7" i="40"/>
  <c r="F52" i="39"/>
  <c r="E52" i="39"/>
  <c r="F50" i="39"/>
  <c r="E50" i="39"/>
  <c r="K57" i="39"/>
  <c r="K58" i="39"/>
  <c r="K61" i="39"/>
  <c r="K59" i="39"/>
  <c r="L75" i="40" l="1"/>
  <c r="L8" i="40"/>
  <c r="K76" i="40"/>
  <c r="K46" i="39"/>
  <c r="K45" i="39"/>
  <c r="K8" i="39"/>
  <c r="J72" i="39" l="1"/>
  <c r="D73" i="39" s="1"/>
  <c r="K71" i="39"/>
  <c r="L70" i="39"/>
  <c r="K70" i="39"/>
  <c r="K69" i="39"/>
  <c r="K68" i="39"/>
  <c r="K67" i="39"/>
  <c r="K66" i="39"/>
  <c r="K65" i="39"/>
  <c r="K64" i="39"/>
  <c r="K63" i="39"/>
  <c r="K62" i="39"/>
  <c r="K60" i="39"/>
  <c r="K56" i="39"/>
  <c r="K55" i="39"/>
  <c r="K54" i="39"/>
  <c r="K53" i="39"/>
  <c r="K52" i="39"/>
  <c r="K51" i="39"/>
  <c r="K50" i="39"/>
  <c r="K49" i="39"/>
  <c r="K48" i="39"/>
  <c r="K47" i="39"/>
  <c r="K44" i="39"/>
  <c r="K43" i="39"/>
  <c r="K42" i="39"/>
  <c r="K41" i="39"/>
  <c r="K40" i="39"/>
  <c r="K39" i="39"/>
  <c r="K38" i="39"/>
  <c r="K37" i="39"/>
  <c r="K36" i="39"/>
  <c r="K35" i="39"/>
  <c r="K34" i="39"/>
  <c r="K33" i="39"/>
  <c r="K32" i="39"/>
  <c r="K31" i="39"/>
  <c r="K30" i="39"/>
  <c r="K29" i="39"/>
  <c r="K28" i="39"/>
  <c r="L7" i="39"/>
  <c r="K7" i="39"/>
  <c r="L71" i="39" l="1"/>
  <c r="L8" i="39"/>
  <c r="K72" i="39"/>
  <c r="K34" i="38"/>
  <c r="K33" i="38"/>
  <c r="K32" i="38"/>
  <c r="K31" i="38"/>
  <c r="K30" i="38"/>
  <c r="K29" i="38"/>
  <c r="K28" i="38"/>
  <c r="K27" i="38"/>
  <c r="K26" i="38"/>
  <c r="K25" i="38"/>
  <c r="K24" i="38"/>
  <c r="K23" i="38"/>
  <c r="K22" i="38"/>
  <c r="K65" i="38" l="1"/>
  <c r="K64" i="38"/>
  <c r="K63" i="38"/>
  <c r="K62" i="38"/>
  <c r="K61" i="38"/>
  <c r="K60" i="38"/>
  <c r="K59" i="38"/>
  <c r="K58" i="38"/>
  <c r="K57" i="38"/>
  <c r="J72" i="38" l="1"/>
  <c r="D73" i="38" s="1"/>
  <c r="K71" i="38"/>
  <c r="L70" i="38"/>
  <c r="K70" i="38"/>
  <c r="K69" i="38"/>
  <c r="K68" i="38"/>
  <c r="K67" i="38"/>
  <c r="K66" i="38"/>
  <c r="K56" i="38"/>
  <c r="K55" i="38"/>
  <c r="K54" i="38"/>
  <c r="K53" i="38"/>
  <c r="K52" i="38"/>
  <c r="K51" i="38"/>
  <c r="K50" i="38"/>
  <c r="K49" i="38"/>
  <c r="K48" i="38"/>
  <c r="K47" i="38"/>
  <c r="K46" i="38"/>
  <c r="K45" i="38"/>
  <c r="K44" i="38"/>
  <c r="K43" i="38"/>
  <c r="K42" i="38"/>
  <c r="K41" i="38"/>
  <c r="K40" i="38"/>
  <c r="K39" i="38"/>
  <c r="K38" i="38"/>
  <c r="K37" i="38"/>
  <c r="K36" i="38"/>
  <c r="K35" i="38"/>
  <c r="K21" i="38"/>
  <c r="K20" i="38"/>
  <c r="K19" i="38"/>
  <c r="K18" i="38"/>
  <c r="K17" i="38"/>
  <c r="K16" i="38"/>
  <c r="K15" i="38"/>
  <c r="K14" i="38"/>
  <c r="K13" i="38"/>
  <c r="K12" i="38"/>
  <c r="K11" i="38"/>
  <c r="K10" i="38"/>
  <c r="K9" i="38"/>
  <c r="K8" i="38"/>
  <c r="L7" i="38"/>
  <c r="K7" i="38"/>
  <c r="L71" i="38" l="1"/>
  <c r="K72" i="38"/>
  <c r="L8" i="38"/>
  <c r="K41" i="37"/>
  <c r="J52" i="37" l="1"/>
  <c r="D53" i="37" s="1"/>
  <c r="K51" i="37"/>
  <c r="L50" i="37"/>
  <c r="K50" i="37"/>
  <c r="K49" i="37"/>
  <c r="K48" i="37"/>
  <c r="K47" i="37"/>
  <c r="K46" i="37"/>
  <c r="K45" i="37"/>
  <c r="K44" i="37"/>
  <c r="K43" i="37"/>
  <c r="K42" i="37"/>
  <c r="K40" i="37"/>
  <c r="K39" i="37"/>
  <c r="K38" i="37"/>
  <c r="K37" i="37"/>
  <c r="K36" i="37"/>
  <c r="K35" i="37"/>
  <c r="K34" i="37"/>
  <c r="K33" i="37"/>
  <c r="K32" i="37"/>
  <c r="K31" i="37"/>
  <c r="K30" i="37"/>
  <c r="K29" i="37"/>
  <c r="K28" i="37"/>
  <c r="K27" i="37"/>
  <c r="K26" i="37"/>
  <c r="K25" i="37"/>
  <c r="K24" i="37"/>
  <c r="K23" i="37"/>
  <c r="K22" i="37"/>
  <c r="K21" i="37"/>
  <c r="K20" i="37"/>
  <c r="K19" i="37"/>
  <c r="K18" i="37"/>
  <c r="K17" i="37"/>
  <c r="K16" i="37"/>
  <c r="K15" i="37"/>
  <c r="K14" i="37"/>
  <c r="K13" i="37"/>
  <c r="K12" i="37"/>
  <c r="K11" i="37"/>
  <c r="K10" i="37"/>
  <c r="K9" i="37"/>
  <c r="K8" i="37"/>
  <c r="L7" i="37"/>
  <c r="K7" i="37"/>
  <c r="L8" i="37" l="1"/>
  <c r="L51" i="37"/>
  <c r="K52" i="37"/>
  <c r="K40" i="36"/>
  <c r="K39" i="36"/>
  <c r="K38" i="36"/>
  <c r="K37" i="36"/>
  <c r="K23" i="36"/>
  <c r="K20" i="36"/>
  <c r="K24" i="36"/>
  <c r="K22" i="36"/>
  <c r="K21" i="36"/>
  <c r="J52" i="36" l="1"/>
  <c r="D53" i="36" s="1"/>
  <c r="K51" i="36"/>
  <c r="L50" i="36"/>
  <c r="K50" i="36"/>
  <c r="K49" i="36"/>
  <c r="K48" i="36"/>
  <c r="K47" i="36"/>
  <c r="K46" i="36"/>
  <c r="K45" i="36"/>
  <c r="K44" i="36"/>
  <c r="K43" i="36"/>
  <c r="K42" i="36"/>
  <c r="K41" i="36"/>
  <c r="K36" i="36"/>
  <c r="K35" i="36"/>
  <c r="K34" i="36"/>
  <c r="K33" i="36"/>
  <c r="K32" i="36"/>
  <c r="K31" i="36"/>
  <c r="K30" i="36"/>
  <c r="K29" i="36"/>
  <c r="K28" i="36"/>
  <c r="K27" i="36"/>
  <c r="K26" i="36"/>
  <c r="K25" i="36"/>
  <c r="K19" i="36"/>
  <c r="K18" i="36"/>
  <c r="K17" i="36"/>
  <c r="K16" i="36"/>
  <c r="K15" i="36"/>
  <c r="K14" i="36"/>
  <c r="K13" i="36"/>
  <c r="K12" i="36"/>
  <c r="K11" i="36"/>
  <c r="K10" i="36"/>
  <c r="K9" i="36"/>
  <c r="K8" i="36"/>
  <c r="L7" i="36"/>
  <c r="K7" i="36"/>
  <c r="L51" i="36" l="1"/>
  <c r="K52" i="36"/>
  <c r="L8" i="36"/>
  <c r="K39" i="35"/>
  <c r="K38" i="35"/>
  <c r="K37" i="35"/>
  <c r="K36" i="35"/>
  <c r="K35" i="35"/>
  <c r="K34" i="35"/>
  <c r="K33" i="35"/>
  <c r="K32" i="35"/>
  <c r="K31" i="35"/>
  <c r="K30" i="35"/>
  <c r="K29" i="35"/>
  <c r="J75" i="35" l="1"/>
  <c r="D76" i="35" s="1"/>
  <c r="K74" i="35"/>
  <c r="L73" i="35"/>
  <c r="K73" i="35"/>
  <c r="K72" i="35"/>
  <c r="K71" i="35"/>
  <c r="K70" i="35"/>
  <c r="K69" i="35"/>
  <c r="K68" i="35"/>
  <c r="K67" i="35"/>
  <c r="K66" i="35"/>
  <c r="K65" i="35"/>
  <c r="K64" i="35"/>
  <c r="K63" i="35"/>
  <c r="K62" i="35"/>
  <c r="K61" i="35"/>
  <c r="K60" i="35"/>
  <c r="K59" i="35"/>
  <c r="K58" i="35"/>
  <c r="K57" i="35"/>
  <c r="K56" i="35"/>
  <c r="K55" i="35"/>
  <c r="K54" i="35"/>
  <c r="K53" i="35"/>
  <c r="K52" i="35"/>
  <c r="K51" i="35"/>
  <c r="K50" i="35"/>
  <c r="K49" i="35"/>
  <c r="K48" i="35"/>
  <c r="K47" i="35"/>
  <c r="K46" i="35"/>
  <c r="K45" i="35"/>
  <c r="K44" i="35"/>
  <c r="K43" i="35"/>
  <c r="K42" i="35"/>
  <c r="K41" i="35"/>
  <c r="K40" i="35"/>
  <c r="K28" i="35"/>
  <c r="K27" i="35"/>
  <c r="K26" i="35"/>
  <c r="K25" i="35"/>
  <c r="K24" i="35"/>
  <c r="K23" i="35"/>
  <c r="K22" i="35"/>
  <c r="K21" i="35"/>
  <c r="K20" i="35"/>
  <c r="K19" i="35"/>
  <c r="K18" i="35"/>
  <c r="K17" i="35"/>
  <c r="K16" i="35"/>
  <c r="K15" i="35"/>
  <c r="K14" i="35"/>
  <c r="K13" i="35"/>
  <c r="K12" i="35"/>
  <c r="K11" i="35"/>
  <c r="K10" i="35"/>
  <c r="K9" i="35"/>
  <c r="K8" i="35"/>
  <c r="L7" i="35"/>
  <c r="K7" i="35"/>
  <c r="L74" i="35" l="1"/>
  <c r="K75" i="35"/>
  <c r="L8" i="35"/>
  <c r="J65" i="34"/>
  <c r="D66" i="34" s="1"/>
  <c r="K64" i="34"/>
  <c r="L63" i="34"/>
  <c r="K63" i="34"/>
  <c r="K62" i="34"/>
  <c r="K61" i="34"/>
  <c r="K60" i="34"/>
  <c r="K59" i="34"/>
  <c r="K58" i="34"/>
  <c r="K57" i="34"/>
  <c r="K56" i="34"/>
  <c r="K55" i="34"/>
  <c r="K54" i="34"/>
  <c r="K53" i="34"/>
  <c r="K52" i="34"/>
  <c r="K51" i="34"/>
  <c r="K50" i="34"/>
  <c r="K49" i="34"/>
  <c r="K48" i="34"/>
  <c r="K47" i="34"/>
  <c r="K46" i="34"/>
  <c r="K45" i="34"/>
  <c r="K44" i="34"/>
  <c r="K43" i="34"/>
  <c r="K42" i="34"/>
  <c r="K41" i="34"/>
  <c r="K40" i="34"/>
  <c r="K39" i="34"/>
  <c r="K38" i="34"/>
  <c r="K37" i="34"/>
  <c r="K36" i="34"/>
  <c r="K35" i="34"/>
  <c r="K34" i="34"/>
  <c r="K33" i="34"/>
  <c r="K32" i="34"/>
  <c r="K31" i="34"/>
  <c r="K30" i="34"/>
  <c r="K29" i="34"/>
  <c r="K28" i="34"/>
  <c r="K27" i="34"/>
  <c r="K26" i="34"/>
  <c r="K25" i="34"/>
  <c r="K24" i="34"/>
  <c r="K23" i="34"/>
  <c r="K22" i="34"/>
  <c r="K21" i="34"/>
  <c r="K20" i="34"/>
  <c r="K19" i="34"/>
  <c r="K18" i="34"/>
  <c r="K17" i="34"/>
  <c r="K16" i="34"/>
  <c r="K15" i="34"/>
  <c r="K14" i="34"/>
  <c r="K13" i="34"/>
  <c r="K12" i="34"/>
  <c r="K11" i="34"/>
  <c r="K10" i="34"/>
  <c r="K9" i="34"/>
  <c r="K8" i="34"/>
  <c r="L7" i="34"/>
  <c r="K7" i="34"/>
  <c r="L8" i="34" l="1"/>
  <c r="K65" i="34"/>
  <c r="L64" i="34"/>
  <c r="K36" i="33"/>
  <c r="K12" i="33"/>
  <c r="J65" i="33" l="1"/>
  <c r="D66" i="33" s="1"/>
  <c r="K64" i="33"/>
  <c r="L63" i="33"/>
  <c r="K63" i="33"/>
  <c r="K62" i="33"/>
  <c r="K61" i="33"/>
  <c r="K60" i="33"/>
  <c r="K59" i="33"/>
  <c r="K58" i="33"/>
  <c r="K57" i="33"/>
  <c r="K56" i="33"/>
  <c r="K55" i="33"/>
  <c r="K54" i="33"/>
  <c r="K53" i="33"/>
  <c r="K52" i="33"/>
  <c r="K51" i="33"/>
  <c r="K50" i="33"/>
  <c r="K49" i="33"/>
  <c r="K48" i="33"/>
  <c r="K47" i="33"/>
  <c r="K46" i="33"/>
  <c r="K45" i="33"/>
  <c r="K44" i="33"/>
  <c r="K43" i="33"/>
  <c r="K42" i="33"/>
  <c r="K41" i="33"/>
  <c r="K40" i="33"/>
  <c r="K39" i="33"/>
  <c r="K38" i="33"/>
  <c r="K37" i="33"/>
  <c r="K35" i="33"/>
  <c r="K34" i="33"/>
  <c r="K33" i="33"/>
  <c r="K32" i="33"/>
  <c r="K31" i="33"/>
  <c r="K30" i="33"/>
  <c r="K29" i="33"/>
  <c r="K28" i="33"/>
  <c r="K27" i="33"/>
  <c r="K26" i="33"/>
  <c r="K25" i="33"/>
  <c r="K24" i="33"/>
  <c r="K23" i="33"/>
  <c r="K22" i="33"/>
  <c r="K21" i="33"/>
  <c r="K20" i="33"/>
  <c r="K19" i="33"/>
  <c r="K18" i="33"/>
  <c r="K17" i="33"/>
  <c r="K16" i="33"/>
  <c r="K15" i="33"/>
  <c r="K14" i="33"/>
  <c r="K13" i="33"/>
  <c r="K11" i="33"/>
  <c r="K10" i="33"/>
  <c r="K9" i="33"/>
  <c r="K8" i="33"/>
  <c r="L7" i="33"/>
  <c r="K7" i="33"/>
  <c r="K65" i="33" l="1"/>
  <c r="L8" i="33"/>
  <c r="L64" i="33"/>
  <c r="F43" i="32"/>
  <c r="F41" i="32"/>
  <c r="F42" i="32"/>
  <c r="F40" i="32"/>
  <c r="F35" i="32"/>
  <c r="K81" i="31"/>
  <c r="K82" i="31"/>
  <c r="F80" i="31"/>
  <c r="K79" i="31"/>
  <c r="F79" i="31"/>
  <c r="K77" i="31"/>
  <c r="K78" i="31"/>
  <c r="K80" i="31"/>
  <c r="K83" i="31"/>
  <c r="K70" i="31"/>
  <c r="K69" i="31"/>
  <c r="K68" i="31"/>
  <c r="K67" i="31"/>
  <c r="K66" i="31"/>
  <c r="K65" i="31"/>
  <c r="K64" i="31"/>
  <c r="K63" i="31"/>
  <c r="K62" i="31"/>
  <c r="E60" i="31"/>
  <c r="F59" i="31"/>
  <c r="F58" i="31"/>
  <c r="K32" i="31" l="1"/>
  <c r="K27" i="31"/>
  <c r="K28" i="31"/>
  <c r="K29" i="31"/>
  <c r="K30" i="31"/>
  <c r="K31" i="31"/>
  <c r="K26" i="31"/>
  <c r="K25" i="31"/>
  <c r="K24" i="31"/>
  <c r="K16" i="31"/>
  <c r="K15" i="31"/>
  <c r="K14" i="31"/>
  <c r="K13" i="31"/>
  <c r="K12" i="31"/>
  <c r="K11" i="31"/>
  <c r="K10" i="31"/>
  <c r="K9" i="31"/>
  <c r="K40" i="31"/>
  <c r="K39" i="31"/>
  <c r="K38" i="31"/>
  <c r="K37" i="31"/>
  <c r="K36" i="31"/>
  <c r="K34" i="31"/>
  <c r="J65" i="32"/>
  <c r="D66" i="32" s="1"/>
  <c r="K64" i="32"/>
  <c r="L63" i="32"/>
  <c r="K63" i="32"/>
  <c r="K62" i="32"/>
  <c r="K61" i="32"/>
  <c r="K60" i="32"/>
  <c r="K59" i="32"/>
  <c r="K58" i="32"/>
  <c r="K57" i="32"/>
  <c r="K56" i="32"/>
  <c r="K55" i="32"/>
  <c r="K54" i="32"/>
  <c r="K53" i="32"/>
  <c r="K52" i="32"/>
  <c r="K51" i="32"/>
  <c r="K50" i="32"/>
  <c r="K49" i="32"/>
  <c r="K48" i="32"/>
  <c r="K47" i="32"/>
  <c r="K46" i="32"/>
  <c r="K45" i="32"/>
  <c r="K44" i="32"/>
  <c r="K43" i="32"/>
  <c r="K42" i="32"/>
  <c r="K41" i="32"/>
  <c r="K40" i="32"/>
  <c r="K39" i="32"/>
  <c r="K38" i="32"/>
  <c r="K37" i="32"/>
  <c r="K36" i="32"/>
  <c r="K35" i="32"/>
  <c r="K34" i="32"/>
  <c r="K33" i="32"/>
  <c r="K32" i="32"/>
  <c r="K31" i="32"/>
  <c r="K30" i="32"/>
  <c r="K29" i="32"/>
  <c r="K28" i="32"/>
  <c r="K27" i="32"/>
  <c r="K26" i="32"/>
  <c r="K25" i="32"/>
  <c r="K24" i="32"/>
  <c r="K23" i="32"/>
  <c r="K22" i="32"/>
  <c r="K21" i="32"/>
  <c r="K20" i="32"/>
  <c r="K19" i="32"/>
  <c r="K18" i="32"/>
  <c r="K17" i="32"/>
  <c r="K16" i="32"/>
  <c r="K15" i="32"/>
  <c r="K14" i="32"/>
  <c r="K13" i="32"/>
  <c r="K12" i="32"/>
  <c r="K11" i="32"/>
  <c r="K10" i="32"/>
  <c r="K9" i="32"/>
  <c r="K8" i="32"/>
  <c r="L7" i="32"/>
  <c r="K7" i="32"/>
  <c r="L64" i="32" l="1"/>
  <c r="K65" i="32"/>
  <c r="L8" i="32"/>
  <c r="J85" i="31"/>
  <c r="D86" i="31" s="1"/>
  <c r="K84" i="31"/>
  <c r="L83" i="31"/>
  <c r="K76" i="31"/>
  <c r="K75" i="31"/>
  <c r="K74" i="31"/>
  <c r="K73" i="31"/>
  <c r="K72" i="31"/>
  <c r="K71" i="31"/>
  <c r="K61" i="31"/>
  <c r="K60" i="31"/>
  <c r="K59" i="31"/>
  <c r="K58" i="31"/>
  <c r="K57" i="31"/>
  <c r="K56" i="31"/>
  <c r="K55" i="31"/>
  <c r="K54" i="31"/>
  <c r="K53" i="31"/>
  <c r="K52" i="31"/>
  <c r="K51" i="31"/>
  <c r="K50" i="31"/>
  <c r="K49" i="31"/>
  <c r="K48" i="31"/>
  <c r="K47" i="31"/>
  <c r="K46" i="31"/>
  <c r="K45" i="31"/>
  <c r="K44" i="31"/>
  <c r="K43" i="31"/>
  <c r="K23" i="31"/>
  <c r="K22" i="31"/>
  <c r="K21" i="31"/>
  <c r="K20" i="31"/>
  <c r="K19" i="31"/>
  <c r="K18" i="31"/>
  <c r="K17" i="31"/>
  <c r="K8" i="31"/>
  <c r="L7" i="31"/>
  <c r="K7" i="31"/>
  <c r="K85" i="31" l="1"/>
  <c r="L8" i="31"/>
  <c r="L84" i="31"/>
  <c r="J65" i="30"/>
  <c r="D66" i="30" s="1"/>
  <c r="K64" i="30"/>
  <c r="L63" i="30"/>
  <c r="K63" i="30"/>
  <c r="K62" i="30"/>
  <c r="K61" i="30"/>
  <c r="K60" i="30"/>
  <c r="K59" i="30"/>
  <c r="K58" i="30"/>
  <c r="K57" i="30"/>
  <c r="K56" i="30"/>
  <c r="K55" i="30"/>
  <c r="K54" i="30"/>
  <c r="K53" i="30"/>
  <c r="K52" i="30"/>
  <c r="K51" i="30"/>
  <c r="K50" i="30"/>
  <c r="K49" i="30"/>
  <c r="K48" i="30"/>
  <c r="K47" i="30"/>
  <c r="K46" i="30"/>
  <c r="K45" i="30"/>
  <c r="K44" i="30"/>
  <c r="K43" i="30"/>
  <c r="K42" i="30"/>
  <c r="K41" i="30"/>
  <c r="K40" i="30"/>
  <c r="K39" i="30"/>
  <c r="K38" i="30"/>
  <c r="K37" i="30"/>
  <c r="K36" i="30"/>
  <c r="K35" i="30"/>
  <c r="K34" i="30"/>
  <c r="K33" i="30"/>
  <c r="K32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L7" i="30"/>
  <c r="K7" i="30"/>
  <c r="L64" i="30" l="1"/>
  <c r="K65" i="30"/>
  <c r="L8" i="30"/>
  <c r="K44" i="29"/>
  <c r="K43" i="29"/>
  <c r="K42" i="29"/>
  <c r="K35" i="29"/>
  <c r="K34" i="29"/>
  <c r="K60" i="29" l="1"/>
  <c r="K59" i="29"/>
  <c r="K58" i="29"/>
  <c r="K57" i="29"/>
  <c r="K56" i="29"/>
  <c r="K17" i="29" l="1"/>
  <c r="K12" i="29"/>
  <c r="K10" i="29"/>
  <c r="J80" i="29"/>
  <c r="D81" i="29" s="1"/>
  <c r="K79" i="29"/>
  <c r="L78" i="29"/>
  <c r="K78" i="29"/>
  <c r="K77" i="29"/>
  <c r="K76" i="29"/>
  <c r="K75" i="29"/>
  <c r="K74" i="29"/>
  <c r="K73" i="29"/>
  <c r="K72" i="29"/>
  <c r="K71" i="29"/>
  <c r="K70" i="29"/>
  <c r="K69" i="29"/>
  <c r="K68" i="29"/>
  <c r="K67" i="29"/>
  <c r="K66" i="29"/>
  <c r="K65" i="29"/>
  <c r="K64" i="29"/>
  <c r="K63" i="29"/>
  <c r="K62" i="29"/>
  <c r="K61" i="29"/>
  <c r="K55" i="29"/>
  <c r="K54" i="29"/>
  <c r="K53" i="29"/>
  <c r="K52" i="29"/>
  <c r="K51" i="29"/>
  <c r="K50" i="29"/>
  <c r="K49" i="29"/>
  <c r="K48" i="29"/>
  <c r="K47" i="29"/>
  <c r="K46" i="29"/>
  <c r="K41" i="29"/>
  <c r="K40" i="29"/>
  <c r="K39" i="29"/>
  <c r="K38" i="29"/>
  <c r="K37" i="29"/>
  <c r="K36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6" i="29"/>
  <c r="K15" i="29"/>
  <c r="K14" i="29"/>
  <c r="K13" i="29"/>
  <c r="K11" i="29"/>
  <c r="K9" i="29"/>
  <c r="K8" i="29"/>
  <c r="L7" i="29"/>
  <c r="K7" i="29"/>
  <c r="K80" i="29" l="1"/>
  <c r="L79" i="29"/>
  <c r="L8" i="29"/>
  <c r="K41" i="28"/>
  <c r="K40" i="28"/>
  <c r="K39" i="28"/>
  <c r="K38" i="28"/>
  <c r="K37" i="28"/>
  <c r="K36" i="28"/>
  <c r="K35" i="28"/>
  <c r="K34" i="28"/>
  <c r="K33" i="28"/>
  <c r="K32" i="28"/>
  <c r="K31" i="28"/>
  <c r="K30" i="28"/>
  <c r="K29" i="28"/>
  <c r="K28" i="28"/>
  <c r="K27" i="28"/>
  <c r="K26" i="28"/>
  <c r="K25" i="28"/>
  <c r="K9" i="28"/>
  <c r="J76" i="28" l="1"/>
  <c r="D77" i="28" s="1"/>
  <c r="K75" i="28"/>
  <c r="L74" i="28"/>
  <c r="K74" i="28"/>
  <c r="K73" i="28"/>
  <c r="K72" i="28"/>
  <c r="K71" i="28"/>
  <c r="K70" i="28"/>
  <c r="K69" i="28"/>
  <c r="K68" i="28"/>
  <c r="K67" i="28"/>
  <c r="K66" i="28"/>
  <c r="K65" i="28"/>
  <c r="K64" i="28"/>
  <c r="K63" i="28"/>
  <c r="K62" i="28"/>
  <c r="K61" i="28"/>
  <c r="K60" i="28"/>
  <c r="K59" i="28"/>
  <c r="K58" i="28"/>
  <c r="K57" i="28"/>
  <c r="K56" i="28"/>
  <c r="K55" i="28"/>
  <c r="K54" i="28"/>
  <c r="K53" i="28"/>
  <c r="K52" i="28"/>
  <c r="K51" i="28"/>
  <c r="K50" i="28"/>
  <c r="K49" i="28"/>
  <c r="K48" i="28"/>
  <c r="K47" i="28"/>
  <c r="K46" i="28"/>
  <c r="K45" i="28"/>
  <c r="K44" i="28"/>
  <c r="K43" i="28"/>
  <c r="K42" i="28"/>
  <c r="K24" i="28"/>
  <c r="K23" i="28"/>
  <c r="K22" i="28"/>
  <c r="K21" i="28"/>
  <c r="K20" i="28"/>
  <c r="K19" i="28"/>
  <c r="K18" i="28"/>
  <c r="K17" i="28"/>
  <c r="K16" i="28"/>
  <c r="K15" i="28"/>
  <c r="K14" i="28"/>
  <c r="K13" i="28"/>
  <c r="K12" i="28"/>
  <c r="K11" i="28"/>
  <c r="K10" i="28"/>
  <c r="K8" i="28"/>
  <c r="L7" i="28"/>
  <c r="K7" i="28"/>
  <c r="L8" i="28" l="1"/>
  <c r="L75" i="28"/>
  <c r="K76" i="28"/>
  <c r="K51" i="27"/>
  <c r="K50" i="27"/>
  <c r="K49" i="27"/>
  <c r="K48" i="27"/>
  <c r="K47" i="27"/>
  <c r="K36" i="27"/>
  <c r="K35" i="27"/>
  <c r="K32" i="27"/>
  <c r="K31" i="27"/>
  <c r="J60" i="27" l="1"/>
  <c r="D61" i="27" s="1"/>
  <c r="K59" i="27"/>
  <c r="L58" i="27"/>
  <c r="K58" i="27"/>
  <c r="K57" i="27"/>
  <c r="K56" i="27"/>
  <c r="K55" i="27"/>
  <c r="K54" i="27"/>
  <c r="K53" i="27"/>
  <c r="K52" i="27"/>
  <c r="K46" i="27"/>
  <c r="K45" i="27"/>
  <c r="K44" i="27"/>
  <c r="K43" i="27"/>
  <c r="K42" i="27"/>
  <c r="K41" i="27"/>
  <c r="K40" i="27"/>
  <c r="K39" i="27"/>
  <c r="K38" i="27"/>
  <c r="K37" i="27"/>
  <c r="K34" i="27"/>
  <c r="K33" i="27"/>
  <c r="K30" i="27"/>
  <c r="K29" i="27"/>
  <c r="K28" i="27"/>
  <c r="K27" i="27"/>
  <c r="K26" i="27"/>
  <c r="K25" i="27"/>
  <c r="K24" i="27"/>
  <c r="K23" i="27"/>
  <c r="K22" i="27"/>
  <c r="K21" i="27"/>
  <c r="K20" i="27"/>
  <c r="K19" i="27"/>
  <c r="K18" i="27"/>
  <c r="K17" i="27"/>
  <c r="K16" i="27"/>
  <c r="K15" i="27"/>
  <c r="K14" i="27"/>
  <c r="K13" i="27"/>
  <c r="K12" i="27"/>
  <c r="K11" i="27"/>
  <c r="K10" i="27"/>
  <c r="K9" i="27"/>
  <c r="K8" i="27"/>
  <c r="L7" i="27"/>
  <c r="K7" i="27"/>
  <c r="K60" i="27" l="1"/>
  <c r="L59" i="27"/>
  <c r="L8" i="27"/>
  <c r="F9" i="26"/>
  <c r="E9" i="26"/>
  <c r="K9" i="26"/>
  <c r="J56" i="26" l="1"/>
  <c r="D57" i="26" s="1"/>
  <c r="K55" i="26"/>
  <c r="L54" i="26"/>
  <c r="K54" i="26"/>
  <c r="K53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7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21" i="26"/>
  <c r="K20" i="26"/>
  <c r="K19" i="26"/>
  <c r="K18" i="26"/>
  <c r="K17" i="26"/>
  <c r="K16" i="26"/>
  <c r="K15" i="26"/>
  <c r="K14" i="26"/>
  <c r="K13" i="26"/>
  <c r="K12" i="26"/>
  <c r="K11" i="26"/>
  <c r="K10" i="26"/>
  <c r="K8" i="26"/>
  <c r="L7" i="26"/>
  <c r="K7" i="26"/>
  <c r="K70" i="25"/>
  <c r="K69" i="25"/>
  <c r="K68" i="25"/>
  <c r="K67" i="25"/>
  <c r="K66" i="25"/>
  <c r="K65" i="25"/>
  <c r="K61" i="25"/>
  <c r="K60" i="25"/>
  <c r="K19" i="25"/>
  <c r="K55" i="25"/>
  <c r="K54" i="25"/>
  <c r="K53" i="25"/>
  <c r="K52" i="25"/>
  <c r="K51" i="25"/>
  <c r="K50" i="25"/>
  <c r="K49" i="25"/>
  <c r="K48" i="25"/>
  <c r="K47" i="25"/>
  <c r="K46" i="25"/>
  <c r="K45" i="25"/>
  <c r="K44" i="25"/>
  <c r="K25" i="25"/>
  <c r="K24" i="25"/>
  <c r="K23" i="25"/>
  <c r="K22" i="25"/>
  <c r="K21" i="25"/>
  <c r="K20" i="25"/>
  <c r="K18" i="25"/>
  <c r="K17" i="25"/>
  <c r="K16" i="25"/>
  <c r="K15" i="25"/>
  <c r="K14" i="25"/>
  <c r="K13" i="25"/>
  <c r="K12" i="25"/>
  <c r="K11" i="25"/>
  <c r="K10" i="25"/>
  <c r="J80" i="25"/>
  <c r="D81" i="25" s="1"/>
  <c r="K79" i="25"/>
  <c r="L78" i="25"/>
  <c r="K78" i="25"/>
  <c r="K77" i="25"/>
  <c r="K76" i="25"/>
  <c r="K75" i="25"/>
  <c r="K74" i="25"/>
  <c r="K73" i="25"/>
  <c r="K72" i="25"/>
  <c r="K71" i="25"/>
  <c r="K64" i="25"/>
  <c r="K63" i="25"/>
  <c r="K62" i="25"/>
  <c r="K59" i="25"/>
  <c r="K58" i="25"/>
  <c r="K57" i="25"/>
  <c r="K56" i="25"/>
  <c r="K43" i="25"/>
  <c r="K42" i="25"/>
  <c r="K41" i="25"/>
  <c r="K40" i="25"/>
  <c r="K39" i="25"/>
  <c r="K38" i="25"/>
  <c r="K37" i="25"/>
  <c r="K36" i="25"/>
  <c r="K35" i="25"/>
  <c r="K34" i="25"/>
  <c r="K33" i="25"/>
  <c r="K32" i="25"/>
  <c r="K31" i="25"/>
  <c r="K30" i="25"/>
  <c r="K29" i="25"/>
  <c r="K28" i="25"/>
  <c r="K27" i="25"/>
  <c r="K26" i="25"/>
  <c r="K9" i="25"/>
  <c r="K8" i="25"/>
  <c r="L7" i="25"/>
  <c r="K7" i="25"/>
  <c r="L55" i="26" l="1"/>
  <c r="K56" i="26"/>
  <c r="L8" i="26"/>
  <c r="K80" i="25"/>
  <c r="L79" i="25"/>
  <c r="L8" i="25"/>
  <c r="K11" i="24"/>
  <c r="J55" i="24" l="1"/>
  <c r="D56" i="24" s="1"/>
  <c r="K54" i="24"/>
  <c r="L53" i="24"/>
  <c r="K53" i="24"/>
  <c r="K52" i="24"/>
  <c r="K51" i="24"/>
  <c r="K50" i="24"/>
  <c r="K49" i="24"/>
  <c r="K48" i="24"/>
  <c r="K47" i="24"/>
  <c r="K46" i="24"/>
  <c r="K45" i="24"/>
  <c r="K44" i="24"/>
  <c r="K43" i="24"/>
  <c r="K42" i="24"/>
  <c r="K40" i="24"/>
  <c r="K39" i="24"/>
  <c r="K38" i="24"/>
  <c r="K37" i="24"/>
  <c r="K36" i="24"/>
  <c r="K35" i="24"/>
  <c r="K34" i="24"/>
  <c r="K33" i="24"/>
  <c r="K32" i="24"/>
  <c r="K31" i="24"/>
  <c r="K30" i="24"/>
  <c r="K29" i="24"/>
  <c r="K28" i="24"/>
  <c r="K27" i="24"/>
  <c r="K26" i="24"/>
  <c r="K25" i="24"/>
  <c r="K24" i="24"/>
  <c r="K23" i="24"/>
  <c r="K22" i="24"/>
  <c r="K21" i="24"/>
  <c r="K20" i="24"/>
  <c r="K19" i="24"/>
  <c r="K18" i="24"/>
  <c r="K17" i="24"/>
  <c r="K16" i="24"/>
  <c r="K15" i="24"/>
  <c r="K14" i="24"/>
  <c r="K13" i="24"/>
  <c r="K12" i="24"/>
  <c r="K10" i="24"/>
  <c r="K9" i="24"/>
  <c r="K8" i="24"/>
  <c r="L7" i="24"/>
  <c r="K7" i="24"/>
  <c r="L8" i="24" l="1"/>
  <c r="L54" i="24"/>
  <c r="K55" i="24"/>
  <c r="K48" i="23"/>
  <c r="K47" i="23"/>
  <c r="K46" i="23"/>
  <c r="K45" i="23"/>
  <c r="K44" i="23"/>
  <c r="K43" i="23"/>
  <c r="K42" i="23"/>
  <c r="K41" i="23"/>
  <c r="K40" i="23"/>
  <c r="K39" i="23"/>
  <c r="K38" i="23"/>
  <c r="K37" i="23"/>
  <c r="K36" i="23"/>
  <c r="K35" i="23"/>
  <c r="K34" i="23"/>
  <c r="K33" i="23"/>
  <c r="K32" i="23"/>
  <c r="K30" i="23"/>
  <c r="K12" i="23"/>
  <c r="K13" i="23"/>
  <c r="J86" i="23"/>
  <c r="D87" i="23" s="1"/>
  <c r="K85" i="23"/>
  <c r="L84" i="23"/>
  <c r="K84" i="23"/>
  <c r="K83" i="23"/>
  <c r="K82" i="23"/>
  <c r="K81" i="23"/>
  <c r="K80" i="23"/>
  <c r="K79" i="23"/>
  <c r="K78" i="23"/>
  <c r="K77" i="23"/>
  <c r="K76" i="23"/>
  <c r="K75" i="23"/>
  <c r="K74" i="23"/>
  <c r="K73" i="23"/>
  <c r="K72" i="23"/>
  <c r="K71" i="23"/>
  <c r="K70" i="23"/>
  <c r="K69" i="23"/>
  <c r="K68" i="23"/>
  <c r="K67" i="23"/>
  <c r="K66" i="23"/>
  <c r="K65" i="23"/>
  <c r="K64" i="23"/>
  <c r="K63" i="23"/>
  <c r="K62" i="23"/>
  <c r="K61" i="23"/>
  <c r="K60" i="23"/>
  <c r="K59" i="23"/>
  <c r="K57" i="23"/>
  <c r="K56" i="23"/>
  <c r="K55" i="23"/>
  <c r="K54" i="23"/>
  <c r="K53" i="23"/>
  <c r="K52" i="23"/>
  <c r="K51" i="23"/>
  <c r="K50" i="23"/>
  <c r="K49" i="23"/>
  <c r="K31" i="23"/>
  <c r="K29" i="23"/>
  <c r="K28" i="23"/>
  <c r="K27" i="23"/>
  <c r="K26" i="23"/>
  <c r="K25" i="23"/>
  <c r="K24" i="23"/>
  <c r="K23" i="23"/>
  <c r="K22" i="23"/>
  <c r="K21" i="23"/>
  <c r="K20" i="23"/>
  <c r="K19" i="23"/>
  <c r="K18" i="23"/>
  <c r="K17" i="23"/>
  <c r="K16" i="23"/>
  <c r="K15" i="23"/>
  <c r="K14" i="23"/>
  <c r="K11" i="23"/>
  <c r="K10" i="23"/>
  <c r="K9" i="23"/>
  <c r="K8" i="23"/>
  <c r="L7" i="23"/>
  <c r="K7" i="23"/>
  <c r="K86" i="23" l="1"/>
  <c r="L85" i="23"/>
  <c r="L8" i="23"/>
  <c r="K82" i="22"/>
  <c r="K81" i="22"/>
  <c r="K80" i="22"/>
  <c r="K79" i="22"/>
  <c r="K78" i="22"/>
  <c r="K77" i="22"/>
  <c r="K76" i="22"/>
  <c r="K75" i="22"/>
  <c r="K74" i="22"/>
  <c r="K73" i="22"/>
  <c r="K72" i="22"/>
  <c r="K71" i="22"/>
  <c r="K70" i="22"/>
  <c r="K69" i="22"/>
  <c r="K23" i="22"/>
  <c r="K21" i="22"/>
  <c r="K40" i="22" l="1"/>
  <c r="J86" i="22" l="1"/>
  <c r="D87" i="22" s="1"/>
  <c r="K85" i="22"/>
  <c r="L84" i="22"/>
  <c r="K84" i="22"/>
  <c r="K83" i="22"/>
  <c r="K68" i="22"/>
  <c r="K67" i="22"/>
  <c r="K66" i="22"/>
  <c r="K65" i="22"/>
  <c r="K64" i="22"/>
  <c r="K63" i="22"/>
  <c r="K62" i="22"/>
  <c r="K61" i="22"/>
  <c r="K60" i="22"/>
  <c r="K59" i="22"/>
  <c r="K58" i="22"/>
  <c r="K57" i="22"/>
  <c r="K56" i="22"/>
  <c r="K55" i="22"/>
  <c r="K54" i="22"/>
  <c r="K53" i="22"/>
  <c r="K52" i="22"/>
  <c r="K51" i="22"/>
  <c r="K50" i="22"/>
  <c r="K49" i="22"/>
  <c r="K48" i="22"/>
  <c r="K47" i="22"/>
  <c r="K46" i="22"/>
  <c r="K45" i="22"/>
  <c r="K44" i="22"/>
  <c r="K43" i="22"/>
  <c r="K41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2" i="22"/>
  <c r="K20" i="22"/>
  <c r="K19" i="22"/>
  <c r="K18" i="22"/>
  <c r="K17" i="22"/>
  <c r="K16" i="22"/>
  <c r="K15" i="22"/>
  <c r="K14" i="22"/>
  <c r="K13" i="22"/>
  <c r="K12" i="22"/>
  <c r="K11" i="22"/>
  <c r="K10" i="22"/>
  <c r="K9" i="22"/>
  <c r="K8" i="22"/>
  <c r="L7" i="22"/>
  <c r="K7" i="22"/>
  <c r="K78" i="21"/>
  <c r="L85" i="22" l="1"/>
  <c r="L8" i="22"/>
  <c r="K86" i="22"/>
  <c r="K66" i="21" l="1"/>
  <c r="K48" i="21"/>
  <c r="K27" i="21"/>
  <c r="K61" i="21" l="1"/>
  <c r="K60" i="21"/>
  <c r="K59" i="21"/>
  <c r="K58" i="21"/>
  <c r="K57" i="21"/>
  <c r="K56" i="21"/>
  <c r="K55" i="21"/>
  <c r="K54" i="21"/>
  <c r="K53" i="21"/>
  <c r="K52" i="21"/>
  <c r="K25" i="21"/>
  <c r="K24" i="21"/>
  <c r="K23" i="21"/>
  <c r="K22" i="21"/>
  <c r="K21" i="21"/>
  <c r="K20" i="21"/>
  <c r="K19" i="21"/>
  <c r="K18" i="21"/>
  <c r="K17" i="21"/>
  <c r="K16" i="21"/>
  <c r="K15" i="21"/>
  <c r="K14" i="21"/>
  <c r="K13" i="21"/>
  <c r="K12" i="21"/>
  <c r="J85" i="21"/>
  <c r="D86" i="21" s="1"/>
  <c r="K84" i="21"/>
  <c r="L83" i="21"/>
  <c r="K83" i="21"/>
  <c r="K82" i="21"/>
  <c r="K81" i="21"/>
  <c r="K80" i="21"/>
  <c r="K79" i="21"/>
  <c r="K77" i="21"/>
  <c r="K76" i="21"/>
  <c r="K75" i="21"/>
  <c r="K74" i="21"/>
  <c r="K73" i="21"/>
  <c r="K72" i="21"/>
  <c r="K71" i="21"/>
  <c r="K70" i="21"/>
  <c r="K69" i="21"/>
  <c r="K68" i="21"/>
  <c r="K67" i="21"/>
  <c r="K65" i="21"/>
  <c r="K64" i="21"/>
  <c r="K63" i="21"/>
  <c r="K62" i="21"/>
  <c r="K51" i="21"/>
  <c r="K50" i="21"/>
  <c r="K49" i="21"/>
  <c r="K47" i="21"/>
  <c r="K46" i="21"/>
  <c r="K45" i="21"/>
  <c r="K44" i="21"/>
  <c r="K43" i="21"/>
  <c r="K42" i="21"/>
  <c r="K41" i="21"/>
  <c r="K40" i="21"/>
  <c r="K39" i="21"/>
  <c r="K38" i="21"/>
  <c r="K37" i="21"/>
  <c r="K36" i="21"/>
  <c r="K35" i="21"/>
  <c r="K34" i="21"/>
  <c r="K33" i="21"/>
  <c r="K32" i="21"/>
  <c r="K31" i="21"/>
  <c r="K30" i="21"/>
  <c r="K29" i="21"/>
  <c r="K28" i="21"/>
  <c r="K26" i="21"/>
  <c r="K11" i="21"/>
  <c r="K10" i="21"/>
  <c r="K9" i="21"/>
  <c r="K8" i="21"/>
  <c r="L7" i="21"/>
  <c r="K7" i="21"/>
  <c r="K85" i="21" l="1"/>
  <c r="L84" i="21"/>
  <c r="L8" i="21"/>
  <c r="K43" i="20"/>
  <c r="K42" i="20" l="1"/>
  <c r="K41" i="20"/>
  <c r="K40" i="20"/>
  <c r="K39" i="20"/>
  <c r="K38" i="20"/>
  <c r="K37" i="20"/>
  <c r="K36" i="20"/>
  <c r="K20" i="20"/>
  <c r="K19" i="20"/>
  <c r="K18" i="20"/>
  <c r="K17" i="20"/>
  <c r="K16" i="20"/>
  <c r="K15" i="20"/>
  <c r="K14" i="20"/>
  <c r="J63" i="20"/>
  <c r="D64" i="20" s="1"/>
  <c r="K62" i="20"/>
  <c r="L61" i="20"/>
  <c r="K61" i="20"/>
  <c r="K60" i="20"/>
  <c r="K59" i="20"/>
  <c r="K58" i="20"/>
  <c r="K57" i="20"/>
  <c r="K56" i="20"/>
  <c r="K55" i="20"/>
  <c r="K54" i="20"/>
  <c r="K53" i="20"/>
  <c r="K52" i="20"/>
  <c r="K51" i="20"/>
  <c r="K50" i="20"/>
  <c r="K49" i="20"/>
  <c r="K48" i="20"/>
  <c r="K47" i="20"/>
  <c r="K46" i="20"/>
  <c r="K45" i="20"/>
  <c r="K44" i="20"/>
  <c r="K35" i="20"/>
  <c r="K34" i="20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13" i="20"/>
  <c r="K12" i="20"/>
  <c r="K11" i="20"/>
  <c r="K10" i="20"/>
  <c r="K9" i="20"/>
  <c r="K8" i="20"/>
  <c r="L7" i="20"/>
  <c r="K7" i="20"/>
  <c r="K63" i="20" l="1"/>
  <c r="L62" i="20"/>
  <c r="L8" i="20"/>
  <c r="J51" i="19"/>
  <c r="D52" i="19" s="1"/>
  <c r="K50" i="19"/>
  <c r="L49" i="19"/>
  <c r="K49" i="19"/>
  <c r="K48" i="19"/>
  <c r="K47" i="19"/>
  <c r="K46" i="19"/>
  <c r="K45" i="19"/>
  <c r="K44" i="19"/>
  <c r="K43" i="19"/>
  <c r="K42" i="19"/>
  <c r="K41" i="19"/>
  <c r="K40" i="19"/>
  <c r="K39" i="19"/>
  <c r="K38" i="19"/>
  <c r="K37" i="19"/>
  <c r="K36" i="19"/>
  <c r="K35" i="19"/>
  <c r="K34" i="19"/>
  <c r="K33" i="19"/>
  <c r="K32" i="19"/>
  <c r="K31" i="19"/>
  <c r="K30" i="19"/>
  <c r="K29" i="19"/>
  <c r="K28" i="19"/>
  <c r="K27" i="19"/>
  <c r="K26" i="19"/>
  <c r="K25" i="19"/>
  <c r="K24" i="19"/>
  <c r="K23" i="19"/>
  <c r="K22" i="19"/>
  <c r="K21" i="19"/>
  <c r="K20" i="19"/>
  <c r="K19" i="19"/>
  <c r="K18" i="19"/>
  <c r="K17" i="19"/>
  <c r="K16" i="19"/>
  <c r="K15" i="19"/>
  <c r="K14" i="19"/>
  <c r="K13" i="19"/>
  <c r="K12" i="19"/>
  <c r="K11" i="19"/>
  <c r="K10" i="19"/>
  <c r="K9" i="19"/>
  <c r="K8" i="19"/>
  <c r="L7" i="19"/>
  <c r="K7" i="19"/>
  <c r="L50" i="19" l="1"/>
  <c r="K51" i="19"/>
  <c r="L8" i="19"/>
  <c r="K90" i="18"/>
  <c r="K89" i="18"/>
  <c r="K88" i="18"/>
  <c r="K87" i="18"/>
  <c r="K86" i="18"/>
  <c r="K85" i="18"/>
  <c r="K84" i="18"/>
  <c r="K83" i="18"/>
  <c r="K82" i="18"/>
  <c r="K81" i="18"/>
  <c r="K67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14" i="17" l="1"/>
  <c r="K13" i="17"/>
  <c r="J95" i="18" l="1"/>
  <c r="D96" i="18" s="1"/>
  <c r="K94" i="18"/>
  <c r="L93" i="18"/>
  <c r="K93" i="18"/>
  <c r="K92" i="18"/>
  <c r="K9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6" i="18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L7" i="18"/>
  <c r="K7" i="18"/>
  <c r="L94" i="18" l="1"/>
  <c r="K95" i="18"/>
  <c r="L8" i="18"/>
  <c r="K42" i="17"/>
  <c r="K41" i="17"/>
  <c r="K40" i="17"/>
  <c r="K39" i="17"/>
  <c r="K36" i="17"/>
  <c r="K35" i="17"/>
  <c r="K34" i="17"/>
  <c r="K33" i="17"/>
  <c r="K32" i="17"/>
  <c r="K31" i="17"/>
  <c r="K15" i="17" l="1"/>
  <c r="K11" i="17"/>
  <c r="J75" i="17"/>
  <c r="D76" i="17" s="1"/>
  <c r="K74" i="17"/>
  <c r="L73" i="17"/>
  <c r="K73" i="17"/>
  <c r="K72" i="17"/>
  <c r="K71" i="17"/>
  <c r="K70" i="17"/>
  <c r="K69" i="17"/>
  <c r="K68" i="17"/>
  <c r="K67" i="17"/>
  <c r="K66" i="17"/>
  <c r="K65" i="17"/>
  <c r="K64" i="17"/>
  <c r="K63" i="17"/>
  <c r="K62" i="17"/>
  <c r="K61" i="17"/>
  <c r="K60" i="17"/>
  <c r="K59" i="17"/>
  <c r="K58" i="17"/>
  <c r="K57" i="17"/>
  <c r="K56" i="17"/>
  <c r="K55" i="17"/>
  <c r="K54" i="17"/>
  <c r="K53" i="17"/>
  <c r="K52" i="17"/>
  <c r="K51" i="17"/>
  <c r="K50" i="17"/>
  <c r="K49" i="17"/>
  <c r="K48" i="17"/>
  <c r="K47" i="17"/>
  <c r="K46" i="17"/>
  <c r="K45" i="17"/>
  <c r="K44" i="17"/>
  <c r="K43" i="17"/>
  <c r="K38" i="17"/>
  <c r="K37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2" i="17"/>
  <c r="K10" i="17"/>
  <c r="K9" i="17"/>
  <c r="K8" i="17"/>
  <c r="L7" i="17"/>
  <c r="K7" i="17"/>
  <c r="L74" i="17" l="1"/>
  <c r="L8" i="17"/>
  <c r="K75" i="17"/>
  <c r="K59" i="16"/>
  <c r="K60" i="16"/>
  <c r="K34" i="16"/>
  <c r="K33" i="16"/>
  <c r="K30" i="16"/>
  <c r="K29" i="16"/>
  <c r="K28" i="16"/>
  <c r="K27" i="16"/>
  <c r="K26" i="16"/>
  <c r="K25" i="16"/>
  <c r="K24" i="16"/>
  <c r="K23" i="16"/>
  <c r="K22" i="16"/>
  <c r="K21" i="16"/>
  <c r="K18" i="16"/>
  <c r="K41" i="16" l="1"/>
  <c r="K40" i="16"/>
  <c r="K12" i="16"/>
  <c r="K11" i="16"/>
  <c r="K10" i="16"/>
  <c r="K9" i="16"/>
  <c r="J65" i="16" l="1"/>
  <c r="D66" i="16" s="1"/>
  <c r="K64" i="16"/>
  <c r="L63" i="16"/>
  <c r="K63" i="16"/>
  <c r="K62" i="16"/>
  <c r="K61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39" i="16"/>
  <c r="K38" i="16"/>
  <c r="K37" i="16"/>
  <c r="K36" i="16"/>
  <c r="K35" i="16"/>
  <c r="K32" i="16"/>
  <c r="K31" i="16"/>
  <c r="K20" i="16"/>
  <c r="K19" i="16"/>
  <c r="K17" i="16"/>
  <c r="K16" i="16"/>
  <c r="K15" i="16"/>
  <c r="K14" i="16"/>
  <c r="K13" i="16"/>
  <c r="K8" i="16"/>
  <c r="L7" i="16"/>
  <c r="K7" i="16"/>
  <c r="K65" i="16" l="1"/>
  <c r="L64" i="16"/>
  <c r="L8" i="16"/>
  <c r="K52" i="15" l="1"/>
  <c r="K51" i="15"/>
  <c r="K50" i="15"/>
  <c r="K49" i="15"/>
  <c r="K48" i="15"/>
  <c r="K47" i="15"/>
  <c r="K59" i="15" l="1"/>
  <c r="L58" i="15"/>
  <c r="K58" i="15"/>
  <c r="K57" i="15"/>
  <c r="K56" i="15"/>
  <c r="K55" i="15"/>
  <c r="K54" i="15"/>
  <c r="K53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J60" i="15"/>
  <c r="D61" i="15" s="1"/>
  <c r="K12" i="15"/>
  <c r="K11" i="15"/>
  <c r="K10" i="15"/>
  <c r="K9" i="15"/>
  <c r="K8" i="15"/>
  <c r="K7" i="15"/>
  <c r="K60" i="15" l="1"/>
  <c r="L59" i="15"/>
  <c r="L7" i="15"/>
  <c r="L8" i="15"/>
  <c r="K30" i="14"/>
  <c r="K29" i="14"/>
  <c r="E53" i="14"/>
  <c r="E52" i="14"/>
  <c r="J13" i="14"/>
  <c r="K61" i="14" l="1"/>
  <c r="K60" i="14"/>
  <c r="K59" i="14"/>
  <c r="K58" i="14"/>
  <c r="K57" i="14"/>
  <c r="K56" i="14"/>
  <c r="K55" i="14"/>
  <c r="K54" i="14"/>
  <c r="K53" i="14"/>
  <c r="K52" i="14"/>
  <c r="K51" i="14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L60" i="14"/>
  <c r="K35" i="14"/>
  <c r="K34" i="14"/>
  <c r="K31" i="14"/>
  <c r="K28" i="14"/>
  <c r="K27" i="14"/>
  <c r="K26" i="14"/>
  <c r="K25" i="14"/>
  <c r="K24" i="14"/>
  <c r="K23" i="14"/>
  <c r="K22" i="14"/>
  <c r="K21" i="14"/>
  <c r="K20" i="14"/>
  <c r="K19" i="14"/>
  <c r="J62" i="14"/>
  <c r="D63" i="14" s="1"/>
  <c r="K18" i="14"/>
  <c r="K17" i="14"/>
  <c r="K16" i="14"/>
  <c r="K15" i="14"/>
  <c r="K14" i="14"/>
  <c r="K13" i="14"/>
  <c r="K12" i="14"/>
  <c r="K11" i="14"/>
  <c r="K10" i="14"/>
  <c r="K9" i="14"/>
  <c r="K8" i="14"/>
  <c r="L7" i="14"/>
  <c r="K7" i="14"/>
  <c r="K52" i="13"/>
  <c r="K53" i="13"/>
  <c r="K54" i="13"/>
  <c r="K55" i="13"/>
  <c r="K27" i="13"/>
  <c r="K26" i="13"/>
  <c r="K22" i="13"/>
  <c r="K24" i="13"/>
  <c r="K23" i="13"/>
  <c r="K21" i="13"/>
  <c r="J19" i="13"/>
  <c r="L8" i="14" l="1"/>
  <c r="L61" i="14"/>
  <c r="K62" i="14"/>
  <c r="J32" i="13"/>
  <c r="K16" i="13" l="1"/>
  <c r="K15" i="13"/>
  <c r="K14" i="13"/>
  <c r="K13" i="13"/>
  <c r="K17" i="13"/>
  <c r="K18" i="13"/>
  <c r="K19" i="13"/>
  <c r="K20" i="13"/>
  <c r="K25" i="13"/>
  <c r="J58" i="13"/>
  <c r="D59" i="13" s="1"/>
  <c r="K57" i="13"/>
  <c r="L56" i="13"/>
  <c r="K56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12" i="13"/>
  <c r="K11" i="13"/>
  <c r="K10" i="13"/>
  <c r="K9" i="13"/>
  <c r="K8" i="13"/>
  <c r="L7" i="13"/>
  <c r="K7" i="13"/>
  <c r="L57" i="13" l="1"/>
  <c r="K58" i="13"/>
  <c r="L8" i="13"/>
  <c r="K22" i="12" l="1"/>
  <c r="K21" i="12"/>
  <c r="K20" i="12"/>
  <c r="K19" i="12"/>
  <c r="K18" i="12"/>
  <c r="K17" i="12"/>
  <c r="K16" i="12"/>
  <c r="K15" i="12"/>
  <c r="K14" i="12"/>
  <c r="K13" i="12"/>
  <c r="K12" i="12"/>
  <c r="K11" i="12"/>
  <c r="K10" i="12"/>
  <c r="K55" i="12" l="1"/>
  <c r="K64" i="12"/>
  <c r="K63" i="12"/>
  <c r="K62" i="12"/>
  <c r="K61" i="12"/>
  <c r="K60" i="12"/>
  <c r="K59" i="12"/>
  <c r="K58" i="12"/>
  <c r="K57" i="12"/>
  <c r="K56" i="12"/>
  <c r="K54" i="12"/>
  <c r="K53" i="12"/>
  <c r="K52" i="12"/>
  <c r="K51" i="12"/>
  <c r="K50" i="12"/>
  <c r="K33" i="12"/>
  <c r="K32" i="12"/>
  <c r="J73" i="12" l="1"/>
  <c r="D74" i="12" s="1"/>
  <c r="K72" i="12"/>
  <c r="L71" i="12"/>
  <c r="K71" i="12"/>
  <c r="K70" i="12"/>
  <c r="K69" i="12"/>
  <c r="K68" i="12"/>
  <c r="K67" i="12"/>
  <c r="K66" i="12"/>
  <c r="K65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1" i="12"/>
  <c r="K30" i="12"/>
  <c r="K29" i="12"/>
  <c r="K28" i="12"/>
  <c r="K25" i="12"/>
  <c r="K24" i="12"/>
  <c r="K9" i="12"/>
  <c r="K8" i="12"/>
  <c r="L7" i="12"/>
  <c r="K7" i="12"/>
  <c r="L72" i="12" l="1"/>
  <c r="K73" i="12"/>
  <c r="L8" i="12"/>
  <c r="K13" i="11"/>
  <c r="K12" i="11"/>
  <c r="K11" i="11"/>
  <c r="K54" i="11" l="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 l="1"/>
  <c r="K31" i="11"/>
  <c r="K24" i="11"/>
  <c r="K23" i="11"/>
  <c r="K22" i="11"/>
  <c r="K20" i="11"/>
  <c r="K19" i="11"/>
  <c r="K18" i="11"/>
  <c r="K17" i="11"/>
  <c r="K15" i="11"/>
  <c r="K14" i="11"/>
  <c r="K10" i="11"/>
  <c r="K9" i="11"/>
  <c r="J58" i="11"/>
  <c r="D59" i="11" s="1"/>
  <c r="K57" i="11"/>
  <c r="L56" i="11"/>
  <c r="K56" i="11"/>
  <c r="K55" i="11"/>
  <c r="K30" i="11"/>
  <c r="K29" i="11"/>
  <c r="K28" i="11"/>
  <c r="K27" i="11"/>
  <c r="K8" i="11"/>
  <c r="L7" i="11"/>
  <c r="K7" i="11"/>
  <c r="L57" i="11" l="1"/>
  <c r="K58" i="11"/>
  <c r="L8" i="11"/>
  <c r="F65" i="9"/>
  <c r="K67" i="9"/>
  <c r="K66" i="9"/>
  <c r="K65" i="9"/>
  <c r="F68" i="8"/>
  <c r="K15" i="10" l="1"/>
  <c r="K9" i="10"/>
  <c r="J81" i="10" l="1"/>
  <c r="D82" i="10" s="1"/>
  <c r="K80" i="10"/>
  <c r="L79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4" i="10"/>
  <c r="K13" i="10"/>
  <c r="K12" i="10"/>
  <c r="K11" i="10"/>
  <c r="K10" i="10"/>
  <c r="K8" i="10"/>
  <c r="L7" i="10"/>
  <c r="K7" i="10"/>
  <c r="K81" i="10" l="1"/>
  <c r="L80" i="10"/>
  <c r="L8" i="10"/>
  <c r="K37" i="9"/>
  <c r="K36" i="9"/>
  <c r="K35" i="9"/>
  <c r="K32" i="9"/>
  <c r="K29" i="9"/>
  <c r="K34" i="9"/>
  <c r="K33" i="9"/>
  <c r="K31" i="9"/>
  <c r="K30" i="9"/>
  <c r="K20" i="9" l="1"/>
  <c r="K19" i="9"/>
  <c r="K18" i="9"/>
  <c r="K17" i="9"/>
  <c r="K16" i="9"/>
  <c r="K15" i="9"/>
  <c r="K14" i="9"/>
  <c r="K13" i="9"/>
  <c r="K12" i="9"/>
  <c r="K11" i="9"/>
  <c r="J93" i="9"/>
  <c r="D94" i="9" s="1"/>
  <c r="K92" i="9"/>
  <c r="L91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28" i="9"/>
  <c r="K27" i="9"/>
  <c r="K26" i="9"/>
  <c r="K25" i="9"/>
  <c r="K24" i="9"/>
  <c r="K23" i="9"/>
  <c r="K22" i="9"/>
  <c r="K21" i="9"/>
  <c r="K10" i="9"/>
  <c r="K9" i="9"/>
  <c r="K8" i="9"/>
  <c r="L7" i="9"/>
  <c r="K7" i="9"/>
  <c r="L92" i="9" l="1"/>
  <c r="K93" i="9"/>
  <c r="L8" i="9"/>
  <c r="K70" i="8"/>
  <c r="K69" i="8"/>
  <c r="K68" i="8"/>
  <c r="K67" i="8"/>
  <c r="K66" i="8"/>
  <c r="K65" i="8"/>
  <c r="K64" i="8"/>
  <c r="K63" i="8"/>
  <c r="K62" i="8"/>
  <c r="K61" i="8"/>
  <c r="J73" i="8"/>
  <c r="D74" i="8" s="1"/>
  <c r="K72" i="8"/>
  <c r="L71" i="8"/>
  <c r="K7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L7" i="8"/>
  <c r="K7" i="8"/>
  <c r="L8" i="8" l="1"/>
  <c r="K73" i="8"/>
  <c r="L72" i="8"/>
  <c r="F56" i="7"/>
  <c r="F47" i="7"/>
  <c r="E47" i="7"/>
  <c r="J81" i="7" l="1"/>
  <c r="D82" i="7" s="1"/>
  <c r="K80" i="7"/>
  <c r="L79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L7" i="7"/>
  <c r="K7" i="7"/>
  <c r="L80" i="7" l="1"/>
  <c r="K81" i="7"/>
  <c r="L8" i="7"/>
  <c r="K62" i="5"/>
  <c r="K61" i="5"/>
  <c r="K60" i="5"/>
  <c r="K59" i="5"/>
  <c r="K76" i="6" l="1"/>
  <c r="K75" i="6"/>
  <c r="K74" i="6"/>
  <c r="K73" i="6"/>
  <c r="K77" i="6"/>
  <c r="K72" i="6"/>
  <c r="K71" i="6"/>
  <c r="K70" i="6"/>
  <c r="K69" i="6"/>
  <c r="K68" i="6"/>
  <c r="K60" i="6" l="1"/>
  <c r="J81" i="6" l="1"/>
  <c r="D82" i="6" s="1"/>
  <c r="K80" i="6"/>
  <c r="L79" i="6"/>
  <c r="K79" i="6"/>
  <c r="K78" i="6"/>
  <c r="K67" i="6"/>
  <c r="K66" i="6"/>
  <c r="K65" i="6"/>
  <c r="K64" i="6"/>
  <c r="K63" i="6"/>
  <c r="K62" i="6"/>
  <c r="K61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L7" i="6"/>
  <c r="K7" i="6"/>
  <c r="L80" i="6" l="1"/>
  <c r="K81" i="6"/>
  <c r="L8" i="6"/>
  <c r="K25" i="5"/>
  <c r="K11" i="5"/>
  <c r="K74" i="5"/>
  <c r="L73" i="5"/>
  <c r="K73" i="5"/>
  <c r="K72" i="5"/>
  <c r="K71" i="5"/>
  <c r="K70" i="5"/>
  <c r="K69" i="5"/>
  <c r="K68" i="5"/>
  <c r="K67" i="5"/>
  <c r="K66" i="5"/>
  <c r="K65" i="5"/>
  <c r="K64" i="5"/>
  <c r="K63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0" i="5"/>
  <c r="K9" i="5"/>
  <c r="K8" i="5"/>
  <c r="L7" i="5"/>
  <c r="K7" i="5"/>
  <c r="J75" i="5" l="1"/>
  <c r="D76" i="5" s="1"/>
  <c r="L74" i="5"/>
  <c r="K26" i="5"/>
  <c r="L8" i="5" s="1"/>
  <c r="J26" i="4"/>
  <c r="K24" i="4"/>
  <c r="K36" i="4"/>
  <c r="K35" i="4"/>
  <c r="K34" i="4"/>
  <c r="K33" i="4"/>
  <c r="K32" i="4"/>
  <c r="K31" i="4"/>
  <c r="K30" i="4"/>
  <c r="K29" i="4"/>
  <c r="K28" i="4"/>
  <c r="K27" i="4"/>
  <c r="K26" i="4"/>
  <c r="K25" i="4"/>
  <c r="K75" i="5" l="1"/>
  <c r="J72" i="4"/>
  <c r="D73" i="4" s="1"/>
  <c r="K71" i="4"/>
  <c r="L70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L7" i="4"/>
  <c r="K7" i="4"/>
  <c r="L71" i="4" l="1"/>
  <c r="L8" i="4"/>
  <c r="K72" i="4"/>
  <c r="K45" i="3"/>
  <c r="K48" i="3"/>
  <c r="K47" i="3"/>
  <c r="K46" i="3"/>
  <c r="K44" i="3"/>
  <c r="K43" i="3"/>
  <c r="K42" i="3"/>
  <c r="K41" i="3"/>
  <c r="K40" i="3"/>
  <c r="K39" i="3"/>
  <c r="K38" i="3"/>
  <c r="K37" i="3"/>
  <c r="K36" i="3"/>
  <c r="K35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J60" i="3"/>
  <c r="D61" i="3" s="1"/>
  <c r="K59" i="3"/>
  <c r="L58" i="3"/>
  <c r="K58" i="3"/>
  <c r="K57" i="3"/>
  <c r="K56" i="3"/>
  <c r="K55" i="3"/>
  <c r="K54" i="3"/>
  <c r="K53" i="3"/>
  <c r="K52" i="3"/>
  <c r="K51" i="3"/>
  <c r="K50" i="3"/>
  <c r="K49" i="3"/>
  <c r="K34" i="3"/>
  <c r="K33" i="3"/>
  <c r="K32" i="3"/>
  <c r="K31" i="3"/>
  <c r="K30" i="3"/>
  <c r="K29" i="3"/>
  <c r="K28" i="3"/>
  <c r="K27" i="3"/>
  <c r="K12" i="3"/>
  <c r="K11" i="3"/>
  <c r="K10" i="3"/>
  <c r="K9" i="3"/>
  <c r="K8" i="3"/>
  <c r="L7" i="3"/>
  <c r="K7" i="3"/>
  <c r="K60" i="3" l="1"/>
  <c r="L59" i="3"/>
  <c r="L8" i="3"/>
  <c r="K16" i="2"/>
  <c r="K15" i="2"/>
  <c r="K39" i="2" l="1"/>
  <c r="K35" i="2"/>
  <c r="K34" i="2"/>
  <c r="K33" i="2"/>
  <c r="K32" i="2"/>
  <c r="K60" i="1" l="1"/>
  <c r="K61" i="1"/>
  <c r="K62" i="1"/>
  <c r="K63" i="1"/>
  <c r="K64" i="1"/>
  <c r="K65" i="1"/>
  <c r="K66" i="1"/>
  <c r="K67" i="1"/>
  <c r="K36" i="1"/>
  <c r="K37" i="1"/>
  <c r="K38" i="1"/>
  <c r="K39" i="1"/>
  <c r="K35" i="1"/>
  <c r="K28" i="1"/>
  <c r="K29" i="1"/>
  <c r="K30" i="1"/>
  <c r="K31" i="1"/>
  <c r="K32" i="1"/>
  <c r="K25" i="1"/>
  <c r="K26" i="1"/>
  <c r="K27" i="1"/>
  <c r="K33" i="1"/>
  <c r="J52" i="2"/>
  <c r="D53" i="2" s="1"/>
  <c r="K51" i="2"/>
  <c r="L50" i="2"/>
  <c r="K50" i="2"/>
  <c r="K49" i="2"/>
  <c r="K48" i="2"/>
  <c r="K47" i="2"/>
  <c r="K46" i="2"/>
  <c r="K45" i="2"/>
  <c r="K44" i="2"/>
  <c r="K43" i="2"/>
  <c r="K42" i="2"/>
  <c r="K41" i="2"/>
  <c r="K38" i="2"/>
  <c r="K37" i="2"/>
  <c r="K36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4" i="2"/>
  <c r="K13" i="2"/>
  <c r="K12" i="2"/>
  <c r="K11" i="2"/>
  <c r="K10" i="2"/>
  <c r="K9" i="2"/>
  <c r="K8" i="2"/>
  <c r="L7" i="2"/>
  <c r="K7" i="2"/>
  <c r="K34" i="1"/>
  <c r="K23" i="1"/>
  <c r="K24" i="1"/>
  <c r="J72" i="1"/>
  <c r="D73" i="1" s="1"/>
  <c r="K71" i="1"/>
  <c r="L70" i="1"/>
  <c r="K70" i="1"/>
  <c r="K69" i="1"/>
  <c r="K68" i="1"/>
  <c r="K59" i="1"/>
  <c r="F59" i="1"/>
  <c r="K58" i="1"/>
  <c r="K57" i="1"/>
  <c r="F57" i="1"/>
  <c r="E57" i="1"/>
  <c r="K56" i="1"/>
  <c r="K55" i="1"/>
  <c r="K54" i="1"/>
  <c r="K53" i="1"/>
  <c r="K50" i="1"/>
  <c r="K49" i="1"/>
  <c r="K48" i="1"/>
  <c r="K44" i="1"/>
  <c r="K43" i="1"/>
  <c r="K42" i="1"/>
  <c r="K41" i="1"/>
  <c r="K40" i="1"/>
  <c r="K22" i="1"/>
  <c r="K21" i="1"/>
  <c r="K20" i="1"/>
  <c r="K19" i="1"/>
  <c r="K18" i="1"/>
  <c r="K17" i="1"/>
  <c r="K14" i="1"/>
  <c r="K13" i="1"/>
  <c r="K12" i="1"/>
  <c r="K11" i="1"/>
  <c r="K10" i="1"/>
  <c r="K9" i="1"/>
  <c r="K8" i="1"/>
  <c r="L7" i="1"/>
  <c r="K7" i="1"/>
  <c r="L51" i="2" l="1"/>
  <c r="L71" i="1"/>
  <c r="L8" i="2"/>
  <c r="K52" i="2"/>
  <c r="L8" i="1"/>
  <c r="K72" i="1"/>
</calcChain>
</file>

<file path=xl/sharedStrings.xml><?xml version="1.0" encoding="utf-8"?>
<sst xmlns="http://schemas.openxmlformats.org/spreadsheetml/2006/main" count="22219" uniqueCount="7907">
  <si>
    <t>절 단 일 보</t>
    <phoneticPr fontId="4" type="noConversion"/>
  </si>
  <si>
    <t>절단일자:</t>
    <phoneticPr fontId="4" type="noConversion"/>
  </si>
  <si>
    <t>주문서
번   호</t>
    <phoneticPr fontId="4" type="noConversion"/>
  </si>
  <si>
    <t>거래처
(발주자)</t>
    <phoneticPr fontId="4" type="noConversion"/>
  </si>
  <si>
    <t>사용원판</t>
  </si>
  <si>
    <t>비 고</t>
  </si>
  <si>
    <t>두께</t>
    <phoneticPr fontId="4" type="noConversion"/>
  </si>
  <si>
    <t>품명</t>
    <phoneticPr fontId="4" type="noConversion"/>
  </si>
  <si>
    <t>수량</t>
    <phoneticPr fontId="4" type="noConversion"/>
  </si>
  <si>
    <t>㎡</t>
    <phoneticPr fontId="4" type="noConversion"/>
  </si>
  <si>
    <t>두께품명</t>
  </si>
  <si>
    <t>규 격(㎜)</t>
  </si>
  <si>
    <t>수량</t>
    <phoneticPr fontId="4" type="noConversion"/>
  </si>
  <si>
    <t>가로</t>
    <phoneticPr fontId="4" type="noConversion"/>
  </si>
  <si>
    <t>세로</t>
    <phoneticPr fontId="4" type="noConversion"/>
  </si>
  <si>
    <t>25-2886</t>
    <phoneticPr fontId="3" type="noConversion"/>
  </si>
  <si>
    <t>우미-울산</t>
    <phoneticPr fontId="3" type="noConversion"/>
  </si>
  <si>
    <t>5CL+5로이</t>
    <phoneticPr fontId="3" type="noConversion"/>
  </si>
  <si>
    <t>5CL</t>
    <phoneticPr fontId="3" type="noConversion"/>
  </si>
  <si>
    <t>5DURA MAX(비강화용)</t>
    <phoneticPr fontId="3" type="noConversion"/>
  </si>
  <si>
    <t>25-2806</t>
    <phoneticPr fontId="3" type="noConversion"/>
  </si>
  <si>
    <t>태영-부산</t>
    <phoneticPr fontId="3" type="noConversion"/>
  </si>
  <si>
    <t>25-2885</t>
    <phoneticPr fontId="3" type="noConversion"/>
  </si>
  <si>
    <t>5CL+5로이</t>
    <phoneticPr fontId="3" type="noConversion"/>
  </si>
  <si>
    <t>25-2990</t>
    <phoneticPr fontId="3" type="noConversion"/>
  </si>
  <si>
    <t>대우-청주테크노</t>
    <phoneticPr fontId="3" type="noConversion"/>
  </si>
  <si>
    <t>5ONE+5CL</t>
    <phoneticPr fontId="3" type="noConversion"/>
  </si>
  <si>
    <t>5ONE</t>
    <phoneticPr fontId="3" type="noConversion"/>
  </si>
  <si>
    <t>25-3033</t>
    <phoneticPr fontId="3" type="noConversion"/>
  </si>
  <si>
    <t>대보-행복도시</t>
    <phoneticPr fontId="3" type="noConversion"/>
  </si>
  <si>
    <t>5SKG144+ 5CLh/s</t>
    <phoneticPr fontId="3" type="noConversion"/>
  </si>
  <si>
    <t>오도시</t>
    <phoneticPr fontId="3" type="noConversion"/>
  </si>
  <si>
    <t>25-3037</t>
    <phoneticPr fontId="3" type="noConversion"/>
  </si>
  <si>
    <t>건협-충북사옥</t>
    <phoneticPr fontId="3" type="noConversion"/>
  </si>
  <si>
    <t>5BL+5ONE</t>
    <phoneticPr fontId="3" type="noConversion"/>
  </si>
  <si>
    <t>25-3013</t>
    <phoneticPr fontId="3" type="noConversion"/>
  </si>
  <si>
    <t>한라-군산</t>
    <phoneticPr fontId="3" type="noConversion"/>
  </si>
  <si>
    <t>5CLh/s+5로이</t>
    <phoneticPr fontId="3" type="noConversion"/>
  </si>
  <si>
    <t>5CLh/s+5로이h/s</t>
    <phoneticPr fontId="3" type="noConversion"/>
  </si>
  <si>
    <t>5DURA MAX</t>
    <phoneticPr fontId="3" type="noConversion"/>
  </si>
  <si>
    <t>5CLh/s+5로이h/s+5로이</t>
    <phoneticPr fontId="3" type="noConversion"/>
  </si>
  <si>
    <t>25-2784</t>
    <phoneticPr fontId="3" type="noConversion"/>
  </si>
  <si>
    <t>엘엑스-대우신영</t>
    <phoneticPr fontId="3" type="noConversion"/>
  </si>
  <si>
    <t>5SuperPlus2.0</t>
    <phoneticPr fontId="3" type="noConversion"/>
  </si>
  <si>
    <t>5CL+5SuperPlus2.0</t>
    <phoneticPr fontId="3" type="noConversion"/>
  </si>
  <si>
    <t>5newGN+5로이</t>
    <phoneticPr fontId="3" type="noConversion"/>
  </si>
  <si>
    <t>5DURA MAX</t>
    <phoneticPr fontId="3" type="noConversion"/>
  </si>
  <si>
    <t>로이재단 - 3번, 5번, 7~21번 재단</t>
    <phoneticPr fontId="3" type="noConversion"/>
  </si>
  <si>
    <t>5newGNh/s+5로이h/s</t>
    <phoneticPr fontId="3" type="noConversion"/>
  </si>
  <si>
    <t>5NX</t>
    <phoneticPr fontId="3" type="noConversion"/>
  </si>
  <si>
    <t>그린재단 - 1번, 2번, 4번, 5번</t>
    <phoneticPr fontId="3" type="noConversion"/>
  </si>
  <si>
    <t>로이재단 - 1번, 2번, 4번, 5번</t>
    <phoneticPr fontId="3" type="noConversion"/>
  </si>
  <si>
    <t>특기사항</t>
  </si>
  <si>
    <t>26-0002</t>
    <phoneticPr fontId="3" type="noConversion"/>
  </si>
  <si>
    <t>한일기업</t>
    <phoneticPr fontId="3" type="noConversion"/>
  </si>
  <si>
    <t>5SKN154IIH/S+5CL</t>
    <phoneticPr fontId="3" type="noConversion"/>
  </si>
  <si>
    <t>5SKN154II</t>
    <phoneticPr fontId="3" type="noConversion"/>
  </si>
  <si>
    <t>야간</t>
    <phoneticPr fontId="3" type="noConversion"/>
  </si>
  <si>
    <t>25-3029</t>
    <phoneticPr fontId="3" type="noConversion"/>
  </si>
  <si>
    <t>케이씨씨-오송</t>
    <phoneticPr fontId="3" type="noConversion"/>
  </si>
  <si>
    <t>5NX+5로이</t>
    <phoneticPr fontId="3" type="noConversion"/>
  </si>
  <si>
    <t>5NX</t>
    <phoneticPr fontId="3" type="noConversion"/>
  </si>
  <si>
    <t>5마스터원</t>
    <phoneticPr fontId="3" type="noConversion"/>
  </si>
  <si>
    <t>25-3029</t>
    <phoneticPr fontId="3" type="noConversion"/>
  </si>
  <si>
    <t>케이씨씨-오송</t>
    <phoneticPr fontId="3" type="noConversion"/>
  </si>
  <si>
    <t>25-3032</t>
    <phoneticPr fontId="3" type="noConversion"/>
  </si>
  <si>
    <t>5투명H/S+5로이</t>
    <phoneticPr fontId="3" type="noConversion"/>
  </si>
  <si>
    <t>25-3030</t>
    <phoneticPr fontId="3" type="noConversion"/>
  </si>
  <si>
    <t>금호-성남</t>
    <phoneticPr fontId="3" type="noConversion"/>
  </si>
  <si>
    <t>5NX+5로이</t>
    <phoneticPr fontId="3" type="noConversion"/>
  </si>
  <si>
    <t>5PLTDURA+</t>
    <phoneticPr fontId="3" type="noConversion"/>
  </si>
  <si>
    <t>26-0001</t>
    <phoneticPr fontId="3" type="noConversion"/>
  </si>
  <si>
    <t>동양유리.샤시</t>
    <phoneticPr fontId="3" type="noConversion"/>
  </si>
  <si>
    <t>5NX+5DURA MAX</t>
    <phoneticPr fontId="3" type="noConversion"/>
  </si>
  <si>
    <t>5ML+5CL</t>
    <phoneticPr fontId="3" type="noConversion"/>
  </si>
  <si>
    <t>5ML</t>
    <phoneticPr fontId="3" type="noConversion"/>
  </si>
  <si>
    <t>25-3034</t>
    <phoneticPr fontId="3" type="noConversion"/>
  </si>
  <si>
    <t>한양-인천청라</t>
    <phoneticPr fontId="3" type="noConversion"/>
  </si>
  <si>
    <t>5CL+5CL</t>
    <phoneticPr fontId="3" type="noConversion"/>
  </si>
  <si>
    <t>8.76+5CL</t>
    <phoneticPr fontId="3" type="noConversion"/>
  </si>
  <si>
    <t>5CL</t>
    <phoneticPr fontId="3" type="noConversion"/>
  </si>
  <si>
    <t>25-3031</t>
    <phoneticPr fontId="3" type="noConversion"/>
  </si>
  <si>
    <t>현대-청주고속터미널</t>
    <phoneticPr fontId="3" type="noConversion"/>
  </si>
  <si>
    <t>5CLH/S+5로이H/S</t>
    <phoneticPr fontId="3" type="noConversion"/>
  </si>
  <si>
    <t>5CL+5로이</t>
    <phoneticPr fontId="3" type="noConversion"/>
  </si>
  <si>
    <t>(5CLH/S+5CLH/S)+5로이</t>
    <phoneticPr fontId="3" type="noConversion"/>
  </si>
  <si>
    <t>5CL</t>
    <phoneticPr fontId="3" type="noConversion"/>
  </si>
  <si>
    <t>25-3025</t>
    <phoneticPr fontId="3" type="noConversion"/>
  </si>
  <si>
    <t>포스코-아산탕정</t>
    <phoneticPr fontId="3" type="noConversion"/>
  </si>
  <si>
    <t>5SKN154+5CL</t>
    <phoneticPr fontId="3" type="noConversion"/>
  </si>
  <si>
    <t>5CL</t>
    <phoneticPr fontId="3" type="noConversion"/>
  </si>
  <si>
    <t>5SKN154</t>
    <phoneticPr fontId="3" type="noConversion"/>
  </si>
  <si>
    <t>25-3028</t>
    <phoneticPr fontId="3" type="noConversion"/>
  </si>
  <si>
    <t>25-3026</t>
    <phoneticPr fontId="3" type="noConversion"/>
  </si>
  <si>
    <t>25-3027</t>
    <phoneticPr fontId="3" type="noConversion"/>
  </si>
  <si>
    <t>25-3035</t>
    <phoneticPr fontId="3" type="noConversion"/>
  </si>
  <si>
    <t>25-3036</t>
    <phoneticPr fontId="3" type="noConversion"/>
  </si>
  <si>
    <t>계룡-원주</t>
    <phoneticPr fontId="3" type="noConversion"/>
  </si>
  <si>
    <t>5SKN154IIH/S+5CL</t>
    <phoneticPr fontId="3" type="noConversion"/>
  </si>
  <si>
    <t>5CL</t>
    <phoneticPr fontId="3" type="noConversion"/>
  </si>
  <si>
    <t>투명재단</t>
    <phoneticPr fontId="3" type="noConversion"/>
  </si>
  <si>
    <t>투명재단</t>
    <phoneticPr fontId="3" type="noConversion"/>
  </si>
  <si>
    <t>계룡-원주의료원</t>
    <phoneticPr fontId="3" type="noConversion"/>
  </si>
  <si>
    <t>25-3035</t>
    <phoneticPr fontId="3" type="noConversion"/>
  </si>
  <si>
    <t>25-3036</t>
    <phoneticPr fontId="3" type="noConversion"/>
  </si>
  <si>
    <t>5SKN154II</t>
    <phoneticPr fontId="3" type="noConversion"/>
  </si>
  <si>
    <t>로이재단</t>
    <phoneticPr fontId="3" type="noConversion"/>
  </si>
  <si>
    <t>25-2887</t>
    <phoneticPr fontId="3" type="noConversion"/>
  </si>
  <si>
    <t>5NX</t>
    <phoneticPr fontId="3" type="noConversion"/>
  </si>
  <si>
    <t>25-3008</t>
    <phoneticPr fontId="3" type="noConversion"/>
  </si>
  <si>
    <t>동성-태성</t>
    <phoneticPr fontId="3" type="noConversion"/>
  </si>
  <si>
    <t>5SKN154IIH/S+5CL</t>
    <phoneticPr fontId="3" type="noConversion"/>
  </si>
  <si>
    <t>5SKN154II</t>
    <phoneticPr fontId="3" type="noConversion"/>
  </si>
  <si>
    <t>25-3006</t>
    <phoneticPr fontId="3" type="noConversion"/>
  </si>
  <si>
    <t>원판하차 및 원판정리</t>
    <phoneticPr fontId="3" type="noConversion"/>
  </si>
  <si>
    <t>25-3007</t>
    <phoneticPr fontId="3" type="noConversion"/>
  </si>
  <si>
    <t>25-2888</t>
    <phoneticPr fontId="3" type="noConversion"/>
  </si>
  <si>
    <t>25-3009</t>
    <phoneticPr fontId="3" type="noConversion"/>
  </si>
  <si>
    <t>로이재단 1번-7번재단</t>
    <phoneticPr fontId="3" type="noConversion"/>
  </si>
  <si>
    <t>10.76투명접합+5SuperPlus2.0</t>
    <phoneticPr fontId="3" type="noConversion"/>
  </si>
  <si>
    <t>25-2996</t>
    <phoneticPr fontId="3" type="noConversion"/>
  </si>
  <si>
    <t>5CLH/S</t>
    <phoneticPr fontId="3" type="noConversion"/>
  </si>
  <si>
    <t>25-2995</t>
    <phoneticPr fontId="3" type="noConversion"/>
  </si>
  <si>
    <t>25-2994</t>
    <phoneticPr fontId="3" type="noConversion"/>
  </si>
  <si>
    <t>25-2993</t>
    <phoneticPr fontId="3" type="noConversion"/>
  </si>
  <si>
    <t>25-2992</t>
    <phoneticPr fontId="3" type="noConversion"/>
  </si>
  <si>
    <t>25-2991</t>
    <phoneticPr fontId="3" type="noConversion"/>
  </si>
  <si>
    <t>26-0009</t>
    <phoneticPr fontId="3" type="noConversion"/>
  </si>
  <si>
    <t>강남유리</t>
    <phoneticPr fontId="3" type="noConversion"/>
  </si>
  <si>
    <t>26-0003</t>
    <phoneticPr fontId="3" type="noConversion"/>
  </si>
  <si>
    <t>로이재단 2번~6번, 8~16번 재단</t>
    <phoneticPr fontId="3" type="noConversion"/>
  </si>
  <si>
    <t>26-0008</t>
    <phoneticPr fontId="3" type="noConversion"/>
  </si>
  <si>
    <t>현대샷시</t>
    <phoneticPr fontId="3" type="noConversion"/>
  </si>
  <si>
    <t>6newGN+5CL</t>
    <phoneticPr fontId="3" type="noConversion"/>
  </si>
  <si>
    <t>6NX</t>
    <phoneticPr fontId="3" type="noConversion"/>
  </si>
  <si>
    <t>5CL</t>
    <phoneticPr fontId="3" type="noConversion"/>
  </si>
  <si>
    <t>26-0004</t>
    <phoneticPr fontId="3" type="noConversion"/>
  </si>
  <si>
    <t>한양-인천</t>
    <phoneticPr fontId="3" type="noConversion"/>
  </si>
  <si>
    <t>5CL+5로이</t>
    <phoneticPr fontId="3" type="noConversion"/>
  </si>
  <si>
    <t>오도시</t>
    <phoneticPr fontId="3" type="noConversion"/>
  </si>
  <si>
    <t>25-2998</t>
    <phoneticPr fontId="3" type="noConversion"/>
  </si>
  <si>
    <t>대우-청주테크노</t>
    <phoneticPr fontId="3" type="noConversion"/>
  </si>
  <si>
    <t>5CLH/S</t>
    <phoneticPr fontId="3" type="noConversion"/>
  </si>
  <si>
    <t>25-2997</t>
    <phoneticPr fontId="3" type="noConversion"/>
  </si>
  <si>
    <t>25-2702</t>
    <phoneticPr fontId="3" type="noConversion"/>
  </si>
  <si>
    <t>제일-인천</t>
    <phoneticPr fontId="3" type="noConversion"/>
  </si>
  <si>
    <t>5newGNH/S+5로이H/S</t>
    <phoneticPr fontId="3" type="noConversion"/>
  </si>
  <si>
    <t>5newGN+5로이</t>
    <phoneticPr fontId="3" type="noConversion"/>
  </si>
  <si>
    <t>5NX</t>
    <phoneticPr fontId="3" type="noConversion"/>
  </si>
  <si>
    <t>5마스터원</t>
    <phoneticPr fontId="3" type="noConversion"/>
  </si>
  <si>
    <t>2번 15조 중 2조 재단</t>
    <phoneticPr fontId="3" type="noConversion"/>
  </si>
  <si>
    <t>25-2701</t>
    <phoneticPr fontId="3" type="noConversion"/>
  </si>
  <si>
    <t>25-2705</t>
    <phoneticPr fontId="3" type="noConversion"/>
  </si>
  <si>
    <t>5DURA MAX(비강화용)</t>
    <phoneticPr fontId="3" type="noConversion"/>
  </si>
  <si>
    <t>로이재단</t>
    <phoneticPr fontId="3" type="noConversion"/>
  </si>
  <si>
    <t>야간</t>
    <phoneticPr fontId="3" type="noConversion"/>
  </si>
  <si>
    <t>26-0011</t>
    <phoneticPr fontId="3" type="noConversion"/>
  </si>
  <si>
    <t>동성-태성</t>
    <phoneticPr fontId="3" type="noConversion"/>
  </si>
  <si>
    <t>5SKN154IIH/S+5CL</t>
    <phoneticPr fontId="3" type="noConversion"/>
  </si>
  <si>
    <t>26-0007</t>
    <phoneticPr fontId="3" type="noConversion"/>
  </si>
  <si>
    <t>대한건설협회충청북도회</t>
    <phoneticPr fontId="3" type="noConversion"/>
  </si>
  <si>
    <t>5BL+5ONE</t>
    <phoneticPr fontId="3" type="noConversion"/>
  </si>
  <si>
    <t>26-0010</t>
    <phoneticPr fontId="3" type="noConversion"/>
  </si>
  <si>
    <t>한일기업</t>
    <phoneticPr fontId="3" type="noConversion"/>
  </si>
  <si>
    <t>5SKN154+5CL</t>
    <phoneticPr fontId="3" type="noConversion"/>
  </si>
  <si>
    <t>5SKN154</t>
    <phoneticPr fontId="3" type="noConversion"/>
  </si>
  <si>
    <t>투명 오도시 재단</t>
    <phoneticPr fontId="3" type="noConversion"/>
  </si>
  <si>
    <t>25-3002</t>
    <phoneticPr fontId="3" type="noConversion"/>
  </si>
  <si>
    <t>현산-신월</t>
    <phoneticPr fontId="3" type="noConversion"/>
  </si>
  <si>
    <t>5ONE+5ONE</t>
    <phoneticPr fontId="3" type="noConversion"/>
  </si>
  <si>
    <t>5PLAONE</t>
    <phoneticPr fontId="3" type="noConversion"/>
  </si>
  <si>
    <t>25-3003</t>
    <phoneticPr fontId="3" type="noConversion"/>
  </si>
  <si>
    <t>25-3002, 3003 같이재단</t>
    <phoneticPr fontId="3" type="noConversion"/>
  </si>
  <si>
    <t>25-3002, 3003 같이재단 - 24번 재단</t>
    <phoneticPr fontId="3" type="noConversion"/>
  </si>
  <si>
    <t>25-3001</t>
    <phoneticPr fontId="3" type="noConversion"/>
  </si>
  <si>
    <t>6ONE+6ONE</t>
    <phoneticPr fontId="3" type="noConversion"/>
  </si>
  <si>
    <t>6PLAONE</t>
    <phoneticPr fontId="3" type="noConversion"/>
  </si>
  <si>
    <t>1~23번, 25~27번 재단</t>
    <phoneticPr fontId="3" type="noConversion"/>
  </si>
  <si>
    <t>25-2705</t>
    <phoneticPr fontId="3" type="noConversion"/>
  </si>
  <si>
    <t>5CL</t>
    <phoneticPr fontId="3" type="noConversion"/>
  </si>
  <si>
    <t>투명재단</t>
    <phoneticPr fontId="3" type="noConversion"/>
  </si>
  <si>
    <t>25-2706</t>
    <phoneticPr fontId="3" type="noConversion"/>
  </si>
  <si>
    <t>로이재단</t>
    <phoneticPr fontId="3" type="noConversion"/>
  </si>
  <si>
    <t>5NX</t>
    <phoneticPr fontId="3" type="noConversion"/>
  </si>
  <si>
    <t>그린재단 - 1~3번, 7번 재단</t>
    <phoneticPr fontId="3" type="noConversion"/>
  </si>
  <si>
    <t>야간</t>
    <phoneticPr fontId="3" type="noConversion"/>
  </si>
  <si>
    <t>26-0006</t>
    <phoneticPr fontId="3" type="noConversion"/>
  </si>
  <si>
    <t>씨제이-오리온</t>
    <phoneticPr fontId="3" type="noConversion"/>
  </si>
  <si>
    <t>6SKS142IIH/S+6CLH/S</t>
    <phoneticPr fontId="3" type="noConversion"/>
  </si>
  <si>
    <t>6CL</t>
    <phoneticPr fontId="3" type="noConversion"/>
  </si>
  <si>
    <t>26-0016</t>
    <phoneticPr fontId="3" type="noConversion"/>
  </si>
  <si>
    <t>다솔산업</t>
    <phoneticPr fontId="3" type="noConversion"/>
  </si>
  <si>
    <t>5투명+5투명</t>
    <phoneticPr fontId="3" type="noConversion"/>
  </si>
  <si>
    <t>25-0013</t>
    <phoneticPr fontId="3" type="noConversion"/>
  </si>
  <si>
    <t>계룡-오뚜기</t>
    <phoneticPr fontId="3" type="noConversion"/>
  </si>
  <si>
    <t>5SKG149TH/S+5CLH/S</t>
    <phoneticPr fontId="3" type="noConversion"/>
  </si>
  <si>
    <t>6SKG149TH/S+6CLH/S</t>
    <phoneticPr fontId="3" type="noConversion"/>
  </si>
  <si>
    <t>투명재단 - 오도시</t>
    <phoneticPr fontId="3" type="noConversion"/>
  </si>
  <si>
    <t>25-0022</t>
    <phoneticPr fontId="3" type="noConversion"/>
  </si>
  <si>
    <t>5newGN+5CL</t>
    <phoneticPr fontId="3" type="noConversion"/>
  </si>
  <si>
    <t>26-0024</t>
    <phoneticPr fontId="3" type="noConversion"/>
  </si>
  <si>
    <t>정원-사천동</t>
    <phoneticPr fontId="3" type="noConversion"/>
  </si>
  <si>
    <t>그린재단</t>
    <phoneticPr fontId="3" type="noConversion"/>
  </si>
  <si>
    <t>25-3012</t>
    <phoneticPr fontId="3" type="noConversion"/>
  </si>
  <si>
    <t>신동아-하나은행</t>
    <phoneticPr fontId="3" type="noConversion"/>
  </si>
  <si>
    <t>6SKN176IIH/S+6CL</t>
    <phoneticPr fontId="3" type="noConversion"/>
  </si>
  <si>
    <t>6SKN176II</t>
    <phoneticPr fontId="3" type="noConversion"/>
  </si>
  <si>
    <t>26-0019</t>
    <phoneticPr fontId="3" type="noConversion"/>
  </si>
  <si>
    <t>5SKN154+5CL+5CL이형</t>
    <phoneticPr fontId="3" type="noConversion"/>
  </si>
  <si>
    <t>6SKS142II</t>
    <phoneticPr fontId="3" type="noConversion"/>
  </si>
  <si>
    <t>26-0013</t>
    <phoneticPr fontId="3" type="noConversion"/>
  </si>
  <si>
    <t>5SKG149T</t>
    <phoneticPr fontId="3" type="noConversion"/>
  </si>
  <si>
    <t>로이재단 - 강화불량 25-3009, 3007, 3006 같이재단</t>
    <phoneticPr fontId="3" type="noConversion"/>
  </si>
  <si>
    <t>26-0012</t>
    <phoneticPr fontId="3" type="noConversion"/>
  </si>
  <si>
    <t>엘엑스-대우</t>
    <phoneticPr fontId="3" type="noConversion"/>
  </si>
  <si>
    <t>5CL+5SUPERPLUS2.0</t>
    <phoneticPr fontId="3" type="noConversion"/>
  </si>
  <si>
    <t>5SUPERPLUS2.0</t>
    <phoneticPr fontId="3" type="noConversion"/>
  </si>
  <si>
    <t>25-3020</t>
    <phoneticPr fontId="3" type="noConversion"/>
  </si>
  <si>
    <t>현산-광주</t>
    <phoneticPr fontId="3" type="noConversion"/>
  </si>
  <si>
    <t>5투명</t>
    <phoneticPr fontId="3" type="noConversion"/>
  </si>
  <si>
    <t>5CL</t>
    <phoneticPr fontId="3" type="noConversion"/>
  </si>
  <si>
    <t>25-2702</t>
    <phoneticPr fontId="3" type="noConversion"/>
  </si>
  <si>
    <t>제일-인천</t>
    <phoneticPr fontId="3" type="noConversion"/>
  </si>
  <si>
    <t>5CL+5로이</t>
    <phoneticPr fontId="3" type="noConversion"/>
  </si>
  <si>
    <t>로이재단</t>
    <phoneticPr fontId="3" type="noConversion"/>
  </si>
  <si>
    <t>25-2818</t>
    <phoneticPr fontId="3" type="noConversion"/>
  </si>
  <si>
    <t>태영-부산</t>
    <phoneticPr fontId="3" type="noConversion"/>
  </si>
  <si>
    <t>(4CL+4CL)+5로이</t>
    <phoneticPr fontId="3" type="noConversion"/>
  </si>
  <si>
    <t>5CLH/S+5로이</t>
    <phoneticPr fontId="3" type="noConversion"/>
  </si>
  <si>
    <t>투명재단</t>
    <phoneticPr fontId="3" type="noConversion"/>
  </si>
  <si>
    <t>투명, 로이재단</t>
    <phoneticPr fontId="3" type="noConversion"/>
  </si>
  <si>
    <t>25-2817</t>
    <phoneticPr fontId="3" type="noConversion"/>
  </si>
  <si>
    <t>25-2816</t>
    <phoneticPr fontId="3" type="noConversion"/>
  </si>
  <si>
    <t>야간</t>
    <phoneticPr fontId="3" type="noConversion"/>
  </si>
  <si>
    <t>25-3003</t>
    <phoneticPr fontId="3" type="noConversion"/>
  </si>
  <si>
    <t>현대-신월</t>
    <phoneticPr fontId="3" type="noConversion"/>
  </si>
  <si>
    <t>5ONE+5ONE</t>
    <phoneticPr fontId="3" type="noConversion"/>
  </si>
  <si>
    <t>5PLAONE</t>
    <phoneticPr fontId="3" type="noConversion"/>
  </si>
  <si>
    <t>생산파손</t>
    <phoneticPr fontId="3" type="noConversion"/>
  </si>
  <si>
    <t>26-0020</t>
    <phoneticPr fontId="3" type="noConversion"/>
  </si>
  <si>
    <t>동성-태성</t>
    <phoneticPr fontId="3" type="noConversion"/>
  </si>
  <si>
    <t>5SKN154IIH/S+5CL</t>
    <phoneticPr fontId="3" type="noConversion"/>
  </si>
  <si>
    <t>오도시</t>
    <phoneticPr fontId="3" type="noConversion"/>
  </si>
  <si>
    <t>25-2395</t>
    <phoneticPr fontId="3" type="noConversion"/>
  </si>
  <si>
    <t>씨제이-오리온</t>
    <phoneticPr fontId="3" type="noConversion"/>
  </si>
  <si>
    <t>6SKN076IIH/S+6DIH/S</t>
    <phoneticPr fontId="3" type="noConversion"/>
  </si>
  <si>
    <t>6디아망</t>
    <phoneticPr fontId="3" type="noConversion"/>
  </si>
  <si>
    <t>디아망 재단</t>
    <phoneticPr fontId="3" type="noConversion"/>
  </si>
  <si>
    <t>25-2391</t>
    <phoneticPr fontId="3" type="noConversion"/>
  </si>
  <si>
    <t>25-2392</t>
    <phoneticPr fontId="3" type="noConversion"/>
  </si>
  <si>
    <t>디아망 재단 - 25-2391, 2392 같이재단</t>
    <phoneticPr fontId="3" type="noConversion"/>
  </si>
  <si>
    <t>25-2388</t>
    <phoneticPr fontId="3" type="noConversion"/>
  </si>
  <si>
    <t>25-2389</t>
    <phoneticPr fontId="3" type="noConversion"/>
  </si>
  <si>
    <t>디아망 재단 - 25-2388, 2389 같이재단</t>
    <phoneticPr fontId="3" type="noConversion"/>
  </si>
  <si>
    <t>25-2889</t>
    <phoneticPr fontId="3" type="noConversion"/>
  </si>
  <si>
    <t>우미-울산</t>
    <phoneticPr fontId="3" type="noConversion"/>
  </si>
  <si>
    <t>5newGN+5로이</t>
    <phoneticPr fontId="3" type="noConversion"/>
  </si>
  <si>
    <t>5NX</t>
    <phoneticPr fontId="3" type="noConversion"/>
  </si>
  <si>
    <t>5DURA MAX(비강화용)</t>
    <phoneticPr fontId="3" type="noConversion"/>
  </si>
  <si>
    <t>투명재단 - 1~3번, 5번 78조 중 21조 재단, 6번 재단</t>
    <phoneticPr fontId="3" type="noConversion"/>
  </si>
  <si>
    <t xml:space="preserve">투명재단 - 4번, 5번 78조 중 57조 재단 </t>
    <phoneticPr fontId="3" type="noConversion"/>
  </si>
  <si>
    <t>로이재단</t>
    <phoneticPr fontId="3" type="noConversion"/>
  </si>
  <si>
    <t>5CL+5로이</t>
    <phoneticPr fontId="3" type="noConversion"/>
  </si>
  <si>
    <t>25-2818</t>
    <phoneticPr fontId="3" type="noConversion"/>
  </si>
  <si>
    <t>25-2535</t>
    <phoneticPr fontId="3" type="noConversion"/>
  </si>
  <si>
    <t>디아망 재단</t>
    <phoneticPr fontId="3" type="noConversion"/>
  </si>
  <si>
    <t>25-2396</t>
    <phoneticPr fontId="3" type="noConversion"/>
  </si>
  <si>
    <t>25-2538</t>
    <phoneticPr fontId="3" type="noConversion"/>
  </si>
  <si>
    <t>25-2536</t>
    <phoneticPr fontId="3" type="noConversion"/>
  </si>
  <si>
    <t>25-2893</t>
    <phoneticPr fontId="3" type="noConversion"/>
  </si>
  <si>
    <t>5NX</t>
    <phoneticPr fontId="3" type="noConversion"/>
  </si>
  <si>
    <t>그린, 로이 재단</t>
    <phoneticPr fontId="3" type="noConversion"/>
  </si>
  <si>
    <t>8.76투명접합+5로이H/S+5로이</t>
    <phoneticPr fontId="3" type="noConversion"/>
  </si>
  <si>
    <t>비강화용 로이재단</t>
    <phoneticPr fontId="3" type="noConversion"/>
  </si>
  <si>
    <t>5CL</t>
    <phoneticPr fontId="3" type="noConversion"/>
  </si>
  <si>
    <t>26-0005</t>
    <phoneticPr fontId="3" type="noConversion"/>
  </si>
  <si>
    <t>8투명강화</t>
    <phoneticPr fontId="3" type="noConversion"/>
  </si>
  <si>
    <t>26-0056</t>
    <phoneticPr fontId="3" type="noConversion"/>
  </si>
  <si>
    <t>남영유리</t>
    <phoneticPr fontId="3" type="noConversion"/>
  </si>
  <si>
    <t>5CLH/S+5CLH/S</t>
    <phoneticPr fontId="3" type="noConversion"/>
  </si>
  <si>
    <t>25-0021</t>
    <phoneticPr fontId="3" type="noConversion"/>
  </si>
  <si>
    <t>현대-원자력</t>
    <phoneticPr fontId="3" type="noConversion"/>
  </si>
  <si>
    <t>5DURA MAXH/S+5CLH/S</t>
    <phoneticPr fontId="3" type="noConversion"/>
  </si>
  <si>
    <t>5MCT154H/S+5CLH/S</t>
    <phoneticPr fontId="3" type="noConversion"/>
  </si>
  <si>
    <t>26-0005, 26-0056, 26-0021 같이재단</t>
    <phoneticPr fontId="3" type="noConversion"/>
  </si>
  <si>
    <t>로이 오도시 재단 - 26-0005, 26-0056, 26-0021 같이재단</t>
    <phoneticPr fontId="3" type="noConversion"/>
  </si>
  <si>
    <t>5DURA MAX</t>
  </si>
  <si>
    <t>26-0053</t>
    <phoneticPr fontId="3" type="noConversion"/>
  </si>
  <si>
    <t>대건-형석고</t>
    <phoneticPr fontId="3" type="noConversion"/>
  </si>
  <si>
    <t>5MZT152H/S+5CL</t>
    <phoneticPr fontId="3" type="noConversion"/>
  </si>
  <si>
    <t>26-0054</t>
    <phoneticPr fontId="3" type="noConversion"/>
  </si>
  <si>
    <t>5MZT152</t>
    <phoneticPr fontId="3" type="noConversion"/>
  </si>
  <si>
    <t>로이재단 - 26-0053, 0054 같이재단</t>
    <phoneticPr fontId="3" type="noConversion"/>
  </si>
  <si>
    <t>26-0038</t>
    <phoneticPr fontId="3" type="noConversion"/>
  </si>
  <si>
    <t>25-2892</t>
    <phoneticPr fontId="3" type="noConversion"/>
  </si>
  <si>
    <t>26-0058</t>
    <phoneticPr fontId="3" type="noConversion"/>
  </si>
  <si>
    <t>신정암-한빛교회</t>
    <phoneticPr fontId="3" type="noConversion"/>
  </si>
  <si>
    <t>강화불량 - 25-2886, 25-2892 같이재단</t>
    <phoneticPr fontId="3" type="noConversion"/>
  </si>
  <si>
    <t>25-2886, 25-2892 2번, 3번 10조 중 2조 같이재단</t>
    <phoneticPr fontId="3" type="noConversion"/>
  </si>
  <si>
    <t>26-0055</t>
    <phoneticPr fontId="3" type="noConversion"/>
  </si>
  <si>
    <t>25-2990</t>
    <phoneticPr fontId="3" type="noConversion"/>
  </si>
  <si>
    <t>대우-청주테크노</t>
    <phoneticPr fontId="3" type="noConversion"/>
  </si>
  <si>
    <t>투명</t>
    <phoneticPr fontId="3" type="noConversion"/>
  </si>
  <si>
    <t>5CL</t>
    <phoneticPr fontId="3" type="noConversion"/>
  </si>
  <si>
    <t>투명재단 - 26-0053, 0054 같이재단</t>
    <phoneticPr fontId="3" type="noConversion"/>
  </si>
  <si>
    <t>25-2941</t>
    <phoneticPr fontId="3" type="noConversion"/>
  </si>
  <si>
    <t>정석-청주테크노</t>
    <phoneticPr fontId="3" type="noConversion"/>
  </si>
  <si>
    <t>5newGN+5DURA MAX</t>
    <phoneticPr fontId="3" type="noConversion"/>
  </si>
  <si>
    <t>5NX</t>
    <phoneticPr fontId="3" type="noConversion"/>
  </si>
  <si>
    <t>그린재단 - 정석개발 원판사용</t>
    <phoneticPr fontId="3" type="noConversion"/>
  </si>
  <si>
    <t>엘엑스-대우</t>
    <phoneticPr fontId="3" type="noConversion"/>
  </si>
  <si>
    <t>10.76투명접합+5SUPERPLUS2.0</t>
    <phoneticPr fontId="3" type="noConversion"/>
  </si>
  <si>
    <t>5SUPERPLUS2.0</t>
    <phoneticPr fontId="3" type="noConversion"/>
  </si>
  <si>
    <t>25-2894</t>
    <phoneticPr fontId="3" type="noConversion"/>
  </si>
  <si>
    <t>우미-울산</t>
    <phoneticPr fontId="3" type="noConversion"/>
  </si>
  <si>
    <t>5newGN+5로이</t>
    <phoneticPr fontId="3" type="noConversion"/>
  </si>
  <si>
    <t>5CL+5로이</t>
    <phoneticPr fontId="3" type="noConversion"/>
  </si>
  <si>
    <t>5DURA MAX(비강화용)</t>
    <phoneticPr fontId="3" type="noConversion"/>
  </si>
  <si>
    <t>그린,로이 재단</t>
    <phoneticPr fontId="3" type="noConversion"/>
  </si>
  <si>
    <t>깅화 로이재단 - 25-2816, 2817, 2818 같이재단</t>
    <phoneticPr fontId="3" type="noConversion"/>
  </si>
  <si>
    <t>5CL+5DURA MAX</t>
    <phoneticPr fontId="3" type="noConversion"/>
  </si>
  <si>
    <t>정석개발 원판 사용</t>
    <phoneticPr fontId="3" type="noConversion"/>
  </si>
  <si>
    <t>25-2942</t>
    <phoneticPr fontId="3" type="noConversion"/>
  </si>
  <si>
    <t>25-2840</t>
    <phoneticPr fontId="3" type="noConversion"/>
  </si>
  <si>
    <t>25-2799</t>
    <phoneticPr fontId="3" type="noConversion"/>
  </si>
  <si>
    <t>디아망 재단 - 25-2840, 2799 같이재단</t>
    <phoneticPr fontId="3" type="noConversion"/>
  </si>
  <si>
    <t>25-2798</t>
    <phoneticPr fontId="3" type="noConversion"/>
  </si>
  <si>
    <t>25-2839</t>
    <phoneticPr fontId="3" type="noConversion"/>
  </si>
  <si>
    <t>디아망 재단 - 25-2798, 2839 같이재단</t>
    <phoneticPr fontId="3" type="noConversion"/>
  </si>
  <si>
    <t>25-2861</t>
    <phoneticPr fontId="3" type="noConversion"/>
  </si>
  <si>
    <t>25-2730</t>
    <phoneticPr fontId="3" type="noConversion"/>
  </si>
  <si>
    <t>디아망 재단 - 25-2861, 2730 같이재단</t>
    <phoneticPr fontId="3" type="noConversion"/>
  </si>
  <si>
    <t>25-2539</t>
    <phoneticPr fontId="3" type="noConversion"/>
  </si>
  <si>
    <t>26-0060</t>
    <phoneticPr fontId="3" type="noConversion"/>
  </si>
  <si>
    <t>26-0059</t>
    <phoneticPr fontId="3" type="noConversion"/>
  </si>
  <si>
    <t>대한건설협회-충청북도회사옥</t>
    <phoneticPr fontId="3" type="noConversion"/>
  </si>
  <si>
    <t>5BL</t>
    <phoneticPr fontId="3" type="noConversion"/>
  </si>
  <si>
    <t>로이 오도시 재단</t>
    <phoneticPr fontId="3" type="noConversion"/>
  </si>
  <si>
    <t>26-0025</t>
    <phoneticPr fontId="3" type="noConversion"/>
  </si>
  <si>
    <t>6SKS142IIH/S+6스펜드럴H/S</t>
    <phoneticPr fontId="3" type="noConversion"/>
  </si>
  <si>
    <t>26-0023</t>
    <phoneticPr fontId="3" type="noConversion"/>
  </si>
  <si>
    <t>포스코-양산사송</t>
    <phoneticPr fontId="3" type="noConversion"/>
  </si>
  <si>
    <t>26-0057</t>
    <phoneticPr fontId="3" type="noConversion"/>
  </si>
  <si>
    <t>미도사</t>
    <phoneticPr fontId="3" type="noConversion"/>
  </si>
  <si>
    <t>6SKS142II+5CL</t>
    <phoneticPr fontId="3" type="noConversion"/>
  </si>
  <si>
    <t>투명재단 - 오도시 강화불량</t>
    <phoneticPr fontId="3" type="noConversion"/>
  </si>
  <si>
    <t>로이재단 - 오도시 강화불량</t>
    <phoneticPr fontId="3" type="noConversion"/>
  </si>
  <si>
    <t>25-2710</t>
    <phoneticPr fontId="3" type="noConversion"/>
  </si>
  <si>
    <t>25-2704</t>
    <phoneticPr fontId="3" type="noConversion"/>
  </si>
  <si>
    <t>25-2703</t>
    <phoneticPr fontId="3" type="noConversion"/>
  </si>
  <si>
    <t>25-2709</t>
    <phoneticPr fontId="3" type="noConversion"/>
  </si>
  <si>
    <t>26-0017</t>
    <phoneticPr fontId="3" type="noConversion"/>
  </si>
  <si>
    <t>한라-월명공원</t>
    <phoneticPr fontId="3" type="noConversion"/>
  </si>
  <si>
    <t>정석개발-청주테크노</t>
    <phoneticPr fontId="3" type="noConversion"/>
  </si>
  <si>
    <t>투명재단 14~16번, 20번 재단- 정석개발 원판 사용</t>
    <phoneticPr fontId="3" type="noConversion"/>
  </si>
  <si>
    <t>로이재단 - 정석개발 원판사용</t>
    <phoneticPr fontId="3" type="noConversion"/>
  </si>
  <si>
    <t>투명재단 17~19번, 21~24번 재단- 정석개발 원판 사용</t>
    <phoneticPr fontId="3" type="noConversion"/>
  </si>
  <si>
    <t>25-2939</t>
    <phoneticPr fontId="3" type="noConversion"/>
  </si>
  <si>
    <t>그린재단 - 2번, 3번 40조 중 30조 재단</t>
    <phoneticPr fontId="3" type="noConversion"/>
  </si>
  <si>
    <t>투명재단 - 강화불량 25-2817, 26-0013 같이재단</t>
    <phoneticPr fontId="3" type="noConversion"/>
  </si>
  <si>
    <t>미재단</t>
    <phoneticPr fontId="3" type="noConversion"/>
  </si>
  <si>
    <t>복층2라인 마크오류</t>
    <phoneticPr fontId="3" type="noConversion"/>
  </si>
  <si>
    <t>26-0034</t>
    <phoneticPr fontId="3" type="noConversion"/>
  </si>
  <si>
    <t>한우창호</t>
    <phoneticPr fontId="3" type="noConversion"/>
  </si>
  <si>
    <t>5DURA MAXH/S+5CLH/S+5DURA MAXH/S</t>
    <phoneticPr fontId="3" type="noConversion"/>
  </si>
  <si>
    <t>5CL</t>
    <phoneticPr fontId="3" type="noConversion"/>
  </si>
  <si>
    <t>25-2895</t>
    <phoneticPr fontId="3" type="noConversion"/>
  </si>
  <si>
    <t>우미-울산</t>
    <phoneticPr fontId="3" type="noConversion"/>
  </si>
  <si>
    <t>5newGN+5로이</t>
    <phoneticPr fontId="3" type="noConversion"/>
  </si>
  <si>
    <t>5CL+5로이</t>
    <phoneticPr fontId="3" type="noConversion"/>
  </si>
  <si>
    <t>투명재단</t>
    <phoneticPr fontId="3" type="noConversion"/>
  </si>
  <si>
    <t>5NX</t>
    <phoneticPr fontId="3" type="noConversion"/>
  </si>
  <si>
    <t>제일-인천</t>
    <phoneticPr fontId="3" type="noConversion"/>
  </si>
  <si>
    <t>25-2703</t>
    <phoneticPr fontId="3" type="noConversion"/>
  </si>
  <si>
    <t>그린재단 - 2번, 3번 40조 중 10조, 4~5번, 11번 재단</t>
    <phoneticPr fontId="3" type="noConversion"/>
  </si>
  <si>
    <t>그린재단</t>
    <phoneticPr fontId="3" type="noConversion"/>
  </si>
  <si>
    <t>로이재단 1~9번, 13번 재단- 정석개발 원판사용</t>
    <phoneticPr fontId="3" type="noConversion"/>
  </si>
  <si>
    <t>로이재단 10~12번, 14~15번 재단- 정석개발 원판사용</t>
    <phoneticPr fontId="3" type="noConversion"/>
  </si>
  <si>
    <t>25-2704</t>
    <phoneticPr fontId="3" type="noConversion"/>
  </si>
  <si>
    <t>그린재단 - 2번, 3번 40조 중 5조, 4~5번 재단</t>
    <phoneticPr fontId="3" type="noConversion"/>
  </si>
  <si>
    <t>그린재단 - 2번, 3번 40조 중 35조 재단</t>
    <phoneticPr fontId="3" type="noConversion"/>
  </si>
  <si>
    <t>그린재단</t>
    <phoneticPr fontId="3" type="noConversion"/>
  </si>
  <si>
    <t>로이재단</t>
    <phoneticPr fontId="3" type="noConversion"/>
  </si>
  <si>
    <t>5CL+5DURA MAX</t>
    <phoneticPr fontId="3" type="noConversion"/>
  </si>
  <si>
    <t>5DURA MAX</t>
    <phoneticPr fontId="3" type="noConversion"/>
  </si>
  <si>
    <t>야간</t>
    <phoneticPr fontId="3" type="noConversion"/>
  </si>
  <si>
    <t>25-2896</t>
    <phoneticPr fontId="3" type="noConversion"/>
  </si>
  <si>
    <t>우미-울산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</si>
  <si>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</si>
  <si>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</si>
  <si>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</si>
  <si>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5CL</t>
    <phoneticPr fontId="3" type="noConversion"/>
  </si>
  <si>
    <t>26-0014</t>
    <phoneticPr fontId="3" type="noConversion"/>
  </si>
  <si>
    <t>엘엑스-대우</t>
    <phoneticPr fontId="3" type="noConversion"/>
  </si>
  <si>
    <t>8.76투명접합+5CL</t>
    <phoneticPr fontId="3" type="noConversion"/>
  </si>
  <si>
    <t>5UGA+5SUPERPLUS1.0+8.76투명접합</t>
    <phoneticPr fontId="3" type="noConversion"/>
  </si>
  <si>
    <t>26-0015</t>
    <phoneticPr fontId="3" type="noConversion"/>
  </si>
  <si>
    <t>10.76투명접합+5SUPERPLUS2.0</t>
    <phoneticPr fontId="3" type="noConversion"/>
  </si>
  <si>
    <t>5CL+5SUPERPLUS2.0</t>
    <phoneticPr fontId="3" type="noConversion"/>
  </si>
  <si>
    <t>5UGA156</t>
    <phoneticPr fontId="3" type="noConversion"/>
  </si>
  <si>
    <t>5SUPERPLUS1.0</t>
    <phoneticPr fontId="3" type="noConversion"/>
  </si>
  <si>
    <t>5SUPERPLUS2.0</t>
    <phoneticPr fontId="3" type="noConversion"/>
  </si>
  <si>
    <t>26-0014, 0015 같이재단</t>
    <phoneticPr fontId="3" type="noConversion"/>
  </si>
  <si>
    <t>25-2895</t>
    <phoneticPr fontId="3" type="noConversion"/>
  </si>
  <si>
    <t>5마스터원</t>
    <phoneticPr fontId="3" type="noConversion"/>
  </si>
  <si>
    <t>그린 - 3~4번 재단, 로이 - 3~4번 재단</t>
    <phoneticPr fontId="3" type="noConversion"/>
  </si>
  <si>
    <t>그린재단 - 2번~5~6번 재단</t>
    <phoneticPr fontId="3" type="noConversion"/>
  </si>
  <si>
    <t>25-2939</t>
    <phoneticPr fontId="3" type="noConversion"/>
  </si>
  <si>
    <t>정석개발-청주테크노</t>
    <phoneticPr fontId="3" type="noConversion"/>
  </si>
  <si>
    <t>5CL</t>
    <phoneticPr fontId="3" type="noConversion"/>
  </si>
  <si>
    <t>25-2972</t>
    <phoneticPr fontId="3" type="noConversion"/>
  </si>
  <si>
    <t>5newGN+5DURA MAX</t>
    <phoneticPr fontId="3" type="noConversion"/>
  </si>
  <si>
    <t>5NX</t>
    <phoneticPr fontId="3" type="noConversion"/>
  </si>
  <si>
    <t>그린재단 - 5~6번, 9~12번재단 - 정석개발 원판 사용</t>
    <phoneticPr fontId="3" type="noConversion"/>
  </si>
  <si>
    <t>투명재단 - 정석개발 원판사용</t>
    <phoneticPr fontId="3" type="noConversion"/>
  </si>
  <si>
    <t>정석개발 원판 사용</t>
    <phoneticPr fontId="3" type="noConversion"/>
  </si>
  <si>
    <t>26-0026</t>
    <phoneticPr fontId="3" type="noConversion"/>
  </si>
  <si>
    <t>대성-천호동</t>
    <phoneticPr fontId="3" type="noConversion"/>
  </si>
  <si>
    <t>5SUPERPLUS1.0H/S+5SUPERPLUS1.0H/S+5CL</t>
    <phoneticPr fontId="3" type="noConversion"/>
  </si>
  <si>
    <t>5CLH/S+5ONEIIH/S</t>
    <phoneticPr fontId="3" type="noConversion"/>
  </si>
  <si>
    <t>5마스터원</t>
    <phoneticPr fontId="3" type="noConversion"/>
  </si>
  <si>
    <t>5PLAONEII</t>
    <phoneticPr fontId="3" type="noConversion"/>
  </si>
  <si>
    <t>25-2899</t>
    <phoneticPr fontId="3" type="noConversion"/>
  </si>
  <si>
    <t>25-2973</t>
    <phoneticPr fontId="3" type="noConversion"/>
  </si>
  <si>
    <t>정석개발-청주테크노</t>
    <phoneticPr fontId="3" type="noConversion"/>
  </si>
  <si>
    <t>로이재단 - 정석개발 원판 사용</t>
    <phoneticPr fontId="3" type="noConversion"/>
  </si>
  <si>
    <t>25-2972</t>
    <phoneticPr fontId="3" type="noConversion"/>
  </si>
  <si>
    <t>정석개발-청주테크노</t>
    <phoneticPr fontId="3" type="noConversion"/>
  </si>
  <si>
    <t>26-0062</t>
    <phoneticPr fontId="3" type="noConversion"/>
  </si>
  <si>
    <t>케이씨씨-오송역퍼스트</t>
    <phoneticPr fontId="3" type="noConversion"/>
  </si>
  <si>
    <t>5CLh/s</t>
    <phoneticPr fontId="3" type="noConversion"/>
  </si>
  <si>
    <t>다솔산업</t>
    <phoneticPr fontId="3" type="noConversion"/>
  </si>
  <si>
    <t>25-2897</t>
    <phoneticPr fontId="3" type="noConversion"/>
  </si>
  <si>
    <t>우미-울산</t>
    <phoneticPr fontId="3" type="noConversion"/>
  </si>
  <si>
    <t>로이재단</t>
    <phoneticPr fontId="3" type="noConversion"/>
  </si>
  <si>
    <t>25-2703</t>
    <phoneticPr fontId="3" type="noConversion"/>
  </si>
  <si>
    <t>제일-인천</t>
    <phoneticPr fontId="3" type="noConversion"/>
  </si>
  <si>
    <t>5CL</t>
  </si>
  <si>
    <t>5DURA MAX(비강화용)</t>
  </si>
  <si>
    <t>2호기 생산불량</t>
    <phoneticPr fontId="3" type="noConversion"/>
  </si>
  <si>
    <t>동성-태성 천안</t>
    <phoneticPr fontId="3" type="noConversion"/>
  </si>
  <si>
    <t>5SKN154IIh/s+5CL</t>
    <phoneticPr fontId="3" type="noConversion"/>
  </si>
  <si>
    <t>5SKN154II</t>
    <phoneticPr fontId="3" type="noConversion"/>
  </si>
  <si>
    <t>26-0068</t>
    <phoneticPr fontId="3" type="noConversion"/>
  </si>
  <si>
    <t>26-0061</t>
    <phoneticPr fontId="3" type="noConversion"/>
  </si>
  <si>
    <t>동성-태성 천안</t>
    <phoneticPr fontId="3" type="noConversion"/>
  </si>
  <si>
    <t>26-0061, 0068 같이재단</t>
    <phoneticPr fontId="3" type="noConversion"/>
  </si>
  <si>
    <t>26-0070</t>
    <phoneticPr fontId="3" type="noConversion"/>
  </si>
  <si>
    <t>26-0093</t>
    <phoneticPr fontId="3" type="noConversion"/>
  </si>
  <si>
    <t>동일유리㈜</t>
    <phoneticPr fontId="3" type="noConversion"/>
  </si>
  <si>
    <t>25-2900</t>
    <phoneticPr fontId="3" type="noConversion"/>
  </si>
  <si>
    <t>우미-울산</t>
    <phoneticPr fontId="3" type="noConversion"/>
  </si>
  <si>
    <t>5NX</t>
  </si>
  <si>
    <t>26-0073</t>
    <phoneticPr fontId="3" type="noConversion"/>
  </si>
  <si>
    <t>26-0070, 0093 같이재단</t>
    <phoneticPr fontId="3" type="noConversion"/>
  </si>
  <si>
    <t>5CL</t>
    <phoneticPr fontId="3" type="noConversion"/>
  </si>
  <si>
    <t>투명재단 - 8~10번, 11번 40조 중 5조 재단</t>
    <phoneticPr fontId="3" type="noConversion"/>
  </si>
  <si>
    <t>25-2978</t>
    <phoneticPr fontId="3" type="noConversion"/>
  </si>
  <si>
    <t>정석개발-청주테크노</t>
    <phoneticPr fontId="3" type="noConversion"/>
  </si>
  <si>
    <t>5NX</t>
    <phoneticPr fontId="3" type="noConversion"/>
  </si>
  <si>
    <t>5CL</t>
    <phoneticPr fontId="3" type="noConversion"/>
  </si>
  <si>
    <t>5DURA MAX</t>
    <phoneticPr fontId="3" type="noConversion"/>
  </si>
  <si>
    <t>정석개발 원판 사용</t>
    <phoneticPr fontId="3" type="noConversion"/>
  </si>
  <si>
    <t>25-2979</t>
    <phoneticPr fontId="3" type="noConversion"/>
  </si>
  <si>
    <t>투명재단 - 11번 40조 중 35조, 12~14번 재단 - 정석개발 원판 사용</t>
    <phoneticPr fontId="3" type="noConversion"/>
  </si>
  <si>
    <t>그린재단 - 정석개발 원판 사용</t>
    <phoneticPr fontId="3" type="noConversion"/>
  </si>
  <si>
    <t>야간</t>
    <phoneticPr fontId="3" type="noConversion"/>
  </si>
  <si>
    <t>우미-울산</t>
    <phoneticPr fontId="3" type="noConversion"/>
  </si>
  <si>
    <t>26-0090</t>
    <phoneticPr fontId="3" type="noConversion"/>
  </si>
  <si>
    <t>한일기업</t>
    <phoneticPr fontId="3" type="noConversion"/>
  </si>
  <si>
    <t>5SKN154+5CL</t>
    <phoneticPr fontId="3" type="noConversion"/>
  </si>
  <si>
    <t>오도시</t>
    <phoneticPr fontId="3" type="noConversion"/>
  </si>
  <si>
    <t>26-0094</t>
    <phoneticPr fontId="3" type="noConversion"/>
  </si>
  <si>
    <t>미도사</t>
    <phoneticPr fontId="3" type="noConversion"/>
  </si>
  <si>
    <t>5newGN+5CL</t>
    <phoneticPr fontId="3" type="noConversion"/>
  </si>
  <si>
    <t>26-0095</t>
    <phoneticPr fontId="3" type="noConversion"/>
  </si>
  <si>
    <t>동양유리</t>
    <phoneticPr fontId="3" type="noConversion"/>
  </si>
  <si>
    <t>5newGN+5CL(이형)</t>
    <phoneticPr fontId="3" type="noConversion"/>
  </si>
  <si>
    <t>26-0066</t>
    <phoneticPr fontId="3" type="noConversion"/>
  </si>
  <si>
    <t>케이씨씨-오송</t>
    <phoneticPr fontId="3" type="noConversion"/>
  </si>
  <si>
    <t>5MVT172H/S+5CL</t>
    <phoneticPr fontId="3" type="noConversion"/>
  </si>
  <si>
    <t>5MVT172</t>
    <phoneticPr fontId="3" type="noConversion"/>
  </si>
  <si>
    <t>26-0067</t>
    <phoneticPr fontId="3" type="noConversion"/>
  </si>
  <si>
    <t>대성-천호동</t>
    <phoneticPr fontId="3" type="noConversion"/>
  </si>
  <si>
    <t>5CLH/S+5ONEIIH/S</t>
    <phoneticPr fontId="3" type="noConversion"/>
  </si>
  <si>
    <t>26-0092</t>
    <phoneticPr fontId="3" type="noConversion"/>
  </si>
  <si>
    <t>현대샷시</t>
    <phoneticPr fontId="3" type="noConversion"/>
  </si>
  <si>
    <t>5CL+5CL</t>
    <phoneticPr fontId="3" type="noConversion"/>
  </si>
  <si>
    <t>26-0072</t>
    <phoneticPr fontId="3" type="noConversion"/>
  </si>
  <si>
    <t>26-0071</t>
    <phoneticPr fontId="3" type="noConversion"/>
  </si>
  <si>
    <t>26-0072, 0071 같이재단</t>
    <phoneticPr fontId="3" type="noConversion"/>
  </si>
  <si>
    <t>26-0099</t>
    <phoneticPr fontId="3" type="noConversion"/>
  </si>
  <si>
    <t>천수기업</t>
    <phoneticPr fontId="3" type="noConversion"/>
  </si>
  <si>
    <t>5newGN+5DURA MAX</t>
    <phoneticPr fontId="3" type="noConversion"/>
  </si>
  <si>
    <t>26-0098</t>
    <phoneticPr fontId="3" type="noConversion"/>
  </si>
  <si>
    <t>다솔산업</t>
    <phoneticPr fontId="3" type="noConversion"/>
  </si>
  <si>
    <t>5CL+5DURA MAX</t>
    <phoneticPr fontId="3" type="noConversion"/>
  </si>
  <si>
    <t>5DURA MAX(비강화용)</t>
    <phoneticPr fontId="3" type="noConversion"/>
  </si>
  <si>
    <t>26.0099, 0098 같이재단</t>
    <phoneticPr fontId="3" type="noConversion"/>
  </si>
  <si>
    <t>26-0097</t>
    <phoneticPr fontId="3" type="noConversion"/>
  </si>
  <si>
    <t>정원-사천동</t>
    <phoneticPr fontId="3" type="noConversion"/>
  </si>
  <si>
    <t>5SKN154IIH/S+5CLH/S</t>
    <phoneticPr fontId="3" type="noConversion"/>
  </si>
  <si>
    <t>5SKN154II</t>
    <phoneticPr fontId="3" type="noConversion"/>
  </si>
  <si>
    <t>25-2898</t>
    <phoneticPr fontId="3" type="noConversion"/>
  </si>
  <si>
    <t>25-2979</t>
    <phoneticPr fontId="3" type="noConversion"/>
  </si>
  <si>
    <t>투명, 로이재단 - 정석개발 원판 사용</t>
    <phoneticPr fontId="3" type="noConversion"/>
  </si>
  <si>
    <t>25-2898</t>
    <phoneticPr fontId="3" type="noConversion"/>
  </si>
  <si>
    <t>로이재단</t>
    <phoneticPr fontId="3" type="noConversion"/>
  </si>
  <si>
    <t>5마스터원</t>
    <phoneticPr fontId="3" type="noConversion"/>
  </si>
  <si>
    <t>25-2943</t>
    <phoneticPr fontId="3" type="noConversion"/>
  </si>
  <si>
    <t>정석개발-청주테크노</t>
    <phoneticPr fontId="3" type="noConversion"/>
  </si>
  <si>
    <t>5newGN+5DURA MAX</t>
    <phoneticPr fontId="3" type="noConversion"/>
  </si>
  <si>
    <t>5NX</t>
    <phoneticPr fontId="3" type="noConversion"/>
  </si>
  <si>
    <t>25-2975</t>
    <phoneticPr fontId="3" type="noConversion"/>
  </si>
  <si>
    <t>25-2976</t>
    <phoneticPr fontId="3" type="noConversion"/>
  </si>
  <si>
    <t>야간</t>
    <phoneticPr fontId="3" type="noConversion"/>
  </si>
  <si>
    <t>25-2943</t>
    <phoneticPr fontId="3" type="noConversion"/>
  </si>
  <si>
    <t>로이재단 - 정석개발 원판 사용</t>
    <phoneticPr fontId="3" type="noConversion"/>
  </si>
  <si>
    <t>정석개발 원판 사용</t>
    <phoneticPr fontId="3" type="noConversion"/>
  </si>
  <si>
    <t>25-2944</t>
    <phoneticPr fontId="3" type="noConversion"/>
  </si>
  <si>
    <t>25-2977</t>
    <phoneticPr fontId="3" type="noConversion"/>
  </si>
  <si>
    <t>25-2976</t>
    <phoneticPr fontId="3" type="noConversion"/>
  </si>
  <si>
    <t>26-0026</t>
    <phoneticPr fontId="3" type="noConversion"/>
  </si>
  <si>
    <t>대성-천호동</t>
    <phoneticPr fontId="3" type="noConversion"/>
  </si>
  <si>
    <t>5SUPERPLUS1.0h/s+5SUPERPLUS1.0h/s+5CL</t>
    <phoneticPr fontId="3" type="noConversion"/>
  </si>
  <si>
    <t>5마스터원</t>
    <phoneticPr fontId="3" type="noConversion"/>
  </si>
  <si>
    <t>5CLh/s+5ONEIIh/s</t>
    <phoneticPr fontId="3" type="noConversion"/>
  </si>
  <si>
    <t>5ONEII</t>
    <phoneticPr fontId="3" type="noConversion"/>
  </si>
  <si>
    <t>26-0113</t>
    <phoneticPr fontId="3" type="noConversion"/>
  </si>
  <si>
    <t>한일기업</t>
    <phoneticPr fontId="3" type="noConversion"/>
  </si>
  <si>
    <t>5SKN154IIh/s+5CL</t>
    <phoneticPr fontId="3" type="noConversion"/>
  </si>
  <si>
    <t>5SKN154II</t>
    <phoneticPr fontId="3" type="noConversion"/>
  </si>
  <si>
    <t>5CL</t>
    <phoneticPr fontId="3" type="noConversion"/>
  </si>
  <si>
    <t>오도시</t>
    <phoneticPr fontId="3" type="noConversion"/>
  </si>
  <si>
    <t>오도시</t>
    <phoneticPr fontId="3" type="noConversion"/>
  </si>
  <si>
    <t>26-0107</t>
    <phoneticPr fontId="3" type="noConversion"/>
  </si>
  <si>
    <t>계룡-인재개발원</t>
    <phoneticPr fontId="3" type="noConversion"/>
  </si>
  <si>
    <t>5CL+5로이</t>
    <phoneticPr fontId="3" type="noConversion"/>
  </si>
  <si>
    <t>5듀라맥스</t>
    <phoneticPr fontId="3" type="noConversion"/>
  </si>
  <si>
    <t>6CL+6로이</t>
    <phoneticPr fontId="3" type="noConversion"/>
  </si>
  <si>
    <t>6CL</t>
    <phoneticPr fontId="3" type="noConversion"/>
  </si>
  <si>
    <t>6듀라맥스</t>
    <phoneticPr fontId="3" type="noConversion"/>
  </si>
  <si>
    <t>26-0112</t>
    <phoneticPr fontId="3" type="noConversion"/>
  </si>
  <si>
    <t>진흥-사천동조은술</t>
    <phoneticPr fontId="3" type="noConversion"/>
  </si>
  <si>
    <t>5SKN154IIH/S+5CLH/S</t>
    <phoneticPr fontId="3" type="noConversion"/>
  </si>
  <si>
    <t>투명재단</t>
    <phoneticPr fontId="3" type="noConversion"/>
  </si>
  <si>
    <t>5SKN154+5CL</t>
    <phoneticPr fontId="3" type="noConversion"/>
  </si>
  <si>
    <t>5SKN154</t>
    <phoneticPr fontId="3" type="noConversion"/>
  </si>
  <si>
    <t>26-0111</t>
    <phoneticPr fontId="3" type="noConversion"/>
  </si>
  <si>
    <t>계룡-안양오뚜기</t>
    <phoneticPr fontId="3" type="noConversion"/>
  </si>
  <si>
    <t>5SKG149TH/S+5CLH/S</t>
    <phoneticPr fontId="3" type="noConversion"/>
  </si>
  <si>
    <t>5SKG149T</t>
    <phoneticPr fontId="3" type="noConversion"/>
  </si>
  <si>
    <t>25-2944</t>
    <phoneticPr fontId="3" type="noConversion"/>
  </si>
  <si>
    <t>25-3021</t>
    <phoneticPr fontId="3" type="noConversion"/>
  </si>
  <si>
    <t>씨제이-오리온</t>
    <phoneticPr fontId="3" type="noConversion"/>
  </si>
  <si>
    <t>6SKS142IIH/S+6스팬드럴H/S</t>
    <phoneticPr fontId="3" type="noConversion"/>
  </si>
  <si>
    <t>6SKS142II</t>
    <phoneticPr fontId="3" type="noConversion"/>
  </si>
  <si>
    <t>로이재단</t>
    <phoneticPr fontId="3" type="noConversion"/>
  </si>
  <si>
    <t>25-2539</t>
    <phoneticPr fontId="3" type="noConversion"/>
  </si>
  <si>
    <t>6SKN076IIH/S+6DIH/S</t>
    <phoneticPr fontId="3" type="noConversion"/>
  </si>
  <si>
    <t>6SKN076II</t>
    <phoneticPr fontId="3" type="noConversion"/>
  </si>
  <si>
    <t>로이재단</t>
    <phoneticPr fontId="3" type="noConversion"/>
  </si>
  <si>
    <t>25-2730</t>
    <phoneticPr fontId="3" type="noConversion"/>
  </si>
  <si>
    <t>25-2861</t>
    <phoneticPr fontId="3" type="noConversion"/>
  </si>
  <si>
    <t>* 아침부터 재단기 규격 많이 안맞음 *</t>
    <phoneticPr fontId="3" type="noConversion"/>
  </si>
  <si>
    <t>* 손재단 및 규격맞춤작업(정이사님) *</t>
    <phoneticPr fontId="3" type="noConversion"/>
  </si>
  <si>
    <t>25-2538</t>
    <phoneticPr fontId="3" type="noConversion"/>
  </si>
  <si>
    <t>25-2392</t>
    <phoneticPr fontId="3" type="noConversion"/>
  </si>
  <si>
    <t>26-0026</t>
    <phoneticPr fontId="3" type="noConversion"/>
  </si>
  <si>
    <t>대성-천호동</t>
    <phoneticPr fontId="3" type="noConversion"/>
  </si>
  <si>
    <t>12투명강화</t>
    <phoneticPr fontId="3" type="noConversion"/>
  </si>
  <si>
    <t>12CL</t>
    <phoneticPr fontId="3" type="noConversion"/>
  </si>
  <si>
    <t>25-2980</t>
    <phoneticPr fontId="3" type="noConversion"/>
  </si>
  <si>
    <t>25-2536</t>
    <phoneticPr fontId="3" type="noConversion"/>
  </si>
  <si>
    <t>씨제이-오리온</t>
    <phoneticPr fontId="3" type="noConversion"/>
  </si>
  <si>
    <t>6SKN076IIH/S+6DIH/S</t>
    <phoneticPr fontId="3" type="noConversion"/>
  </si>
  <si>
    <t>6SKN076II</t>
    <phoneticPr fontId="3" type="noConversion"/>
  </si>
  <si>
    <t>로이재단</t>
    <phoneticPr fontId="3" type="noConversion"/>
  </si>
  <si>
    <t>25-2535</t>
    <phoneticPr fontId="3" type="noConversion"/>
  </si>
  <si>
    <t>25-2396</t>
    <phoneticPr fontId="3" type="noConversion"/>
  </si>
  <si>
    <t>25-2395</t>
    <phoneticPr fontId="3" type="noConversion"/>
  </si>
  <si>
    <t>25-2799</t>
    <phoneticPr fontId="3" type="noConversion"/>
  </si>
  <si>
    <t>25-2840</t>
    <phoneticPr fontId="3" type="noConversion"/>
  </si>
  <si>
    <t>25-2798</t>
    <phoneticPr fontId="3" type="noConversion"/>
  </si>
  <si>
    <t>25-2839</t>
    <phoneticPr fontId="3" type="noConversion"/>
  </si>
  <si>
    <t>25-2221</t>
    <phoneticPr fontId="3" type="noConversion"/>
  </si>
  <si>
    <t>25-2222</t>
    <phoneticPr fontId="3" type="noConversion"/>
  </si>
  <si>
    <t>25-2391</t>
    <phoneticPr fontId="3" type="noConversion"/>
  </si>
  <si>
    <t>25-2389</t>
    <phoneticPr fontId="3" type="noConversion"/>
  </si>
  <si>
    <t>25-2388</t>
    <phoneticPr fontId="3" type="noConversion"/>
  </si>
  <si>
    <t>25-2229</t>
    <phoneticPr fontId="3" type="noConversion"/>
  </si>
  <si>
    <t>* 하루종일 *</t>
    <phoneticPr fontId="3" type="noConversion"/>
  </si>
  <si>
    <t>25-2981</t>
    <phoneticPr fontId="3" type="noConversion"/>
  </si>
  <si>
    <t>그린재단 - 1~4번, 7~8번재단 - 정석개발 원판 사용</t>
    <phoneticPr fontId="3" type="noConversion"/>
  </si>
  <si>
    <t>25-2982</t>
    <phoneticPr fontId="3" type="noConversion"/>
  </si>
  <si>
    <t>26-0075</t>
    <phoneticPr fontId="3" type="noConversion"/>
  </si>
  <si>
    <t>26-0074</t>
    <phoneticPr fontId="3" type="noConversion"/>
  </si>
  <si>
    <t>26-0076</t>
    <phoneticPr fontId="3" type="noConversion"/>
  </si>
  <si>
    <t>26-0079</t>
    <phoneticPr fontId="3" type="noConversion"/>
  </si>
  <si>
    <t>오도시 - 강화불량</t>
    <phoneticPr fontId="3" type="noConversion"/>
  </si>
  <si>
    <t>5CL</t>
    <phoneticPr fontId="3" type="noConversion"/>
  </si>
  <si>
    <t>투명재단 - 정석개발 원판 사용</t>
    <phoneticPr fontId="3" type="noConversion"/>
  </si>
  <si>
    <t>25-2983</t>
    <phoneticPr fontId="3" type="noConversion"/>
  </si>
  <si>
    <t>로이재단 - 8~9번, 13~14번 재단 - 정석개발 원판 사용</t>
    <phoneticPr fontId="3" type="noConversion"/>
  </si>
  <si>
    <t>26-0078</t>
    <phoneticPr fontId="3" type="noConversion"/>
  </si>
  <si>
    <t>현산-광주</t>
    <phoneticPr fontId="3" type="noConversion"/>
  </si>
  <si>
    <t>26-0077</t>
    <phoneticPr fontId="3" type="noConversion"/>
  </si>
  <si>
    <t>투명재단</t>
    <phoneticPr fontId="3" type="noConversion"/>
  </si>
  <si>
    <t>25-2983</t>
    <phoneticPr fontId="3" type="noConversion"/>
  </si>
  <si>
    <t>정석개발-청주테크노</t>
    <phoneticPr fontId="3" type="noConversion"/>
  </si>
  <si>
    <t>25-2945</t>
    <phoneticPr fontId="3" type="noConversion"/>
  </si>
  <si>
    <t>26-0157</t>
    <phoneticPr fontId="3" type="noConversion"/>
  </si>
  <si>
    <t>현대샷시유리공사</t>
    <phoneticPr fontId="3" type="noConversion"/>
  </si>
  <si>
    <t>5newGN+5CL</t>
    <phoneticPr fontId="3" type="noConversion"/>
  </si>
  <si>
    <t>오도시</t>
    <phoneticPr fontId="3" type="noConversion"/>
  </si>
  <si>
    <t>25-2974</t>
    <phoneticPr fontId="3" type="noConversion"/>
  </si>
  <si>
    <t>정석개발-청주테크노</t>
    <phoneticPr fontId="3" type="noConversion"/>
  </si>
  <si>
    <t>25-2819</t>
    <phoneticPr fontId="3" type="noConversion"/>
  </si>
  <si>
    <t>태영-부산 메디컬</t>
    <phoneticPr fontId="3" type="noConversion"/>
  </si>
  <si>
    <t>5CL+5로이</t>
    <phoneticPr fontId="3" type="noConversion"/>
  </si>
  <si>
    <t>25-2820</t>
    <phoneticPr fontId="3" type="noConversion"/>
  </si>
  <si>
    <t>태영-부산 메디컬</t>
    <phoneticPr fontId="3" type="noConversion"/>
  </si>
  <si>
    <t>25-2819</t>
    <phoneticPr fontId="3" type="noConversion"/>
  </si>
  <si>
    <t>5CLh/s+5로이</t>
    <phoneticPr fontId="3" type="noConversion"/>
  </si>
  <si>
    <t>8.76투명접합+5로이h/s+5로이</t>
    <phoneticPr fontId="3" type="noConversion"/>
  </si>
  <si>
    <t>5DURA MAX</t>
    <phoneticPr fontId="3" type="noConversion"/>
  </si>
  <si>
    <t>26-0077</t>
    <phoneticPr fontId="3" type="noConversion"/>
  </si>
  <si>
    <t>현.산-광주 센테니얼</t>
    <phoneticPr fontId="3" type="noConversion"/>
  </si>
  <si>
    <t>5SKN154IIh/s+5CLh/s</t>
    <phoneticPr fontId="3" type="noConversion"/>
  </si>
  <si>
    <t>5SKN154II</t>
    <phoneticPr fontId="3" type="noConversion"/>
  </si>
  <si>
    <t>로이재단</t>
    <phoneticPr fontId="3" type="noConversion"/>
  </si>
  <si>
    <t>야간</t>
    <phoneticPr fontId="3" type="noConversion"/>
  </si>
  <si>
    <t>26-0122</t>
    <phoneticPr fontId="3" type="noConversion"/>
  </si>
  <si>
    <t>금호-성남</t>
    <phoneticPr fontId="3" type="noConversion"/>
  </si>
  <si>
    <t>5CL+5로이</t>
    <phoneticPr fontId="3" type="noConversion"/>
  </si>
  <si>
    <t>5newGN+5로이</t>
    <phoneticPr fontId="3" type="noConversion"/>
  </si>
  <si>
    <t>5CL</t>
    <phoneticPr fontId="3" type="noConversion"/>
  </si>
  <si>
    <t>5NX</t>
    <phoneticPr fontId="3" type="noConversion"/>
  </si>
  <si>
    <t>26-0156</t>
    <phoneticPr fontId="3" type="noConversion"/>
  </si>
  <si>
    <t>태영-부산</t>
    <phoneticPr fontId="3" type="noConversion"/>
  </si>
  <si>
    <t>25-2982</t>
    <phoneticPr fontId="3" type="noConversion"/>
  </si>
  <si>
    <t>로이재단 - 정석개발 원판 사용 - 10~12번 재단</t>
    <phoneticPr fontId="3" type="noConversion"/>
  </si>
  <si>
    <t>25-2983</t>
    <phoneticPr fontId="3" type="noConversion"/>
  </si>
  <si>
    <t>26-0129</t>
    <phoneticPr fontId="3" type="noConversion"/>
  </si>
  <si>
    <t>서진유리</t>
    <phoneticPr fontId="3" type="noConversion"/>
  </si>
  <si>
    <t>5CL+6N-29</t>
    <phoneticPr fontId="3" type="noConversion"/>
  </si>
  <si>
    <t>투명재단</t>
    <phoneticPr fontId="3" type="noConversion"/>
  </si>
  <si>
    <t>26-0121</t>
    <phoneticPr fontId="3" type="noConversion"/>
  </si>
  <si>
    <t>디엘-수원</t>
    <phoneticPr fontId="3" type="noConversion"/>
  </si>
  <si>
    <t>5SKN154IIH/S+5CL</t>
    <phoneticPr fontId="3" type="noConversion"/>
  </si>
  <si>
    <t>5SKN154II</t>
    <phoneticPr fontId="3" type="noConversion"/>
  </si>
  <si>
    <t>26-0125</t>
    <phoneticPr fontId="3" type="noConversion"/>
  </si>
  <si>
    <t>쌍용-화성</t>
    <phoneticPr fontId="3" type="noConversion"/>
  </si>
  <si>
    <t>6SKG149TH/S+6CLH/S</t>
    <phoneticPr fontId="3" type="noConversion"/>
  </si>
  <si>
    <t>6CL</t>
    <phoneticPr fontId="3" type="noConversion"/>
  </si>
  <si>
    <t>6SKG149T</t>
    <phoneticPr fontId="3" type="noConversion"/>
  </si>
  <si>
    <t>25-2821</t>
    <phoneticPr fontId="3" type="noConversion"/>
  </si>
  <si>
    <t>25-2822</t>
    <phoneticPr fontId="3" type="noConversion"/>
  </si>
  <si>
    <t>로이재단</t>
    <phoneticPr fontId="3" type="noConversion"/>
  </si>
  <si>
    <t>로이재단 - 정석개발 원판 사용 - 1~2번, 7번 재단</t>
    <phoneticPr fontId="3" type="noConversion"/>
  </si>
  <si>
    <t>25 - 2819, 2820 같이 재단</t>
    <phoneticPr fontId="3" type="noConversion"/>
  </si>
  <si>
    <t>6N-29</t>
    <phoneticPr fontId="3" type="noConversion"/>
  </si>
  <si>
    <t>그린반사 재단</t>
    <phoneticPr fontId="3" type="noConversion"/>
  </si>
  <si>
    <t>로이재단 - 정석개발 원판 사용 - 3~6번</t>
    <phoneticPr fontId="3" type="noConversion"/>
  </si>
  <si>
    <t>26-0027</t>
    <phoneticPr fontId="3" type="noConversion"/>
  </si>
  <si>
    <t>5newGNH/S+5로이</t>
    <phoneticPr fontId="3" type="noConversion"/>
  </si>
  <si>
    <t>25-2823</t>
    <phoneticPr fontId="3" type="noConversion"/>
  </si>
  <si>
    <t>26-0128</t>
    <phoneticPr fontId="3" type="noConversion"/>
  </si>
  <si>
    <t>26-0158</t>
    <phoneticPr fontId="3" type="noConversion"/>
  </si>
  <si>
    <t>다솔산업</t>
    <phoneticPr fontId="3" type="noConversion"/>
  </si>
  <si>
    <t>5CL+5DURA MAX</t>
    <phoneticPr fontId="3" type="noConversion"/>
  </si>
  <si>
    <t>5CL</t>
    <phoneticPr fontId="3" type="noConversion"/>
  </si>
  <si>
    <t>25-2945</t>
    <phoneticPr fontId="3" type="noConversion"/>
  </si>
  <si>
    <t>5NX</t>
    <phoneticPr fontId="3" type="noConversion"/>
  </si>
  <si>
    <t>25-2827</t>
    <phoneticPr fontId="3" type="noConversion"/>
  </si>
  <si>
    <t>태영-부산</t>
    <phoneticPr fontId="3" type="noConversion"/>
  </si>
  <si>
    <t>(4CL+4CL)+5로이</t>
    <phoneticPr fontId="3" type="noConversion"/>
  </si>
  <si>
    <t>5CLH/S+5로이H/S</t>
    <phoneticPr fontId="3" type="noConversion"/>
  </si>
  <si>
    <t>8.76투명접합+5로이H/S+5로이</t>
    <phoneticPr fontId="3" type="noConversion"/>
  </si>
  <si>
    <t>로이재단</t>
    <phoneticPr fontId="3" type="noConversion"/>
  </si>
  <si>
    <t>26-0069</t>
    <phoneticPr fontId="3" type="noConversion"/>
  </si>
  <si>
    <t>현엔-청주터미널</t>
    <phoneticPr fontId="3" type="noConversion"/>
  </si>
  <si>
    <t>(5CL+5CL)+5로이</t>
    <phoneticPr fontId="3" type="noConversion"/>
  </si>
  <si>
    <t>(5CLH/S+5CLH/S)+5로이</t>
    <phoneticPr fontId="3" type="noConversion"/>
  </si>
  <si>
    <t>26-0119</t>
    <phoneticPr fontId="3" type="noConversion"/>
  </si>
  <si>
    <t>5CL+5로이</t>
    <phoneticPr fontId="3" type="noConversion"/>
  </si>
  <si>
    <t>5마스터원</t>
    <phoneticPr fontId="3" type="noConversion"/>
  </si>
  <si>
    <t>26-0069, 0119 같이재단</t>
    <phoneticPr fontId="3" type="noConversion"/>
  </si>
  <si>
    <t>26-0138</t>
    <phoneticPr fontId="3" type="noConversion"/>
  </si>
  <si>
    <t>제일-인천</t>
    <phoneticPr fontId="3" type="noConversion"/>
  </si>
  <si>
    <t>5newGN+5로이</t>
    <phoneticPr fontId="3" type="noConversion"/>
  </si>
  <si>
    <t>26-0120</t>
    <phoneticPr fontId="3" type="noConversion"/>
  </si>
  <si>
    <t>현엔-아산</t>
    <phoneticPr fontId="3" type="noConversion"/>
  </si>
  <si>
    <t>26-0118</t>
    <phoneticPr fontId="3" type="noConversion"/>
  </si>
  <si>
    <t>디엘-내포</t>
    <phoneticPr fontId="3" type="noConversion"/>
  </si>
  <si>
    <t>5SKN154IIH/S+5CL</t>
    <phoneticPr fontId="3" type="noConversion"/>
  </si>
  <si>
    <t>5SKN154II</t>
    <phoneticPr fontId="3" type="noConversion"/>
  </si>
  <si>
    <t>26-0120</t>
    <phoneticPr fontId="3" type="noConversion"/>
  </si>
  <si>
    <t>현엔-아산</t>
    <phoneticPr fontId="3" type="noConversion"/>
  </si>
  <si>
    <t>5투명</t>
    <phoneticPr fontId="3" type="noConversion"/>
  </si>
  <si>
    <t>5CL+5로이</t>
    <phoneticPr fontId="3" type="noConversion"/>
  </si>
  <si>
    <t>5CL</t>
    <phoneticPr fontId="3" type="noConversion"/>
  </si>
  <si>
    <t>5마스터원</t>
    <phoneticPr fontId="3" type="noConversion"/>
  </si>
  <si>
    <t>26-0143</t>
    <phoneticPr fontId="3" type="noConversion"/>
  </si>
  <si>
    <t>제일-인천</t>
    <phoneticPr fontId="3" type="noConversion"/>
  </si>
  <si>
    <t>5NX</t>
    <phoneticPr fontId="3" type="noConversion"/>
  </si>
  <si>
    <t>5DURA MAX(비강화용)</t>
    <phoneticPr fontId="3" type="noConversion"/>
  </si>
  <si>
    <t>26-0146</t>
    <phoneticPr fontId="3" type="noConversion"/>
  </si>
  <si>
    <t>26-0138</t>
    <phoneticPr fontId="3" type="noConversion"/>
  </si>
  <si>
    <t xml:space="preserve"> 26-0064</t>
    <phoneticPr fontId="3" type="noConversion"/>
  </si>
  <si>
    <t>정석개발-청주테크노</t>
    <phoneticPr fontId="3" type="noConversion"/>
  </si>
  <si>
    <t>5DURA MAX</t>
    <phoneticPr fontId="3" type="noConversion"/>
  </si>
  <si>
    <t>정석개발 원판사용</t>
    <phoneticPr fontId="3" type="noConversion"/>
  </si>
  <si>
    <t>26-0063</t>
    <phoneticPr fontId="3" type="noConversion"/>
  </si>
  <si>
    <t>26-0110</t>
    <phoneticPr fontId="3" type="noConversion"/>
  </si>
  <si>
    <t>한라-월명</t>
    <phoneticPr fontId="3" type="noConversion"/>
  </si>
  <si>
    <t>5CLH/S+5로이</t>
    <phoneticPr fontId="3" type="noConversion"/>
  </si>
  <si>
    <t>5CL+5CL</t>
    <phoneticPr fontId="3" type="noConversion"/>
  </si>
  <si>
    <t>26-0065</t>
    <phoneticPr fontId="3" type="noConversion"/>
  </si>
  <si>
    <t>야간</t>
    <phoneticPr fontId="3" type="noConversion"/>
  </si>
  <si>
    <t>26-0118</t>
    <phoneticPr fontId="3" type="noConversion"/>
  </si>
  <si>
    <t>디엘-내포</t>
    <phoneticPr fontId="3" type="noConversion"/>
  </si>
  <si>
    <t>5SKN154IIH/S+5CL</t>
    <phoneticPr fontId="3" type="noConversion"/>
  </si>
  <si>
    <t>투명재단</t>
    <phoneticPr fontId="3" type="noConversion"/>
  </si>
  <si>
    <t>26-0116</t>
    <phoneticPr fontId="3" type="noConversion"/>
  </si>
  <si>
    <t>6SKN154+6CL</t>
    <phoneticPr fontId="3" type="noConversion"/>
  </si>
  <si>
    <t>5SKN154II</t>
    <phoneticPr fontId="3" type="noConversion"/>
  </si>
  <si>
    <t>오도시</t>
    <phoneticPr fontId="3" type="noConversion"/>
  </si>
  <si>
    <t>26-0106</t>
    <phoneticPr fontId="3" type="noConversion"/>
  </si>
  <si>
    <t>동성-태성</t>
    <phoneticPr fontId="3" type="noConversion"/>
  </si>
  <si>
    <t>25-2827</t>
    <phoneticPr fontId="3" type="noConversion"/>
  </si>
  <si>
    <t>태영-부산</t>
    <phoneticPr fontId="3" type="noConversion"/>
  </si>
  <si>
    <t>5CLH/S+5로이H/S</t>
    <phoneticPr fontId="3" type="noConversion"/>
  </si>
  <si>
    <t>25-2821</t>
    <phoneticPr fontId="3" type="noConversion"/>
  </si>
  <si>
    <t>25-2822</t>
    <phoneticPr fontId="3" type="noConversion"/>
  </si>
  <si>
    <t>투명재단 - 25-2827, 2821, 2822 같이재단</t>
    <phoneticPr fontId="3" type="noConversion"/>
  </si>
  <si>
    <t>8.76투명접합+5로이H/S+5로이</t>
    <phoneticPr fontId="3" type="noConversion"/>
  </si>
  <si>
    <t>로이재단 - 25-28221, 2822 같이재단</t>
    <phoneticPr fontId="3" type="noConversion"/>
  </si>
  <si>
    <t>26-0167</t>
    <phoneticPr fontId="3" type="noConversion"/>
  </si>
  <si>
    <t>로이재단</t>
    <phoneticPr fontId="3" type="noConversion"/>
  </si>
  <si>
    <t>26-0168</t>
    <phoneticPr fontId="3" type="noConversion"/>
  </si>
  <si>
    <t>26-0027</t>
    <phoneticPr fontId="3" type="noConversion"/>
  </si>
  <si>
    <t>케이씨씨-오송</t>
    <phoneticPr fontId="3" type="noConversion"/>
  </si>
  <si>
    <t>5마스터원</t>
    <phoneticPr fontId="3" type="noConversion"/>
  </si>
  <si>
    <t>(5newGN+5CL)+5로이</t>
    <phoneticPr fontId="3" type="noConversion"/>
  </si>
  <si>
    <t>26-0170</t>
    <phoneticPr fontId="3" type="noConversion"/>
  </si>
  <si>
    <t>현대-원자력</t>
    <phoneticPr fontId="3" type="noConversion"/>
  </si>
  <si>
    <t>12CL</t>
    <phoneticPr fontId="3" type="noConversion"/>
  </si>
  <si>
    <t>26-0118</t>
    <phoneticPr fontId="3" type="noConversion"/>
  </si>
  <si>
    <t>디엘-내포</t>
    <phoneticPr fontId="3" type="noConversion"/>
  </si>
  <si>
    <t>26-0168</t>
    <phoneticPr fontId="3" type="noConversion"/>
  </si>
  <si>
    <t>동성-태성</t>
    <phoneticPr fontId="3" type="noConversion"/>
  </si>
  <si>
    <t>5SKN154IIH/S+5CL</t>
    <phoneticPr fontId="3" type="noConversion"/>
  </si>
  <si>
    <t>5CL</t>
    <phoneticPr fontId="3" type="noConversion"/>
  </si>
  <si>
    <t>투명재단</t>
    <phoneticPr fontId="3" type="noConversion"/>
  </si>
  <si>
    <t>26-0167</t>
    <phoneticPr fontId="3" type="noConversion"/>
  </si>
  <si>
    <t>26-0189</t>
    <phoneticPr fontId="3" type="noConversion"/>
  </si>
  <si>
    <t>계룡-오뚜기</t>
    <phoneticPr fontId="3" type="noConversion"/>
  </si>
  <si>
    <t>5SKG149TH/S+5CLH/S</t>
    <phoneticPr fontId="3" type="noConversion"/>
  </si>
  <si>
    <t>6SKG149TH/S+6CLH/S</t>
    <phoneticPr fontId="3" type="noConversion"/>
  </si>
  <si>
    <t>오도시</t>
    <phoneticPr fontId="3" type="noConversion"/>
  </si>
  <si>
    <t>12투명강화</t>
    <phoneticPr fontId="3" type="noConversion"/>
  </si>
  <si>
    <t>26-0199</t>
    <phoneticPr fontId="3" type="noConversion"/>
  </si>
  <si>
    <t>류진종합건축</t>
    <phoneticPr fontId="3" type="noConversion"/>
  </si>
  <si>
    <t>26-0199, 0196 같이재단</t>
    <phoneticPr fontId="3" type="noConversion"/>
  </si>
  <si>
    <t>26-0196</t>
    <phoneticPr fontId="3" type="noConversion"/>
  </si>
  <si>
    <t>26-0117</t>
    <phoneticPr fontId="3" type="noConversion"/>
  </si>
  <si>
    <t>6SKN154</t>
    <phoneticPr fontId="3" type="noConversion"/>
  </si>
  <si>
    <t>26-0040</t>
    <phoneticPr fontId="3" type="noConversion"/>
  </si>
  <si>
    <t>25-2825</t>
    <phoneticPr fontId="3" type="noConversion"/>
  </si>
  <si>
    <t>태영-부산</t>
    <phoneticPr fontId="3" type="noConversion"/>
  </si>
  <si>
    <t>5CL+5로이</t>
    <phoneticPr fontId="3" type="noConversion"/>
  </si>
  <si>
    <t>5DURA MAX(비강화용)</t>
    <phoneticPr fontId="3" type="noConversion"/>
  </si>
  <si>
    <t>로이재단</t>
    <phoneticPr fontId="3" type="noConversion"/>
  </si>
  <si>
    <t>25-2824</t>
    <phoneticPr fontId="3" type="noConversion"/>
  </si>
  <si>
    <t>야간</t>
    <phoneticPr fontId="3" type="noConversion"/>
  </si>
  <si>
    <t>26-0117</t>
    <phoneticPr fontId="3" type="noConversion"/>
  </si>
  <si>
    <t>디엘-내포</t>
    <phoneticPr fontId="3" type="noConversion"/>
  </si>
  <si>
    <t>6SKN154+6CL</t>
    <phoneticPr fontId="3" type="noConversion"/>
  </si>
  <si>
    <t>6CL</t>
    <phoneticPr fontId="3" type="noConversion"/>
  </si>
  <si>
    <t>투명재단 - 생산파손</t>
    <phoneticPr fontId="3" type="noConversion"/>
  </si>
  <si>
    <t>26-0040</t>
    <phoneticPr fontId="3" type="noConversion"/>
  </si>
  <si>
    <t>5CL</t>
    <phoneticPr fontId="3" type="noConversion"/>
  </si>
  <si>
    <t>25-2826</t>
    <phoneticPr fontId="3" type="noConversion"/>
  </si>
  <si>
    <t>26-0037</t>
    <phoneticPr fontId="3" type="noConversion"/>
  </si>
  <si>
    <t>로이재단 - 1~3번, 8~9번, 11번재단 - 정석개발 원판 사용</t>
    <phoneticPr fontId="3" type="noConversion"/>
  </si>
  <si>
    <t>26-0041</t>
    <phoneticPr fontId="3" type="noConversion"/>
  </si>
  <si>
    <t>로이재단 - 11~12번, 14번 재단 -정석개발 원판 사용</t>
    <phoneticPr fontId="3" type="noConversion"/>
  </si>
  <si>
    <t>26-0105</t>
    <phoneticPr fontId="3" type="noConversion"/>
  </si>
  <si>
    <t>26-0131</t>
    <phoneticPr fontId="3" type="noConversion"/>
  </si>
  <si>
    <t>지에스-청주대</t>
    <phoneticPr fontId="3" type="noConversion"/>
  </si>
  <si>
    <t>5ONE+5newGNH/S+5ONE</t>
    <phoneticPr fontId="3" type="noConversion"/>
  </si>
  <si>
    <t>26-0105, 0131 같이재단</t>
    <phoneticPr fontId="3" type="noConversion"/>
  </si>
  <si>
    <t>로이재단 - 
4번, 6번, 11~12번, 25번, 26번 2조중 1조, 27~28번 재단 - 
26-0105, 0131 같이재단</t>
    <phoneticPr fontId="3" type="noConversion"/>
  </si>
  <si>
    <t>그린재단 - 4번, 6번, 11~12번, 25번, 26번 2조중 1조, 27~28번 재단</t>
    <phoneticPr fontId="3" type="noConversion"/>
  </si>
  <si>
    <t>그린재단 - 1~3번, 5번, 7~10번,1324번, 26번 2조 중 1조, 29번 재단</t>
    <phoneticPr fontId="3" type="noConversion"/>
  </si>
  <si>
    <t>26-0132</t>
    <phoneticPr fontId="3" type="noConversion"/>
  </si>
  <si>
    <t>26-0133</t>
    <phoneticPr fontId="3" type="noConversion"/>
  </si>
  <si>
    <t>26-0135</t>
    <phoneticPr fontId="3" type="noConversion"/>
  </si>
  <si>
    <t>26-0134</t>
    <phoneticPr fontId="3" type="noConversion"/>
  </si>
  <si>
    <t>26-0118</t>
    <phoneticPr fontId="3" type="noConversion"/>
  </si>
  <si>
    <t>12CL</t>
    <phoneticPr fontId="3" type="noConversion"/>
  </si>
  <si>
    <t>강화 생산파손</t>
    <phoneticPr fontId="3" type="noConversion"/>
  </si>
  <si>
    <t>26-0208</t>
    <phoneticPr fontId="3" type="noConversion"/>
  </si>
  <si>
    <t>26-0191</t>
    <phoneticPr fontId="3" type="noConversion"/>
  </si>
  <si>
    <t>한라-월명</t>
    <phoneticPr fontId="3" type="noConversion"/>
  </si>
  <si>
    <t>5CLH/S+5로이</t>
    <phoneticPr fontId="3" type="noConversion"/>
  </si>
  <si>
    <t>5CL</t>
    <phoneticPr fontId="3" type="noConversion"/>
  </si>
  <si>
    <t>5마스터원</t>
    <phoneticPr fontId="3" type="noConversion"/>
  </si>
  <si>
    <t>5CL+5로이</t>
    <phoneticPr fontId="3" type="noConversion"/>
  </si>
  <si>
    <t>26-0089</t>
    <phoneticPr fontId="3" type="noConversion"/>
  </si>
  <si>
    <t>태영-시흥</t>
    <phoneticPr fontId="3" type="noConversion"/>
  </si>
  <si>
    <t>5newGN+5로이</t>
    <phoneticPr fontId="3" type="noConversion"/>
  </si>
  <si>
    <t>5CL+5CL</t>
    <phoneticPr fontId="3" type="noConversion"/>
  </si>
  <si>
    <t>5CL에칭+5CL</t>
    <phoneticPr fontId="3" type="noConversion"/>
  </si>
  <si>
    <t>5PLTDURA+</t>
    <phoneticPr fontId="3" type="noConversion"/>
  </si>
  <si>
    <t>그린 오도시 재단</t>
    <phoneticPr fontId="3" type="noConversion"/>
  </si>
  <si>
    <t>26-0080</t>
    <phoneticPr fontId="3" type="noConversion"/>
  </si>
  <si>
    <t>대원-용인</t>
    <phoneticPr fontId="3" type="noConversion"/>
  </si>
  <si>
    <t>6로이+6CL</t>
    <phoneticPr fontId="3" type="noConversion"/>
  </si>
  <si>
    <t>5DURA MAX(비강화용)</t>
    <phoneticPr fontId="3" type="noConversion"/>
  </si>
  <si>
    <t>6CL</t>
    <phoneticPr fontId="3" type="noConversion"/>
  </si>
  <si>
    <t>6마스터원</t>
    <phoneticPr fontId="3" type="noConversion"/>
  </si>
  <si>
    <t>26-0130</t>
    <phoneticPr fontId="3" type="noConversion"/>
  </si>
  <si>
    <t>오도시</t>
    <phoneticPr fontId="3" type="noConversion"/>
  </si>
  <si>
    <t>로이재단 - 13번, 15~20번 재단 -정석개발 원판 사용</t>
    <phoneticPr fontId="3" type="noConversion"/>
  </si>
  <si>
    <t>야간</t>
    <phoneticPr fontId="3" type="noConversion"/>
  </si>
  <si>
    <t>26-0132</t>
    <phoneticPr fontId="3" type="noConversion"/>
  </si>
  <si>
    <t>로이재단 - 1~3번, 5번, 7~10번,1324번, 26번 2조 중 1조, 29번 재단</t>
    <phoneticPr fontId="3" type="noConversion"/>
  </si>
  <si>
    <t>26-0076</t>
    <phoneticPr fontId="3" type="noConversion"/>
  </si>
  <si>
    <t>오도시 - 지개차 파손</t>
    <phoneticPr fontId="3" type="noConversion"/>
  </si>
  <si>
    <t>로이재단 - 강화불량</t>
    <phoneticPr fontId="3" type="noConversion"/>
  </si>
  <si>
    <t>투명재단 - 오도시 강화불량</t>
    <phoneticPr fontId="3" type="noConversion"/>
  </si>
  <si>
    <t>5SKN154II</t>
    <phoneticPr fontId="3" type="noConversion"/>
  </si>
  <si>
    <t>26-0078</t>
    <phoneticPr fontId="3" type="noConversion"/>
  </si>
  <si>
    <t>26-0077</t>
    <phoneticPr fontId="3" type="noConversion"/>
  </si>
  <si>
    <t>로이재단 - 오도시 강화불량</t>
    <phoneticPr fontId="3" type="noConversion"/>
  </si>
  <si>
    <t>투명재단 - 오도시 사이즈불량</t>
    <phoneticPr fontId="3" type="noConversion"/>
  </si>
  <si>
    <t>26-0133</t>
    <phoneticPr fontId="3" type="noConversion"/>
  </si>
  <si>
    <t>일면 로이 재단</t>
    <phoneticPr fontId="3" type="noConversion"/>
  </si>
  <si>
    <t>26-0206</t>
    <phoneticPr fontId="3" type="noConversion"/>
  </si>
  <si>
    <t>케이씨씨-오송</t>
    <phoneticPr fontId="3" type="noConversion"/>
  </si>
  <si>
    <t>5CLH/S</t>
    <phoneticPr fontId="3" type="noConversion"/>
  </si>
  <si>
    <t>5CL</t>
    <phoneticPr fontId="3" type="noConversion"/>
  </si>
  <si>
    <t>26-0041</t>
    <phoneticPr fontId="3" type="noConversion"/>
  </si>
  <si>
    <t>투명재단 - 정석개발 원판 사용</t>
    <phoneticPr fontId="3" type="noConversion"/>
  </si>
  <si>
    <t>26-0169</t>
    <phoneticPr fontId="3" type="noConversion"/>
  </si>
  <si>
    <t>대우-청주테크노</t>
    <phoneticPr fontId="3" type="noConversion"/>
  </si>
  <si>
    <t>26-0104</t>
    <phoneticPr fontId="3" type="noConversion"/>
  </si>
  <si>
    <t>현산-신월</t>
    <phoneticPr fontId="3" type="noConversion"/>
  </si>
  <si>
    <t>6ONE+6CL</t>
    <phoneticPr fontId="3" type="noConversion"/>
  </si>
  <si>
    <t>6PLAONE</t>
    <phoneticPr fontId="3" type="noConversion"/>
  </si>
  <si>
    <t>6CL</t>
    <phoneticPr fontId="3" type="noConversion"/>
  </si>
  <si>
    <t>26-0134</t>
    <phoneticPr fontId="3" type="noConversion"/>
  </si>
  <si>
    <t>로이재단</t>
    <phoneticPr fontId="3" type="noConversion"/>
  </si>
  <si>
    <t>26-0135</t>
    <phoneticPr fontId="3" type="noConversion"/>
  </si>
  <si>
    <t>삼면 로이 재단</t>
    <phoneticPr fontId="3" type="noConversion"/>
  </si>
  <si>
    <t>5NX</t>
    <phoneticPr fontId="3" type="noConversion"/>
  </si>
  <si>
    <t>그린재단</t>
    <phoneticPr fontId="3" type="noConversion"/>
  </si>
  <si>
    <t>26-0034</t>
    <phoneticPr fontId="3" type="noConversion"/>
  </si>
  <si>
    <t>한우창호</t>
    <phoneticPr fontId="3" type="noConversion"/>
  </si>
  <si>
    <t>5DURA MAXH/S+5CLH/S+5DURA MAXH/S</t>
    <phoneticPr fontId="3" type="noConversion"/>
  </si>
  <si>
    <t>5DURA MAX</t>
    <phoneticPr fontId="3" type="noConversion"/>
  </si>
  <si>
    <t>5CL</t>
    <phoneticPr fontId="3" type="noConversion"/>
  </si>
  <si>
    <t>26-0042</t>
    <phoneticPr fontId="3" type="noConversion"/>
  </si>
  <si>
    <t>5NX</t>
    <phoneticPr fontId="3" type="noConversion"/>
  </si>
  <si>
    <t>정석개발 원판 사용</t>
    <phoneticPr fontId="3" type="noConversion"/>
  </si>
  <si>
    <t>26-0169</t>
    <phoneticPr fontId="3" type="noConversion"/>
  </si>
  <si>
    <t>대우-청주테크노</t>
    <phoneticPr fontId="3" type="noConversion"/>
  </si>
  <si>
    <t>5투명</t>
    <phoneticPr fontId="3" type="noConversion"/>
  </si>
  <si>
    <t>1~3번 재단</t>
    <phoneticPr fontId="3" type="noConversion"/>
  </si>
  <si>
    <t>야간</t>
    <phoneticPr fontId="3" type="noConversion"/>
  </si>
  <si>
    <t>태영-부산</t>
    <phoneticPr fontId="3" type="noConversion"/>
  </si>
  <si>
    <t>25-2824</t>
    <phoneticPr fontId="3" type="noConversion"/>
  </si>
  <si>
    <t>25-2825</t>
    <phoneticPr fontId="3" type="noConversion"/>
  </si>
  <si>
    <t>25-2826</t>
    <phoneticPr fontId="3" type="noConversion"/>
  </si>
  <si>
    <t>5CLH/S+5로이</t>
    <phoneticPr fontId="3" type="noConversion"/>
  </si>
  <si>
    <t>투명재단  - 25-2824, 2825, 2826 같이재단</t>
    <phoneticPr fontId="3" type="noConversion"/>
  </si>
  <si>
    <t>로이재단  - 25-2824, 2825, 2826 같이재단</t>
    <phoneticPr fontId="3" type="noConversion"/>
  </si>
  <si>
    <t>5DURA MAX(비강화용)</t>
    <phoneticPr fontId="3" type="noConversion"/>
  </si>
  <si>
    <t>5마스터원</t>
    <phoneticPr fontId="3" type="noConversion"/>
  </si>
  <si>
    <t>8.76투명접합+5로이H/S+5로이</t>
    <phoneticPr fontId="3" type="noConversion"/>
  </si>
  <si>
    <t>25-2823</t>
    <phoneticPr fontId="3" type="noConversion"/>
  </si>
  <si>
    <t>5CLH/S+5로이H/S</t>
    <phoneticPr fontId="3" type="noConversion"/>
  </si>
  <si>
    <t>26-0167</t>
    <phoneticPr fontId="3" type="noConversion"/>
  </si>
  <si>
    <t>동성-태성</t>
    <phoneticPr fontId="3" type="noConversion"/>
  </si>
  <si>
    <t>5SKN154IIH/S+5CL</t>
    <phoneticPr fontId="3" type="noConversion"/>
  </si>
  <si>
    <t>26-0168</t>
    <phoneticPr fontId="3" type="noConversion"/>
  </si>
  <si>
    <t>5SKN154II</t>
    <phoneticPr fontId="3" type="noConversion"/>
  </si>
  <si>
    <t>26-0027</t>
    <phoneticPr fontId="3" type="noConversion"/>
  </si>
  <si>
    <t>케이씨씨-오송</t>
    <phoneticPr fontId="3" type="noConversion"/>
  </si>
  <si>
    <t>5newGNH/S+5로이</t>
    <phoneticPr fontId="3" type="noConversion"/>
  </si>
  <si>
    <t>그린재단 - 오도시 강화불량</t>
    <phoneticPr fontId="3" type="noConversion"/>
  </si>
  <si>
    <t>26-0189</t>
    <phoneticPr fontId="3" type="noConversion"/>
  </si>
  <si>
    <t>계룡-오뚜기</t>
    <phoneticPr fontId="3" type="noConversion"/>
  </si>
  <si>
    <t>6SKG149TH/S+6CLH/S</t>
    <phoneticPr fontId="3" type="noConversion"/>
  </si>
  <si>
    <t>투명재단 - 오도시 강화불량</t>
    <phoneticPr fontId="3" type="noConversion"/>
  </si>
  <si>
    <t>25-2827</t>
    <phoneticPr fontId="3" type="noConversion"/>
  </si>
  <si>
    <t>로이재단 - 강화불량</t>
    <phoneticPr fontId="3" type="noConversion"/>
  </si>
  <si>
    <t>로이재단  - 강화불량 - 26-0167, 0168 같이재단</t>
    <phoneticPr fontId="3" type="noConversion"/>
  </si>
  <si>
    <t>26-0203</t>
    <phoneticPr fontId="3" type="noConversion"/>
  </si>
  <si>
    <t>현엔-아산</t>
    <phoneticPr fontId="3" type="noConversion"/>
  </si>
  <si>
    <t>5CL+5로이</t>
    <phoneticPr fontId="3" type="noConversion"/>
  </si>
  <si>
    <t>26-0208</t>
    <phoneticPr fontId="3" type="noConversion"/>
  </si>
  <si>
    <t>디엘-내포</t>
    <phoneticPr fontId="3" type="noConversion"/>
  </si>
  <si>
    <t>26-0204</t>
    <phoneticPr fontId="3" type="noConversion"/>
  </si>
  <si>
    <t>5ONE+5CL</t>
    <phoneticPr fontId="3" type="noConversion"/>
  </si>
  <si>
    <t>26-0207</t>
    <phoneticPr fontId="3" type="noConversion"/>
  </si>
  <si>
    <t>포스코-아산</t>
    <phoneticPr fontId="3" type="noConversion"/>
  </si>
  <si>
    <t>5SKN154+5CL</t>
    <phoneticPr fontId="3" type="noConversion"/>
  </si>
  <si>
    <t>5SKN154</t>
    <phoneticPr fontId="3" type="noConversion"/>
  </si>
  <si>
    <t>로이 오도시 재단 - 26-0204, 0207 같이재단</t>
    <phoneticPr fontId="3" type="noConversion"/>
  </si>
  <si>
    <t>26-0204, 0207 같이재단</t>
  </si>
  <si>
    <t>25-3022</t>
    <phoneticPr fontId="3" type="noConversion"/>
  </si>
  <si>
    <t>씨제이-오리온</t>
    <phoneticPr fontId="3" type="noConversion"/>
  </si>
  <si>
    <t>6SKN076IIH/S+6DIH/S</t>
    <phoneticPr fontId="3" type="noConversion"/>
  </si>
  <si>
    <t>6SKN076II</t>
    <phoneticPr fontId="3" type="noConversion"/>
  </si>
  <si>
    <t>로이재단</t>
    <phoneticPr fontId="3" type="noConversion"/>
  </si>
  <si>
    <t>26-0169</t>
    <phoneticPr fontId="3" type="noConversion"/>
  </si>
  <si>
    <t>4~6번 재단</t>
    <phoneticPr fontId="3" type="noConversion"/>
  </si>
  <si>
    <t>로이재단 - 12번 재단 - 정석개발 원판 사용</t>
    <phoneticPr fontId="3" type="noConversion"/>
  </si>
  <si>
    <t>야간</t>
    <phoneticPr fontId="3" type="noConversion"/>
  </si>
  <si>
    <t>6DI</t>
    <phoneticPr fontId="3" type="noConversion"/>
  </si>
  <si>
    <t>25-3023</t>
    <phoneticPr fontId="3" type="noConversion"/>
  </si>
  <si>
    <t>26-0043</t>
    <phoneticPr fontId="3" type="noConversion"/>
  </si>
  <si>
    <t>26-0043</t>
    <phoneticPr fontId="3" type="noConversion"/>
  </si>
  <si>
    <t>10투명강화</t>
    <phoneticPr fontId="3" type="noConversion"/>
  </si>
  <si>
    <t>10CL</t>
    <phoneticPr fontId="3" type="noConversion"/>
  </si>
  <si>
    <t>로이재단 - 11번, 13~20번 재단 - 정석개발 원판 사용</t>
    <phoneticPr fontId="3" type="noConversion"/>
  </si>
  <si>
    <t>26-0205</t>
    <phoneticPr fontId="3" type="noConversion"/>
  </si>
  <si>
    <t>한화-매봉</t>
    <phoneticPr fontId="3" type="noConversion"/>
  </si>
  <si>
    <t>26-0209</t>
    <phoneticPr fontId="3" type="noConversion"/>
  </si>
  <si>
    <t>도원-홍남초</t>
    <phoneticPr fontId="3" type="noConversion"/>
  </si>
  <si>
    <t>26-0216</t>
    <phoneticPr fontId="3" type="noConversion"/>
  </si>
  <si>
    <t>제일-의왕</t>
    <phoneticPr fontId="3" type="noConversion"/>
  </si>
  <si>
    <t>8CL</t>
    <phoneticPr fontId="3" type="noConversion"/>
  </si>
  <si>
    <t>26-0209, 0216 같이재단</t>
    <phoneticPr fontId="3" type="noConversion"/>
  </si>
  <si>
    <t>26-0214</t>
    <phoneticPr fontId="3" type="noConversion"/>
  </si>
  <si>
    <t>26-0217</t>
    <phoneticPr fontId="3" type="noConversion"/>
  </si>
  <si>
    <t>신흥유리</t>
    <phoneticPr fontId="3" type="noConversion"/>
  </si>
  <si>
    <t>로이재단 - 4~7번,10번, 12~13번재단 - 정석개발 원판 사용</t>
    <phoneticPr fontId="3" type="noConversion"/>
  </si>
  <si>
    <t>5SKN154H/S+5CLH/S</t>
    <phoneticPr fontId="3" type="noConversion"/>
  </si>
  <si>
    <t>25-3024</t>
    <phoneticPr fontId="3" type="noConversion"/>
  </si>
  <si>
    <t>6SKN076IIH/S+6DIH/S이형</t>
    <phoneticPr fontId="3" type="noConversion"/>
  </si>
  <si>
    <t>26-0192</t>
    <phoneticPr fontId="3" type="noConversion"/>
  </si>
  <si>
    <t>26-0194</t>
    <phoneticPr fontId="3" type="noConversion"/>
  </si>
  <si>
    <t>26-0037</t>
    <phoneticPr fontId="3" type="noConversion"/>
  </si>
  <si>
    <t>5NX</t>
    <phoneticPr fontId="3" type="noConversion"/>
  </si>
  <si>
    <t>26-0044</t>
    <phoneticPr fontId="3" type="noConversion"/>
  </si>
  <si>
    <t>정석개발 원판사용</t>
  </si>
  <si>
    <t>26-0193</t>
    <phoneticPr fontId="3" type="noConversion"/>
  </si>
  <si>
    <t>덕양-혁신</t>
    <phoneticPr fontId="3" type="noConversion"/>
  </si>
  <si>
    <t>26-0190</t>
    <phoneticPr fontId="3" type="noConversion"/>
  </si>
  <si>
    <t>투명, 로이 재단 - 정석개발 원판사용</t>
    <phoneticPr fontId="3" type="noConversion"/>
  </si>
  <si>
    <t>26-0222</t>
    <phoneticPr fontId="3" type="noConversion"/>
  </si>
  <si>
    <t>대우-청주테크노</t>
    <phoneticPr fontId="3" type="noConversion"/>
  </si>
  <si>
    <t>5투명</t>
    <phoneticPr fontId="3" type="noConversion"/>
  </si>
  <si>
    <t>5CL</t>
    <phoneticPr fontId="3" type="noConversion"/>
  </si>
  <si>
    <t>로이재단 - 1~4번, 7~10번 재단 - 정석개발 원판사용</t>
    <phoneticPr fontId="3" type="noConversion"/>
  </si>
  <si>
    <t>로이재단 - 5~6번 재단 - 정석개발 원판사용</t>
    <phoneticPr fontId="3" type="noConversion"/>
  </si>
  <si>
    <t>5CL+5DURA MAX</t>
    <phoneticPr fontId="3" type="noConversion"/>
  </si>
  <si>
    <t>정석개발원판사용</t>
    <phoneticPr fontId="3" type="noConversion"/>
  </si>
  <si>
    <t>26-0049</t>
    <phoneticPr fontId="3" type="noConversion"/>
  </si>
  <si>
    <t>야간</t>
    <phoneticPr fontId="3" type="noConversion"/>
  </si>
  <si>
    <t>26-0219</t>
    <phoneticPr fontId="3" type="noConversion"/>
  </si>
  <si>
    <t>오도시</t>
    <phoneticPr fontId="3" type="noConversion"/>
  </si>
  <si>
    <t>26-0210</t>
    <phoneticPr fontId="3" type="noConversion"/>
  </si>
  <si>
    <t>동성-태성</t>
    <phoneticPr fontId="3" type="noConversion"/>
  </si>
  <si>
    <t>26-0213</t>
    <phoneticPr fontId="3" type="noConversion"/>
  </si>
  <si>
    <t>5SKN154IIH/S+5CL</t>
    <phoneticPr fontId="3" type="noConversion"/>
  </si>
  <si>
    <t>5SKN154II</t>
    <phoneticPr fontId="3" type="noConversion"/>
  </si>
  <si>
    <t>로이재단 - 26-0210, 0213 같이재단</t>
    <phoneticPr fontId="3" type="noConversion"/>
  </si>
  <si>
    <t>26-0212</t>
    <phoneticPr fontId="3" type="noConversion"/>
  </si>
  <si>
    <t>로이재단</t>
    <phoneticPr fontId="3" type="noConversion"/>
  </si>
  <si>
    <t>26-0050</t>
    <phoneticPr fontId="3" type="noConversion"/>
  </si>
  <si>
    <t>로이재단 - 8번, 10~11번 재단 - 정석개발원판사용</t>
    <phoneticPr fontId="3" type="noConversion"/>
  </si>
  <si>
    <t>26-0218</t>
    <phoneticPr fontId="3" type="noConversion"/>
  </si>
  <si>
    <t>26-0211</t>
    <phoneticPr fontId="3" type="noConversion"/>
  </si>
  <si>
    <t>5NX</t>
    <phoneticPr fontId="3" type="noConversion"/>
  </si>
  <si>
    <t>5CL</t>
    <phoneticPr fontId="3" type="noConversion"/>
  </si>
  <si>
    <t>26-0237</t>
    <phoneticPr fontId="3" type="noConversion"/>
  </si>
  <si>
    <t>에스케이-청주</t>
    <phoneticPr fontId="3" type="noConversion"/>
  </si>
  <si>
    <t>26-0046</t>
    <phoneticPr fontId="3" type="noConversion"/>
  </si>
  <si>
    <t>26-0045</t>
    <phoneticPr fontId="3" type="noConversion"/>
  </si>
  <si>
    <t>로이재단 - 9번, 12~14번 재단 - 정석개발원판사용</t>
    <phoneticPr fontId="3" type="noConversion"/>
  </si>
  <si>
    <t>26-0221</t>
    <phoneticPr fontId="3" type="noConversion"/>
  </si>
  <si>
    <t>26-0220</t>
    <phoneticPr fontId="3" type="noConversion"/>
  </si>
  <si>
    <t>새늘-내덕동</t>
    <phoneticPr fontId="3" type="noConversion"/>
  </si>
  <si>
    <t>5SKN154II+5CL+5SKN154II</t>
    <phoneticPr fontId="3" type="noConversion"/>
  </si>
  <si>
    <t>26-0215</t>
    <phoneticPr fontId="3" type="noConversion"/>
  </si>
  <si>
    <t>투명재단 - 26-0210, 0213 같이재단</t>
    <phoneticPr fontId="3" type="noConversion"/>
  </si>
  <si>
    <t>26-0232</t>
    <phoneticPr fontId="3" type="noConversion"/>
  </si>
  <si>
    <t>대우-청주테크노</t>
    <phoneticPr fontId="3" type="noConversion"/>
  </si>
  <si>
    <t>5CLH/S</t>
    <phoneticPr fontId="3" type="noConversion"/>
  </si>
  <si>
    <t>26-0233</t>
    <phoneticPr fontId="3" type="noConversion"/>
  </si>
  <si>
    <t>현엔-아산</t>
    <phoneticPr fontId="3" type="noConversion"/>
  </si>
  <si>
    <t>5CL+5로이</t>
    <phoneticPr fontId="3" type="noConversion"/>
  </si>
  <si>
    <t>5CL</t>
    <phoneticPr fontId="3" type="noConversion"/>
  </si>
  <si>
    <t>26-0232, 0233 같이재단</t>
    <phoneticPr fontId="3" type="noConversion"/>
  </si>
  <si>
    <t>26-0232, 0233 같이재단 - 로이 오도시 재단</t>
    <phoneticPr fontId="3" type="noConversion"/>
  </si>
  <si>
    <t>26-0047</t>
    <phoneticPr fontId="3" type="noConversion"/>
  </si>
  <si>
    <t>26-0048</t>
    <phoneticPr fontId="3" type="noConversion"/>
  </si>
  <si>
    <t>그린재단 - 정석개발원판사용 - 1~4번, 8번 재단</t>
    <phoneticPr fontId="3" type="noConversion"/>
  </si>
  <si>
    <t>그린재단 - 정석개발원판사용 - 5~7번 재단</t>
    <phoneticPr fontId="3" type="noConversion"/>
  </si>
  <si>
    <t>5DURA MAX</t>
    <phoneticPr fontId="3" type="noConversion"/>
  </si>
  <si>
    <t>로이재단 - 정석개발원판사용</t>
    <phoneticPr fontId="3" type="noConversion"/>
  </si>
  <si>
    <t>정석개발 원판 사용</t>
    <phoneticPr fontId="3" type="noConversion"/>
  </si>
  <si>
    <t>26-0197</t>
    <phoneticPr fontId="3" type="noConversion"/>
  </si>
  <si>
    <t>디엘-대전</t>
    <phoneticPr fontId="3" type="noConversion"/>
  </si>
  <si>
    <t>6로이+6투명</t>
    <phoneticPr fontId="3" type="noConversion"/>
  </si>
  <si>
    <t>6로이+(4CL+4CL)</t>
    <phoneticPr fontId="3" type="noConversion"/>
  </si>
  <si>
    <t>5CL+5CL</t>
    <phoneticPr fontId="3" type="noConversion"/>
  </si>
  <si>
    <t>6마스터원</t>
    <phoneticPr fontId="3" type="noConversion"/>
  </si>
  <si>
    <t>6CL</t>
    <phoneticPr fontId="3" type="noConversion"/>
  </si>
  <si>
    <t>26-0198</t>
    <phoneticPr fontId="3" type="noConversion"/>
  </si>
  <si>
    <t>오도시</t>
    <phoneticPr fontId="3" type="noConversion"/>
  </si>
  <si>
    <t>25-2740</t>
    <phoneticPr fontId="3" type="noConversion"/>
  </si>
  <si>
    <t>신동아-하나은행</t>
    <phoneticPr fontId="3" type="noConversion"/>
  </si>
  <si>
    <t>6SKN176IIH/S+6CL</t>
    <phoneticPr fontId="3" type="noConversion"/>
  </si>
  <si>
    <t>투명재단</t>
    <phoneticPr fontId="3" type="noConversion"/>
  </si>
  <si>
    <t>26-0051</t>
    <phoneticPr fontId="3" type="noConversion"/>
  </si>
  <si>
    <t>25-2713</t>
    <phoneticPr fontId="3" type="noConversion"/>
  </si>
  <si>
    <t>제일-인천</t>
    <phoneticPr fontId="3" type="noConversion"/>
  </si>
  <si>
    <t>5newGNH/S+5로이H/S</t>
    <phoneticPr fontId="3" type="noConversion"/>
  </si>
  <si>
    <t>5newGN+5로이</t>
    <phoneticPr fontId="3" type="noConversion"/>
  </si>
  <si>
    <t>5NX</t>
    <phoneticPr fontId="3" type="noConversion"/>
  </si>
  <si>
    <t>5마스터원</t>
    <phoneticPr fontId="3" type="noConversion"/>
  </si>
  <si>
    <t>2~3번 재단</t>
    <phoneticPr fontId="3" type="noConversion"/>
  </si>
  <si>
    <t>26-0235</t>
    <phoneticPr fontId="3" type="noConversion"/>
  </si>
  <si>
    <t>지에스-청주대</t>
    <phoneticPr fontId="3" type="noConversion"/>
  </si>
  <si>
    <t>5PLAONE</t>
    <phoneticPr fontId="3" type="noConversion"/>
  </si>
  <si>
    <t>26-0234</t>
    <phoneticPr fontId="3" type="noConversion"/>
  </si>
  <si>
    <t>계룡-오뚜기</t>
    <phoneticPr fontId="3" type="noConversion"/>
  </si>
  <si>
    <t>5SKG149TH/S+5CLH/S</t>
    <phoneticPr fontId="3" type="noConversion"/>
  </si>
  <si>
    <t>6SKG149TH/S+6CLH/S</t>
    <phoneticPr fontId="3" type="noConversion"/>
  </si>
  <si>
    <t>5SKG149T</t>
    <phoneticPr fontId="3" type="noConversion"/>
  </si>
  <si>
    <t>25-2711</t>
    <phoneticPr fontId="3" type="noConversion"/>
  </si>
  <si>
    <t>25-2712</t>
    <phoneticPr fontId="3" type="noConversion"/>
  </si>
  <si>
    <t>25-2714</t>
    <phoneticPr fontId="3" type="noConversion"/>
  </si>
  <si>
    <t>26-0028</t>
    <phoneticPr fontId="3" type="noConversion"/>
  </si>
  <si>
    <t>26-0029</t>
    <phoneticPr fontId="3" type="noConversion"/>
  </si>
  <si>
    <t>26-0030</t>
    <phoneticPr fontId="3" type="noConversion"/>
  </si>
  <si>
    <t>26-0031</t>
    <phoneticPr fontId="3" type="noConversion"/>
  </si>
  <si>
    <t>25-2711, 2712, 2714, 26-0028, 0029, 0030, 0031 같이재단</t>
    <phoneticPr fontId="3" type="noConversion"/>
  </si>
  <si>
    <t>투명재단 - 26-0193, 0190 같이재단</t>
    <phoneticPr fontId="3" type="noConversion"/>
  </si>
  <si>
    <t>투명재단 - 26-0192, 0194 같이재단</t>
    <phoneticPr fontId="3" type="noConversion"/>
  </si>
  <si>
    <t>26-0211</t>
    <phoneticPr fontId="3" type="noConversion"/>
  </si>
  <si>
    <t>동성-태성</t>
    <phoneticPr fontId="3" type="noConversion"/>
  </si>
  <si>
    <t>5SKN154IIH/S+5CL</t>
    <phoneticPr fontId="3" type="noConversion"/>
  </si>
  <si>
    <t>5SKN154II</t>
    <phoneticPr fontId="3" type="noConversion"/>
  </si>
  <si>
    <t>26-0212</t>
    <phoneticPr fontId="3" type="noConversion"/>
  </si>
  <si>
    <t>26-0210</t>
    <phoneticPr fontId="3" type="noConversion"/>
  </si>
  <si>
    <t>로이재단 - 강화불량 26-0211, 0212, 0210 같이재단</t>
    <phoneticPr fontId="3" type="noConversion"/>
  </si>
  <si>
    <t>25-2938</t>
    <phoneticPr fontId="3" type="noConversion"/>
  </si>
  <si>
    <t>태영-부산</t>
    <phoneticPr fontId="3" type="noConversion"/>
  </si>
  <si>
    <t>5CLH/S+5로이</t>
    <phoneticPr fontId="3" type="noConversion"/>
  </si>
  <si>
    <t>5CL</t>
    <phoneticPr fontId="3" type="noConversion"/>
  </si>
  <si>
    <t>5DURA MAX(비강화용)</t>
    <phoneticPr fontId="3" type="noConversion"/>
  </si>
  <si>
    <t>야간</t>
    <phoneticPr fontId="3" type="noConversion"/>
  </si>
  <si>
    <t>26-0052</t>
    <phoneticPr fontId="3" type="noConversion"/>
  </si>
  <si>
    <t>25-2711</t>
    <phoneticPr fontId="3" type="noConversion"/>
  </si>
  <si>
    <t>제일-인천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</si>
  <si>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</si>
  <si>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</si>
  <si>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</si>
  <si>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5CL+5로이</t>
    <phoneticPr fontId="3" type="noConversion"/>
  </si>
  <si>
    <t>25-2713</t>
    <phoneticPr fontId="3" type="noConversion"/>
  </si>
  <si>
    <t>제일-인천</t>
    <phoneticPr fontId="3" type="noConversion"/>
  </si>
  <si>
    <t>26-0249</t>
    <phoneticPr fontId="3" type="noConversion"/>
  </si>
  <si>
    <t>대건-형석고</t>
    <phoneticPr fontId="3" type="noConversion"/>
  </si>
  <si>
    <t>5SKN154IIH/S+5CL</t>
    <phoneticPr fontId="3" type="noConversion"/>
  </si>
  <si>
    <t>5SKN154II</t>
    <phoneticPr fontId="3" type="noConversion"/>
  </si>
  <si>
    <t>5CL</t>
    <phoneticPr fontId="3" type="noConversion"/>
  </si>
  <si>
    <t>26-0243</t>
    <phoneticPr fontId="3" type="noConversion"/>
  </si>
  <si>
    <t>다솔산업</t>
    <phoneticPr fontId="3" type="noConversion"/>
  </si>
  <si>
    <t>5newGN+5DURA MAX</t>
    <phoneticPr fontId="3" type="noConversion"/>
  </si>
  <si>
    <t>5NX</t>
    <phoneticPr fontId="3" type="noConversion"/>
  </si>
  <si>
    <t>26-0248</t>
    <phoneticPr fontId="3" type="noConversion"/>
  </si>
  <si>
    <t>신흥유리</t>
    <phoneticPr fontId="3" type="noConversion"/>
  </si>
  <si>
    <t>5newGN+5CL</t>
    <phoneticPr fontId="3" type="noConversion"/>
  </si>
  <si>
    <t>26-0242</t>
    <phoneticPr fontId="3" type="noConversion"/>
  </si>
  <si>
    <t>한라-월명</t>
    <phoneticPr fontId="3" type="noConversion"/>
  </si>
  <si>
    <t>5CLH/S+5로이</t>
    <phoneticPr fontId="3" type="noConversion"/>
  </si>
  <si>
    <t>5CL+5로이</t>
    <phoneticPr fontId="3" type="noConversion"/>
  </si>
  <si>
    <t>5마스터원</t>
    <phoneticPr fontId="3" type="noConversion"/>
  </si>
  <si>
    <t>야간</t>
    <phoneticPr fontId="3" type="noConversion"/>
  </si>
  <si>
    <t>26-0215</t>
    <phoneticPr fontId="3" type="noConversion"/>
  </si>
  <si>
    <t>동성-태성</t>
    <phoneticPr fontId="3" type="noConversion"/>
  </si>
  <si>
    <t>로이재단-오도시 강화불량</t>
    <phoneticPr fontId="3" type="noConversion"/>
  </si>
  <si>
    <t>투명재단</t>
    <phoneticPr fontId="3" type="noConversion"/>
  </si>
  <si>
    <t>6SKN176II</t>
    <phoneticPr fontId="3" type="noConversion"/>
  </si>
  <si>
    <t>로이재단</t>
    <phoneticPr fontId="3" type="noConversion"/>
  </si>
  <si>
    <t>25-2714</t>
    <phoneticPr fontId="3" type="noConversion"/>
  </si>
  <si>
    <t>25-2946</t>
    <phoneticPr fontId="3" type="noConversion"/>
  </si>
  <si>
    <t>태영-부산</t>
    <phoneticPr fontId="3" type="noConversion"/>
  </si>
  <si>
    <t>로이재단</t>
    <phoneticPr fontId="3" type="noConversion"/>
  </si>
  <si>
    <t>투명재단 -5~6번, 10번 재단</t>
    <phoneticPr fontId="3" type="noConversion"/>
  </si>
  <si>
    <t>26-0200</t>
    <phoneticPr fontId="3" type="noConversion"/>
  </si>
  <si>
    <t>6SKN176IIH/S+6CL에칭</t>
    <phoneticPr fontId="3" type="noConversion"/>
  </si>
  <si>
    <t>26-0247</t>
    <phoneticPr fontId="3" type="noConversion"/>
  </si>
  <si>
    <t>동성-태성</t>
    <phoneticPr fontId="3" type="noConversion"/>
  </si>
  <si>
    <t>5SKN154II</t>
    <phoneticPr fontId="3" type="noConversion"/>
  </si>
  <si>
    <t>26-0244</t>
    <phoneticPr fontId="3" type="noConversion"/>
  </si>
  <si>
    <t>26-0245</t>
    <phoneticPr fontId="3" type="noConversion"/>
  </si>
  <si>
    <t>26-0246</t>
    <phoneticPr fontId="3" type="noConversion"/>
  </si>
  <si>
    <t>26-0254</t>
    <phoneticPr fontId="3" type="noConversion"/>
  </si>
  <si>
    <t>26-0254, 25-2946 같이재단</t>
    <phoneticPr fontId="3" type="noConversion"/>
  </si>
  <si>
    <t>투명재단 -7~9번, 11번 재단 - 26-0254, 25-2946 같이재단</t>
    <phoneticPr fontId="3" type="noConversion"/>
  </si>
  <si>
    <t>26-0240</t>
    <phoneticPr fontId="3" type="noConversion"/>
  </si>
  <si>
    <t>26-0241</t>
    <phoneticPr fontId="3" type="noConversion"/>
  </si>
  <si>
    <t>5SKN154II</t>
  </si>
  <si>
    <t>투명재단 - 1~2번 재단</t>
    <phoneticPr fontId="3" type="noConversion"/>
  </si>
  <si>
    <t>26-0239</t>
    <phoneticPr fontId="3" type="noConversion"/>
  </si>
  <si>
    <t>26-0238</t>
    <phoneticPr fontId="3" type="noConversion"/>
  </si>
  <si>
    <t>5BLH/S+5CLH/S</t>
    <phoneticPr fontId="3" type="noConversion"/>
  </si>
  <si>
    <t>5SKN176IIH/S+5CL</t>
    <phoneticPr fontId="3" type="noConversion"/>
  </si>
  <si>
    <t>5SKN176II</t>
    <phoneticPr fontId="3" type="noConversion"/>
  </si>
  <si>
    <t>26-0250</t>
    <phoneticPr fontId="3" type="noConversion"/>
  </si>
  <si>
    <t>정석-청주테크노</t>
    <phoneticPr fontId="3" type="noConversion"/>
  </si>
  <si>
    <t>5newGN+5DURA MAX</t>
    <phoneticPr fontId="3" type="noConversion"/>
  </si>
  <si>
    <t>5NX</t>
    <phoneticPr fontId="3" type="noConversion"/>
  </si>
  <si>
    <t>오도시 재단</t>
    <phoneticPr fontId="3" type="noConversion"/>
  </si>
  <si>
    <t>5CL+5DURA MAX</t>
    <phoneticPr fontId="3" type="noConversion"/>
  </si>
  <si>
    <t>26-0253</t>
    <phoneticPr fontId="3" type="noConversion"/>
  </si>
  <si>
    <t>정석-청주테크노</t>
    <phoneticPr fontId="3" type="noConversion"/>
  </si>
  <si>
    <t>5newGN+5DURA MAX</t>
    <phoneticPr fontId="3" type="noConversion"/>
  </si>
  <si>
    <t>26-0258</t>
    <phoneticPr fontId="3" type="noConversion"/>
  </si>
  <si>
    <t>한화-매봉공원</t>
    <phoneticPr fontId="3" type="noConversion"/>
  </si>
  <si>
    <t>5CL+5로이</t>
    <phoneticPr fontId="3" type="noConversion"/>
  </si>
  <si>
    <t>5CLH/S+5ECT173H/S+5ECT173H/S</t>
    <phoneticPr fontId="3" type="noConversion"/>
  </si>
  <si>
    <t>(4CL+4CL)+5로이</t>
    <phoneticPr fontId="3" type="noConversion"/>
  </si>
  <si>
    <t>5CL+5CL</t>
    <phoneticPr fontId="3" type="noConversion"/>
  </si>
  <si>
    <t>5CL</t>
    <phoneticPr fontId="3" type="noConversion"/>
  </si>
  <si>
    <t>3~5번, 10번, 11번 같이 재단</t>
    <phoneticPr fontId="3" type="noConversion"/>
  </si>
  <si>
    <t>5마스터원</t>
    <phoneticPr fontId="3" type="noConversion"/>
  </si>
  <si>
    <t>3~5번, 7~9번 같이 재단</t>
    <phoneticPr fontId="3" type="noConversion"/>
  </si>
  <si>
    <t>5ECT</t>
    <phoneticPr fontId="3" type="noConversion"/>
  </si>
  <si>
    <t>10번 오도시 재단</t>
    <phoneticPr fontId="3" type="noConversion"/>
  </si>
  <si>
    <t>26-0263</t>
    <phoneticPr fontId="3" type="noConversion"/>
  </si>
  <si>
    <t>대성-천호동</t>
    <phoneticPr fontId="3" type="noConversion"/>
  </si>
  <si>
    <t>5SUPERPLUS1.0H/S+5SUPERPLUS1.0H/S+5CL</t>
    <phoneticPr fontId="3" type="noConversion"/>
  </si>
  <si>
    <t>5SUPERPLUS1.0H/S+5SUPERPLUS1.0H/S+5CL</t>
    <phoneticPr fontId="3" type="noConversion"/>
  </si>
  <si>
    <t>태영-부산메디컬</t>
    <phoneticPr fontId="3" type="noConversion"/>
  </si>
  <si>
    <t>5CLH/S+5로이</t>
    <phoneticPr fontId="3" type="noConversion"/>
  </si>
  <si>
    <t>5CL</t>
    <phoneticPr fontId="3" type="noConversion"/>
  </si>
  <si>
    <t>5마스터원</t>
    <phoneticPr fontId="3" type="noConversion"/>
  </si>
  <si>
    <t>25-2938</t>
    <phoneticPr fontId="3" type="noConversion"/>
  </si>
  <si>
    <t>투명접합+5로이H/S+5로이</t>
    <phoneticPr fontId="3" type="noConversion"/>
  </si>
  <si>
    <t>5마스터원</t>
    <phoneticPr fontId="3" type="noConversion"/>
  </si>
  <si>
    <t>26-0035</t>
    <phoneticPr fontId="3" type="noConversion"/>
  </si>
  <si>
    <t>케이씨씨-오송역</t>
    <phoneticPr fontId="3" type="noConversion"/>
  </si>
  <si>
    <t>(5newGN+5CL)+5로이</t>
    <phoneticPr fontId="3" type="noConversion"/>
  </si>
  <si>
    <t>5CL</t>
    <phoneticPr fontId="3" type="noConversion"/>
  </si>
  <si>
    <t>1~4번, 5번 같이재단</t>
    <phoneticPr fontId="3" type="noConversion"/>
  </si>
  <si>
    <t>26-0256</t>
    <phoneticPr fontId="3" type="noConversion"/>
  </si>
  <si>
    <t>케이씨씨-오송</t>
    <phoneticPr fontId="3" type="noConversion"/>
  </si>
  <si>
    <t>5CLH/S</t>
    <phoneticPr fontId="3" type="noConversion"/>
  </si>
  <si>
    <t>5CL</t>
    <phoneticPr fontId="3" type="noConversion"/>
  </si>
  <si>
    <t>26-0275</t>
    <phoneticPr fontId="3" type="noConversion"/>
  </si>
  <si>
    <t>디엘-대전</t>
    <phoneticPr fontId="3" type="noConversion"/>
  </si>
  <si>
    <t>6로이+6투명</t>
    <phoneticPr fontId="3" type="noConversion"/>
  </si>
  <si>
    <t>오도시</t>
    <phoneticPr fontId="3" type="noConversion"/>
  </si>
  <si>
    <t>26-0263</t>
    <phoneticPr fontId="3" type="noConversion"/>
  </si>
  <si>
    <t>대성-청호동</t>
    <phoneticPr fontId="3" type="noConversion"/>
  </si>
  <si>
    <t>5CLH/S+5ONEIIH/S</t>
    <phoneticPr fontId="3" type="noConversion"/>
  </si>
  <si>
    <t>5마스터원</t>
    <phoneticPr fontId="3" type="noConversion"/>
  </si>
  <si>
    <t>26-0252</t>
    <phoneticPr fontId="3" type="noConversion"/>
  </si>
  <si>
    <t>정석개발-청주테크노</t>
    <phoneticPr fontId="3" type="noConversion"/>
  </si>
  <si>
    <t>5newGN+5DURA MAX</t>
    <phoneticPr fontId="3" type="noConversion"/>
  </si>
  <si>
    <t>5CL+5DURA MAX</t>
    <phoneticPr fontId="3" type="noConversion"/>
  </si>
  <si>
    <t>5NX</t>
    <phoneticPr fontId="3" type="noConversion"/>
  </si>
  <si>
    <t>5DURA MAX</t>
    <phoneticPr fontId="3" type="noConversion"/>
  </si>
  <si>
    <t>정석개발 원판 사용</t>
    <phoneticPr fontId="3" type="noConversion"/>
  </si>
  <si>
    <t>26-0251</t>
    <phoneticPr fontId="3" type="noConversion"/>
  </si>
  <si>
    <t>투명 오도시 재단</t>
    <phoneticPr fontId="3" type="noConversion"/>
  </si>
  <si>
    <t>5CL+5로이</t>
    <phoneticPr fontId="3" type="noConversion"/>
  </si>
  <si>
    <t>5DURA MAX(비강화용)</t>
    <phoneticPr fontId="3" type="noConversion"/>
  </si>
  <si>
    <t>로이재단</t>
    <phoneticPr fontId="3" type="noConversion"/>
  </si>
  <si>
    <t>투명, 로이재단</t>
    <phoneticPr fontId="3" type="noConversion"/>
  </si>
  <si>
    <t>야간</t>
    <phoneticPr fontId="3" type="noConversion"/>
  </si>
  <si>
    <t>26-0035</t>
    <phoneticPr fontId="3" type="noConversion"/>
  </si>
  <si>
    <t>그린재단</t>
    <phoneticPr fontId="3" type="noConversion"/>
  </si>
  <si>
    <t>26-0200</t>
    <phoneticPr fontId="3" type="noConversion"/>
  </si>
  <si>
    <t>5SKN176II</t>
    <phoneticPr fontId="3" type="noConversion"/>
  </si>
  <si>
    <t>로이재단 - 원판불량</t>
    <phoneticPr fontId="3" type="noConversion"/>
  </si>
  <si>
    <t>5newGNH/S+5로이</t>
    <phoneticPr fontId="3" type="noConversion"/>
  </si>
  <si>
    <t>25-2937</t>
    <phoneticPr fontId="3" type="noConversion"/>
  </si>
  <si>
    <t>25-2935</t>
    <phoneticPr fontId="3" type="noConversion"/>
  </si>
  <si>
    <t>투명재단</t>
    <phoneticPr fontId="3" type="noConversion"/>
  </si>
  <si>
    <t>로이재단 - 11~12번, 14번 재단</t>
    <phoneticPr fontId="3" type="noConversion"/>
  </si>
  <si>
    <t>26-0271</t>
    <phoneticPr fontId="3" type="noConversion"/>
  </si>
  <si>
    <t>지에스-청주대</t>
    <phoneticPr fontId="3" type="noConversion"/>
  </si>
  <si>
    <t>5ONE+5newGNH/S+5ONE</t>
    <phoneticPr fontId="3" type="noConversion"/>
  </si>
  <si>
    <t>5PLAONE</t>
    <phoneticPr fontId="3" type="noConversion"/>
  </si>
  <si>
    <t>5NX</t>
    <phoneticPr fontId="3" type="noConversion"/>
  </si>
  <si>
    <t>26-0276</t>
    <phoneticPr fontId="3" type="noConversion"/>
  </si>
  <si>
    <t>동성-태성</t>
    <phoneticPr fontId="3" type="noConversion"/>
  </si>
  <si>
    <t>5SKN154IIH/S+5CL</t>
    <phoneticPr fontId="3" type="noConversion"/>
  </si>
  <si>
    <t>5SKN154II</t>
    <phoneticPr fontId="3" type="noConversion"/>
  </si>
  <si>
    <t>5CL</t>
    <phoneticPr fontId="3" type="noConversion"/>
  </si>
  <si>
    <t>26-0269</t>
    <phoneticPr fontId="3" type="noConversion"/>
  </si>
  <si>
    <t>26-0264</t>
    <phoneticPr fontId="3" type="noConversion"/>
  </si>
  <si>
    <t>현산-신월</t>
    <phoneticPr fontId="3" type="noConversion"/>
  </si>
  <si>
    <t>5ONE+5ONE</t>
    <phoneticPr fontId="3" type="noConversion"/>
  </si>
  <si>
    <t>6ONE+6ONE</t>
    <phoneticPr fontId="3" type="noConversion"/>
  </si>
  <si>
    <t>6PLONE</t>
    <phoneticPr fontId="3" type="noConversion"/>
  </si>
  <si>
    <t>26-0270</t>
    <phoneticPr fontId="3" type="noConversion"/>
  </si>
  <si>
    <t>씨제이-오리온</t>
    <phoneticPr fontId="3" type="noConversion"/>
  </si>
  <si>
    <t>6SKS142IIH/S+6CLH/S</t>
    <phoneticPr fontId="3" type="noConversion"/>
  </si>
  <si>
    <t>6SKS142IIH/S+6스펜드럴H/S</t>
    <phoneticPr fontId="3" type="noConversion"/>
  </si>
  <si>
    <t>6SKS142II</t>
    <phoneticPr fontId="3" type="noConversion"/>
  </si>
  <si>
    <t>로이재단</t>
    <phoneticPr fontId="3" type="noConversion"/>
  </si>
  <si>
    <t>26-0028</t>
    <phoneticPr fontId="3" type="noConversion"/>
  </si>
  <si>
    <t>제일-인천검단</t>
    <phoneticPr fontId="3" type="noConversion"/>
  </si>
  <si>
    <t>5NX+5로이</t>
    <phoneticPr fontId="3" type="noConversion"/>
  </si>
  <si>
    <t>로이재단</t>
    <phoneticPr fontId="3" type="noConversion"/>
  </si>
  <si>
    <t>25-2935</t>
    <phoneticPr fontId="3" type="noConversion"/>
  </si>
  <si>
    <t>태영-부산</t>
    <phoneticPr fontId="3" type="noConversion"/>
  </si>
  <si>
    <t>5CLH/S+5로이</t>
    <phoneticPr fontId="3" type="noConversion"/>
  </si>
  <si>
    <t>5CL</t>
    <phoneticPr fontId="3" type="noConversion"/>
  </si>
  <si>
    <t>8.76+5로이H/S+5로이</t>
    <phoneticPr fontId="3" type="noConversion"/>
  </si>
  <si>
    <t>5마스터원</t>
    <phoneticPr fontId="3" type="noConversion"/>
  </si>
  <si>
    <t>8.76+로이</t>
    <phoneticPr fontId="3" type="noConversion"/>
  </si>
  <si>
    <t>5CL+5로이</t>
    <phoneticPr fontId="3" type="noConversion"/>
  </si>
  <si>
    <t>로이재단</t>
    <phoneticPr fontId="3" type="noConversion"/>
  </si>
  <si>
    <t>25-2937</t>
    <phoneticPr fontId="3" type="noConversion"/>
  </si>
  <si>
    <t>26-0277</t>
    <phoneticPr fontId="3" type="noConversion"/>
  </si>
  <si>
    <t>계룡-KT</t>
    <phoneticPr fontId="3" type="noConversion"/>
  </si>
  <si>
    <t>5CL+5DURA MAX</t>
    <phoneticPr fontId="3" type="noConversion"/>
  </si>
  <si>
    <t>5CL</t>
    <phoneticPr fontId="3" type="noConversion"/>
  </si>
  <si>
    <t>오도시</t>
    <phoneticPr fontId="3" type="noConversion"/>
  </si>
  <si>
    <t>26-0257</t>
    <phoneticPr fontId="3" type="noConversion"/>
  </si>
  <si>
    <t>현대-청주고속터미널</t>
    <phoneticPr fontId="3" type="noConversion"/>
  </si>
  <si>
    <t>5CL+5CL</t>
    <phoneticPr fontId="3" type="noConversion"/>
  </si>
  <si>
    <t>5CLH/S+5로이H/S</t>
    <phoneticPr fontId="3" type="noConversion"/>
  </si>
  <si>
    <t>5CL</t>
    <phoneticPr fontId="3" type="noConversion"/>
  </si>
  <si>
    <t>5마스터원</t>
    <phoneticPr fontId="3" type="noConversion"/>
  </si>
  <si>
    <t>현대-광주</t>
    <phoneticPr fontId="3" type="noConversion"/>
  </si>
  <si>
    <t>야간</t>
    <phoneticPr fontId="3" type="noConversion"/>
  </si>
  <si>
    <t>태영-부산</t>
    <phoneticPr fontId="3" type="noConversion"/>
  </si>
  <si>
    <t>26-0259</t>
    <phoneticPr fontId="3" type="noConversion"/>
  </si>
  <si>
    <t>5SKN154IIH/S+5CLH/S</t>
    <phoneticPr fontId="3" type="noConversion"/>
  </si>
  <si>
    <t>5투명</t>
    <phoneticPr fontId="3" type="noConversion"/>
  </si>
  <si>
    <t>5SKN154II</t>
    <phoneticPr fontId="3" type="noConversion"/>
  </si>
  <si>
    <t>5CL</t>
    <phoneticPr fontId="3" type="noConversion"/>
  </si>
  <si>
    <t>26-0260</t>
    <phoneticPr fontId="3" type="noConversion"/>
  </si>
  <si>
    <t>26-0238</t>
    <phoneticPr fontId="3" type="noConversion"/>
  </si>
  <si>
    <t>계룡-원주의료원</t>
    <phoneticPr fontId="3" type="noConversion"/>
  </si>
  <si>
    <t>5SKN154IIH/S+5CL</t>
    <phoneticPr fontId="3" type="noConversion"/>
  </si>
  <si>
    <t>26-0239</t>
    <phoneticPr fontId="3" type="noConversion"/>
  </si>
  <si>
    <t>투명재단</t>
    <phoneticPr fontId="3" type="noConversion"/>
  </si>
  <si>
    <t>투명재단</t>
    <phoneticPr fontId="3" type="noConversion"/>
  </si>
  <si>
    <t>26-0240</t>
    <phoneticPr fontId="3" type="noConversion"/>
  </si>
  <si>
    <t>26-0241</t>
    <phoneticPr fontId="3" type="noConversion"/>
  </si>
  <si>
    <t>26-0265</t>
    <phoneticPr fontId="3" type="noConversion"/>
  </si>
  <si>
    <t>현대-신월2</t>
    <phoneticPr fontId="3" type="noConversion"/>
  </si>
  <si>
    <t>5ONE+5ONE</t>
    <phoneticPr fontId="3" type="noConversion"/>
  </si>
  <si>
    <t>5ONE</t>
    <phoneticPr fontId="3" type="noConversion"/>
  </si>
  <si>
    <t>26-0255</t>
    <phoneticPr fontId="3" type="noConversion"/>
  </si>
  <si>
    <t>계룡-경기부천</t>
    <phoneticPr fontId="3" type="noConversion"/>
  </si>
  <si>
    <t>6SKN154II+6CL</t>
    <phoneticPr fontId="3" type="noConversion"/>
  </si>
  <si>
    <t>6CL</t>
    <phoneticPr fontId="3" type="noConversion"/>
  </si>
  <si>
    <t>6SKN154II</t>
    <phoneticPr fontId="3" type="noConversion"/>
  </si>
  <si>
    <t>26-0279</t>
    <phoneticPr fontId="3" type="noConversion"/>
  </si>
  <si>
    <t>동성-태성</t>
    <phoneticPr fontId="3" type="noConversion"/>
  </si>
  <si>
    <t>5SKN154IIH/S+5CL</t>
    <phoneticPr fontId="3" type="noConversion"/>
  </si>
  <si>
    <t>5CL</t>
    <phoneticPr fontId="3" type="noConversion"/>
  </si>
  <si>
    <t>5SKN154II</t>
    <phoneticPr fontId="3" type="noConversion"/>
  </si>
  <si>
    <t>26-0281</t>
    <phoneticPr fontId="3" type="noConversion"/>
  </si>
  <si>
    <t>씨제이-오리온</t>
    <phoneticPr fontId="3" type="noConversion"/>
  </si>
  <si>
    <t>6SKS142IIH/S+6스팬드럴H/S</t>
    <phoneticPr fontId="3" type="noConversion"/>
  </si>
  <si>
    <t>6SKS142II</t>
    <phoneticPr fontId="3" type="noConversion"/>
  </si>
  <si>
    <t>오도시</t>
    <phoneticPr fontId="3" type="noConversion"/>
  </si>
  <si>
    <t>26-0283</t>
    <phoneticPr fontId="3" type="noConversion"/>
  </si>
  <si>
    <t>신흥유리</t>
    <phoneticPr fontId="3" type="noConversion"/>
  </si>
  <si>
    <t>5SKN154+5CL</t>
    <phoneticPr fontId="3" type="noConversion"/>
  </si>
  <si>
    <t>5SKN154</t>
    <phoneticPr fontId="3" type="noConversion"/>
  </si>
  <si>
    <t>5CL</t>
    <phoneticPr fontId="3" type="noConversion"/>
  </si>
  <si>
    <t>26-0193</t>
    <phoneticPr fontId="3" type="noConversion"/>
  </si>
  <si>
    <t>덕양-혁신기술</t>
    <phoneticPr fontId="3" type="noConversion"/>
  </si>
  <si>
    <t>5SKN154IIH/S+5CL</t>
    <phoneticPr fontId="3" type="noConversion"/>
  </si>
  <si>
    <t>26-0194</t>
    <phoneticPr fontId="3" type="noConversion"/>
  </si>
  <si>
    <t>5SKN154II</t>
    <phoneticPr fontId="3" type="noConversion"/>
  </si>
  <si>
    <t>로이재단-강화불량</t>
    <phoneticPr fontId="3" type="noConversion"/>
  </si>
  <si>
    <t>26-0192</t>
    <phoneticPr fontId="3" type="noConversion"/>
  </si>
  <si>
    <t>26-0262</t>
    <phoneticPr fontId="3" type="noConversion"/>
  </si>
  <si>
    <t>6ONE</t>
    <phoneticPr fontId="3" type="noConversion"/>
  </si>
  <si>
    <t>6ONE+6CL</t>
    <phoneticPr fontId="3" type="noConversion"/>
  </si>
  <si>
    <t>26-0264</t>
    <phoneticPr fontId="3" type="noConversion"/>
  </si>
  <si>
    <t>6ONE+6ONE</t>
    <phoneticPr fontId="3" type="noConversion"/>
  </si>
  <si>
    <t>5ONE</t>
    <phoneticPr fontId="3" type="noConversion"/>
  </si>
  <si>
    <t>25-2938</t>
    <phoneticPr fontId="3" type="noConversion"/>
  </si>
  <si>
    <t>태영-부산</t>
    <phoneticPr fontId="3" type="noConversion"/>
  </si>
  <si>
    <t>8.76+5로이</t>
    <phoneticPr fontId="3" type="noConversion"/>
  </si>
  <si>
    <t>야간</t>
    <phoneticPr fontId="3" type="noConversion"/>
  </si>
  <si>
    <t>5DURA MAX(비강화용)</t>
    <phoneticPr fontId="3" type="noConversion"/>
  </si>
  <si>
    <t>로이재단</t>
    <phoneticPr fontId="3" type="noConversion"/>
  </si>
  <si>
    <t>26-0284</t>
    <phoneticPr fontId="3" type="noConversion"/>
  </si>
  <si>
    <t>디엘-대전</t>
    <phoneticPr fontId="3" type="noConversion"/>
  </si>
  <si>
    <t>5CLH/S</t>
    <phoneticPr fontId="3" type="noConversion"/>
  </si>
  <si>
    <t>5NX</t>
    <phoneticPr fontId="3" type="noConversion"/>
  </si>
  <si>
    <t>5NX+5CL</t>
    <phoneticPr fontId="3" type="noConversion"/>
  </si>
  <si>
    <t>5CL+5CL</t>
    <phoneticPr fontId="3" type="noConversion"/>
  </si>
  <si>
    <t>6로이+6투명</t>
    <phoneticPr fontId="3" type="noConversion"/>
  </si>
  <si>
    <t>6마스터원</t>
    <phoneticPr fontId="3" type="noConversion"/>
  </si>
  <si>
    <t>26-0032</t>
    <phoneticPr fontId="3" type="noConversion"/>
  </si>
  <si>
    <t>제일-인천</t>
    <phoneticPr fontId="3" type="noConversion"/>
  </si>
  <si>
    <t>5NXH/S+5로이H/S</t>
    <phoneticPr fontId="3" type="noConversion"/>
  </si>
  <si>
    <t>5NX+5로이</t>
    <phoneticPr fontId="3" type="noConversion"/>
  </si>
  <si>
    <t>5NX</t>
    <phoneticPr fontId="3" type="noConversion"/>
  </si>
  <si>
    <t>2번,5번재단</t>
    <phoneticPr fontId="3" type="noConversion"/>
  </si>
  <si>
    <t>5NX+5로이</t>
    <phoneticPr fontId="3" type="noConversion"/>
  </si>
  <si>
    <t>3번,4번,6번,13번, 그린재단</t>
    <phoneticPr fontId="3" type="noConversion"/>
  </si>
  <si>
    <t>25-2946</t>
    <phoneticPr fontId="3" type="noConversion"/>
  </si>
  <si>
    <t>5CLH/S+5로이H/S</t>
    <phoneticPr fontId="3" type="noConversion"/>
  </si>
  <si>
    <t>8.76+5로이H/S+5로이</t>
    <phoneticPr fontId="3" type="noConversion"/>
  </si>
  <si>
    <t>5마스터원</t>
    <phoneticPr fontId="3" type="noConversion"/>
  </si>
  <si>
    <t>26-0029</t>
    <phoneticPr fontId="3" type="noConversion"/>
  </si>
  <si>
    <t>5CL+5로이</t>
    <phoneticPr fontId="3" type="noConversion"/>
  </si>
  <si>
    <t>5NX+5로이</t>
    <phoneticPr fontId="3" type="noConversion"/>
  </si>
  <si>
    <t>26-0028</t>
    <phoneticPr fontId="3" type="noConversion"/>
  </si>
  <si>
    <t>26-0285</t>
    <phoneticPr fontId="3" type="noConversion"/>
  </si>
  <si>
    <t>디엘-대전문화</t>
    <phoneticPr fontId="3" type="noConversion"/>
  </si>
  <si>
    <t>5로이+5CL</t>
    <phoneticPr fontId="3" type="noConversion"/>
  </si>
  <si>
    <t>26-0032</t>
    <phoneticPr fontId="3" type="noConversion"/>
  </si>
  <si>
    <t>제일-인천</t>
    <phoneticPr fontId="3" type="noConversion"/>
  </si>
  <si>
    <t>3번,4번,6번,13번 - 로이재단</t>
    <phoneticPr fontId="3" type="noConversion"/>
  </si>
  <si>
    <t>5CL+5로이</t>
    <phoneticPr fontId="3" type="noConversion"/>
  </si>
  <si>
    <t>26-0245</t>
    <phoneticPr fontId="3" type="noConversion"/>
  </si>
  <si>
    <t>26-0246</t>
    <phoneticPr fontId="3" type="noConversion"/>
  </si>
  <si>
    <t>26-0247</t>
    <phoneticPr fontId="3" type="noConversion"/>
  </si>
  <si>
    <t>26-0276</t>
    <phoneticPr fontId="3" type="noConversion"/>
  </si>
  <si>
    <t>5SKN154II</t>
    <phoneticPr fontId="3" type="noConversion"/>
  </si>
  <si>
    <t>25-2742</t>
    <phoneticPr fontId="3" type="noConversion"/>
  </si>
  <si>
    <t>신동아-하나은행</t>
    <phoneticPr fontId="3" type="noConversion"/>
  </si>
  <si>
    <t>6SKN176IIH/S+6CL</t>
    <phoneticPr fontId="3" type="noConversion"/>
  </si>
  <si>
    <t>6CL</t>
    <phoneticPr fontId="3" type="noConversion"/>
  </si>
  <si>
    <t>투명재단</t>
    <phoneticPr fontId="3" type="noConversion"/>
  </si>
  <si>
    <t>26-0202</t>
    <phoneticPr fontId="3" type="noConversion"/>
  </si>
  <si>
    <t>26-0033</t>
    <phoneticPr fontId="3" type="noConversion"/>
  </si>
  <si>
    <t>제일-인천</t>
    <phoneticPr fontId="3" type="noConversion"/>
  </si>
  <si>
    <t>5NX</t>
    <phoneticPr fontId="3" type="noConversion"/>
  </si>
  <si>
    <t>10투명강화</t>
    <phoneticPr fontId="3" type="noConversion"/>
  </si>
  <si>
    <t>10CL</t>
    <phoneticPr fontId="3" type="noConversion"/>
  </si>
  <si>
    <t>25-2937</t>
    <phoneticPr fontId="3" type="noConversion"/>
  </si>
  <si>
    <t>25-2938, 2937 같이재단</t>
    <phoneticPr fontId="3" type="noConversion"/>
  </si>
  <si>
    <t>26-0282</t>
    <phoneticPr fontId="3" type="noConversion"/>
  </si>
  <si>
    <t>도원-홍남초</t>
    <phoneticPr fontId="3" type="noConversion"/>
  </si>
  <si>
    <t>8투명강화</t>
    <phoneticPr fontId="3" type="noConversion"/>
  </si>
  <si>
    <t>26-0261</t>
    <phoneticPr fontId="3" type="noConversion"/>
  </si>
  <si>
    <t>현산-신월</t>
    <phoneticPr fontId="3" type="noConversion"/>
  </si>
  <si>
    <t>8CL</t>
    <phoneticPr fontId="3" type="noConversion"/>
  </si>
  <si>
    <t>26-0282, 0261 같이재단</t>
    <phoneticPr fontId="3" type="noConversion"/>
  </si>
  <si>
    <t>25-2946</t>
    <phoneticPr fontId="3" type="noConversion"/>
  </si>
  <si>
    <t>태영-부산</t>
    <phoneticPr fontId="3" type="noConversion"/>
  </si>
  <si>
    <t>5CLH/S+5로이H/S</t>
    <phoneticPr fontId="3" type="noConversion"/>
  </si>
  <si>
    <t>5CL</t>
    <phoneticPr fontId="3" type="noConversion"/>
  </si>
  <si>
    <t>투명재단</t>
    <phoneticPr fontId="3" type="noConversion"/>
  </si>
  <si>
    <t>26-0227</t>
    <phoneticPr fontId="3" type="noConversion"/>
  </si>
  <si>
    <t>정석-청주테크노</t>
    <phoneticPr fontId="3" type="noConversion"/>
  </si>
  <si>
    <t>5newGN+5DURA MAX</t>
    <phoneticPr fontId="3" type="noConversion"/>
  </si>
  <si>
    <t>5CL+5DURA MAX</t>
    <phoneticPr fontId="3" type="noConversion"/>
  </si>
  <si>
    <t>5NX</t>
    <phoneticPr fontId="3" type="noConversion"/>
  </si>
  <si>
    <t>5DURA MAX</t>
    <phoneticPr fontId="3" type="noConversion"/>
  </si>
  <si>
    <t>정석개발 원판 사용</t>
    <phoneticPr fontId="3" type="noConversion"/>
  </si>
  <si>
    <t>26-0280</t>
    <phoneticPr fontId="3" type="noConversion"/>
  </si>
  <si>
    <t>대광-평택</t>
    <phoneticPr fontId="3" type="noConversion"/>
  </si>
  <si>
    <t>5ONE+5CLH/S+5ONE</t>
    <phoneticPr fontId="3" type="noConversion"/>
  </si>
  <si>
    <t>5ONEIIT/P+5CLT/P</t>
    <phoneticPr fontId="3" type="noConversion"/>
  </si>
  <si>
    <t>5PLAONEII</t>
    <phoneticPr fontId="3" type="noConversion"/>
  </si>
  <si>
    <t>26-0033</t>
    <phoneticPr fontId="3" type="noConversion"/>
  </si>
  <si>
    <t>제일-인천</t>
    <phoneticPr fontId="3" type="noConversion"/>
  </si>
  <si>
    <t>5newGN+5로이</t>
    <phoneticPr fontId="3" type="noConversion"/>
  </si>
  <si>
    <t>5CL+5로이</t>
    <phoneticPr fontId="3" type="noConversion"/>
  </si>
  <si>
    <t>5DURA MAX(비강화용)</t>
    <phoneticPr fontId="3" type="noConversion"/>
  </si>
  <si>
    <t>26-0239</t>
    <phoneticPr fontId="3" type="noConversion"/>
  </si>
  <si>
    <t>계룡-원주</t>
    <phoneticPr fontId="3" type="noConversion"/>
  </si>
  <si>
    <t>5SKN154IIH/S+5CL</t>
    <phoneticPr fontId="3" type="noConversion"/>
  </si>
  <si>
    <t>26-0240</t>
    <phoneticPr fontId="3" type="noConversion"/>
  </si>
  <si>
    <t>26-0238</t>
    <phoneticPr fontId="3" type="noConversion"/>
  </si>
  <si>
    <t>26-0241</t>
    <phoneticPr fontId="3" type="noConversion"/>
  </si>
  <si>
    <t>5SKN154II</t>
    <phoneticPr fontId="3" type="noConversion"/>
  </si>
  <si>
    <t>로이재단 - 강화불량</t>
    <phoneticPr fontId="3" type="noConversion"/>
  </si>
  <si>
    <t>25-2940</t>
    <phoneticPr fontId="3" type="noConversion"/>
  </si>
  <si>
    <t>5CLH/S+5로이</t>
    <phoneticPr fontId="3" type="noConversion"/>
  </si>
  <si>
    <t>로이재단 - 오도시</t>
    <phoneticPr fontId="3" type="noConversion"/>
  </si>
  <si>
    <t>26-0278</t>
    <phoneticPr fontId="3" type="noConversion"/>
  </si>
  <si>
    <t>우암-고양</t>
    <phoneticPr fontId="3" type="noConversion"/>
  </si>
  <si>
    <t>5XTN145II+5CL</t>
    <phoneticPr fontId="3" type="noConversion"/>
  </si>
  <si>
    <t>26-0229</t>
    <phoneticPr fontId="3" type="noConversion"/>
  </si>
  <si>
    <t>26-0228</t>
    <phoneticPr fontId="3" type="noConversion"/>
  </si>
  <si>
    <t>로이재단 - 로이코팅불량</t>
    <phoneticPr fontId="3" type="noConversion"/>
  </si>
  <si>
    <t>26-0268</t>
    <phoneticPr fontId="3" type="noConversion"/>
  </si>
  <si>
    <t>6SKN176IIH/S+6CL(스텝)</t>
    <phoneticPr fontId="3" type="noConversion"/>
  </si>
  <si>
    <t>26-0266</t>
    <phoneticPr fontId="3" type="noConversion"/>
  </si>
  <si>
    <t>투명재단 - 26-0266, 0268 같이재단</t>
    <phoneticPr fontId="3" type="noConversion"/>
  </si>
  <si>
    <t>26-0272</t>
    <phoneticPr fontId="3" type="noConversion"/>
  </si>
  <si>
    <t>포스코-아산</t>
    <phoneticPr fontId="3" type="noConversion"/>
  </si>
  <si>
    <t>5투명</t>
    <phoneticPr fontId="3" type="noConversion"/>
  </si>
  <si>
    <t>5CL</t>
    <phoneticPr fontId="3" type="noConversion"/>
  </si>
  <si>
    <t>26-0290</t>
    <phoneticPr fontId="3" type="noConversion"/>
  </si>
  <si>
    <t>5CL+5로이</t>
    <phoneticPr fontId="3" type="noConversion"/>
  </si>
  <si>
    <t>(4그린+4투명)+5로이H/S</t>
    <phoneticPr fontId="3" type="noConversion"/>
  </si>
  <si>
    <t>5투명배강도</t>
    <phoneticPr fontId="3" type="noConversion"/>
  </si>
  <si>
    <t>26-0259</t>
    <phoneticPr fontId="3" type="noConversion"/>
  </si>
  <si>
    <t>현산-광주</t>
    <phoneticPr fontId="3" type="noConversion"/>
  </si>
  <si>
    <t>5SKN154IIH/S+5CLH/S</t>
    <phoneticPr fontId="3" type="noConversion"/>
  </si>
  <si>
    <t>투명재단 - 강화불량</t>
    <phoneticPr fontId="3" type="noConversion"/>
  </si>
  <si>
    <t>26-0260</t>
    <phoneticPr fontId="3" type="noConversion"/>
  </si>
  <si>
    <t>로이재단 - 강화불량</t>
    <phoneticPr fontId="3" type="noConversion"/>
  </si>
  <si>
    <t>26-0035</t>
    <phoneticPr fontId="3" type="noConversion"/>
  </si>
  <si>
    <t>케이씨씨-오송</t>
    <phoneticPr fontId="3" type="noConversion"/>
  </si>
  <si>
    <t>5newGNH/S+5로이</t>
    <phoneticPr fontId="3" type="noConversion"/>
  </si>
  <si>
    <t>5SKN154II</t>
    <phoneticPr fontId="3" type="noConversion"/>
  </si>
  <si>
    <t>5NX</t>
    <phoneticPr fontId="3" type="noConversion"/>
  </si>
  <si>
    <t>그린재단 - 강화불량</t>
    <phoneticPr fontId="3" type="noConversion"/>
  </si>
  <si>
    <t>로이재단 - 생산불량 오도시 재단</t>
    <phoneticPr fontId="3" type="noConversion"/>
  </si>
  <si>
    <t>26-2940</t>
    <phoneticPr fontId="3" type="noConversion"/>
  </si>
  <si>
    <t>태영-부산</t>
    <phoneticPr fontId="3" type="noConversion"/>
  </si>
  <si>
    <t>투명재단</t>
    <phoneticPr fontId="3" type="noConversion"/>
  </si>
  <si>
    <t>새늘-내덕동</t>
    <phoneticPr fontId="3" type="noConversion"/>
  </si>
  <si>
    <t>26-0288</t>
    <phoneticPr fontId="3" type="noConversion"/>
  </si>
  <si>
    <t>26-0298</t>
    <phoneticPr fontId="3" type="noConversion"/>
  </si>
  <si>
    <t>26-0306</t>
    <phoneticPr fontId="3" type="noConversion"/>
  </si>
  <si>
    <t>26-0286</t>
    <phoneticPr fontId="3" type="noConversion"/>
  </si>
  <si>
    <t>비강화 로이 재단</t>
    <phoneticPr fontId="3" type="noConversion"/>
  </si>
  <si>
    <t>26-0287</t>
    <phoneticPr fontId="3" type="noConversion"/>
  </si>
  <si>
    <t>26-0289</t>
    <phoneticPr fontId="3" type="noConversion"/>
  </si>
  <si>
    <t>강화용 로이재단 - 26-0286, 0287, 0289 같이재단</t>
    <phoneticPr fontId="3" type="noConversion"/>
  </si>
  <si>
    <t>26-0230</t>
    <phoneticPr fontId="3" type="noConversion"/>
  </si>
  <si>
    <t>26-0231</t>
    <phoneticPr fontId="3" type="noConversion"/>
  </si>
  <si>
    <t>26-0310</t>
    <phoneticPr fontId="3" type="noConversion"/>
  </si>
  <si>
    <t>26-0297</t>
    <phoneticPr fontId="3" type="noConversion"/>
  </si>
  <si>
    <t>26-0307</t>
    <phoneticPr fontId="3" type="noConversion"/>
  </si>
  <si>
    <t>5DURA MAX+5DURA MAX+5DURA MAX</t>
    <phoneticPr fontId="3" type="noConversion"/>
  </si>
  <si>
    <t>26-0293</t>
    <phoneticPr fontId="3" type="noConversion"/>
  </si>
  <si>
    <t>계룡-부천</t>
    <phoneticPr fontId="3" type="noConversion"/>
  </si>
  <si>
    <t>26-0294</t>
    <phoneticPr fontId="3" type="noConversion"/>
  </si>
  <si>
    <t>26-0296</t>
    <phoneticPr fontId="3" type="noConversion"/>
  </si>
  <si>
    <t>25-2715</t>
    <phoneticPr fontId="3" type="noConversion"/>
  </si>
  <si>
    <t>10조 중 5조 재단</t>
    <phoneticPr fontId="3" type="noConversion"/>
  </si>
  <si>
    <t>25-2716</t>
    <phoneticPr fontId="3" type="noConversion"/>
  </si>
  <si>
    <t xml:space="preserve">10조 중 5조 재단 - 25-2715, 2716 같이재단 </t>
    <phoneticPr fontId="3" type="noConversion"/>
  </si>
  <si>
    <t>25-2715, 2716 같이재단</t>
  </si>
  <si>
    <t>26-0309</t>
    <phoneticPr fontId="3" type="noConversion"/>
  </si>
  <si>
    <t>로이재단 - 26-0266, 0268 같이재단</t>
    <phoneticPr fontId="3" type="noConversion"/>
  </si>
  <si>
    <t>26-0036</t>
    <phoneticPr fontId="3" type="noConversion"/>
  </si>
  <si>
    <t>투명재단 - 9번, 10번 98조 중 77조 재단</t>
    <phoneticPr fontId="3" type="noConversion"/>
  </si>
  <si>
    <t>25-2940</t>
    <phoneticPr fontId="3" type="noConversion"/>
  </si>
  <si>
    <t>태영-부산</t>
    <phoneticPr fontId="3" type="noConversion"/>
  </si>
  <si>
    <t>5DURA MAX(비강화용)</t>
    <phoneticPr fontId="3" type="noConversion"/>
  </si>
  <si>
    <t>로이재단</t>
    <phoneticPr fontId="3" type="noConversion"/>
  </si>
  <si>
    <t>26-0324</t>
    <phoneticPr fontId="3" type="noConversion"/>
  </si>
  <si>
    <t>26-0293</t>
    <phoneticPr fontId="3" type="noConversion"/>
  </si>
  <si>
    <t>동성-태성</t>
    <phoneticPr fontId="3" type="noConversion"/>
  </si>
  <si>
    <t>5SKN154IIH/S+5CL</t>
    <phoneticPr fontId="3" type="noConversion"/>
  </si>
  <si>
    <t>5SKN154II</t>
    <phoneticPr fontId="3" type="noConversion"/>
  </si>
  <si>
    <t>로이재단 - 강화불량</t>
    <phoneticPr fontId="3" type="noConversion"/>
  </si>
  <si>
    <t>25-2742</t>
    <phoneticPr fontId="3" type="noConversion"/>
  </si>
  <si>
    <t>신동아-하나은행</t>
    <phoneticPr fontId="3" type="noConversion"/>
  </si>
  <si>
    <t>6SKN176IIH/S+6CL</t>
    <phoneticPr fontId="3" type="noConversion"/>
  </si>
  <si>
    <t>26-0202</t>
    <phoneticPr fontId="3" type="noConversion"/>
  </si>
  <si>
    <t>6SKN176II</t>
    <phoneticPr fontId="3" type="noConversion"/>
  </si>
  <si>
    <t>로이재단 - 25-2742, 26-0202 같이재단</t>
    <phoneticPr fontId="3" type="noConversion"/>
  </si>
  <si>
    <t>26-0294</t>
    <phoneticPr fontId="3" type="noConversion"/>
  </si>
  <si>
    <t>투명재단 - 오도시 생산불량</t>
    <phoneticPr fontId="3" type="noConversion"/>
  </si>
  <si>
    <t>26-0266</t>
    <phoneticPr fontId="3" type="noConversion"/>
  </si>
  <si>
    <t>6CL</t>
    <phoneticPr fontId="3" type="noConversion"/>
  </si>
  <si>
    <t>투명재단 - 생산불량</t>
    <phoneticPr fontId="3" type="noConversion"/>
  </si>
  <si>
    <t>투명재단 -  10번 98조 중 21조 재단</t>
    <phoneticPr fontId="3" type="noConversion"/>
  </si>
  <si>
    <t>5마스터원</t>
    <phoneticPr fontId="3" type="noConversion"/>
  </si>
  <si>
    <t>로이재단 - 9번, 10번 재단</t>
    <phoneticPr fontId="3" type="noConversion"/>
  </si>
  <si>
    <t>정석개발 원판 사용</t>
  </si>
  <si>
    <t>정석개발 원판 사용</t>
    <phoneticPr fontId="3" type="noConversion"/>
  </si>
  <si>
    <t>신흥유리</t>
    <phoneticPr fontId="3" type="noConversion"/>
  </si>
  <si>
    <t>5미스트</t>
    <phoneticPr fontId="3" type="noConversion"/>
  </si>
  <si>
    <t>26-0347</t>
    <phoneticPr fontId="3" type="noConversion"/>
  </si>
  <si>
    <t>계룡-오뚜기</t>
    <phoneticPr fontId="3" type="noConversion"/>
  </si>
  <si>
    <t>5SKG149TH/S+5CLH/S</t>
    <phoneticPr fontId="3" type="noConversion"/>
  </si>
  <si>
    <t>26-0311</t>
    <phoneticPr fontId="3" type="noConversion"/>
  </si>
  <si>
    <t>5SKG149T</t>
    <phoneticPr fontId="3" type="noConversion"/>
  </si>
  <si>
    <t>로이재단 - 26-0347, 0311 같이재단</t>
    <phoneticPr fontId="3" type="noConversion"/>
  </si>
  <si>
    <t>26-0300</t>
    <phoneticPr fontId="3" type="noConversion"/>
  </si>
  <si>
    <t>계룡-KT인재개발원</t>
    <phoneticPr fontId="3" type="noConversion"/>
  </si>
  <si>
    <t>5CL+5로이</t>
    <phoneticPr fontId="3" type="noConversion"/>
  </si>
  <si>
    <t>5CL</t>
    <phoneticPr fontId="3" type="noConversion"/>
  </si>
  <si>
    <t>5DURA MAX(비강화용)</t>
    <phoneticPr fontId="3" type="noConversion"/>
  </si>
  <si>
    <t>26-0299</t>
    <phoneticPr fontId="3" type="noConversion"/>
  </si>
  <si>
    <t>야간</t>
    <phoneticPr fontId="3" type="noConversion"/>
  </si>
  <si>
    <t>25-2715</t>
    <phoneticPr fontId="3" type="noConversion"/>
  </si>
  <si>
    <t>제일-인천</t>
    <phoneticPr fontId="3" type="noConversion"/>
  </si>
  <si>
    <t>생산파손</t>
    <phoneticPr fontId="3" type="noConversion"/>
  </si>
  <si>
    <t>26-0032</t>
    <phoneticPr fontId="3" type="noConversion"/>
  </si>
  <si>
    <t>5newGNH/S+5로이H/S</t>
    <phoneticPr fontId="3" type="noConversion"/>
  </si>
  <si>
    <t>그린재단 - 오도시 강화불량</t>
    <phoneticPr fontId="3" type="noConversion"/>
  </si>
  <si>
    <t>26-0036</t>
    <phoneticPr fontId="3" type="noConversion"/>
  </si>
  <si>
    <t>케이씨씨-오송</t>
    <phoneticPr fontId="3" type="noConversion"/>
  </si>
  <si>
    <t>5newGNH/S+5로이</t>
    <phoneticPr fontId="3" type="noConversion"/>
  </si>
  <si>
    <t>5NX</t>
    <phoneticPr fontId="3" type="noConversion"/>
  </si>
  <si>
    <t>그린재단</t>
    <phoneticPr fontId="3" type="noConversion"/>
  </si>
  <si>
    <t>26-0171</t>
    <phoneticPr fontId="3" type="noConversion"/>
  </si>
  <si>
    <t>태영-부산</t>
    <phoneticPr fontId="3" type="noConversion"/>
  </si>
  <si>
    <t>5SKN154+5D.GREY(에칭)</t>
    <phoneticPr fontId="3" type="noConversion"/>
  </si>
  <si>
    <t>5SKN154+5D.GREY</t>
    <phoneticPr fontId="3" type="noConversion"/>
  </si>
  <si>
    <t>오도시</t>
    <phoneticPr fontId="3" type="noConversion"/>
  </si>
  <si>
    <t>26-0350</t>
    <phoneticPr fontId="3" type="noConversion"/>
  </si>
  <si>
    <t>인성-청주드림</t>
    <phoneticPr fontId="3" type="noConversion"/>
  </si>
  <si>
    <t>야간</t>
    <phoneticPr fontId="3" type="noConversion"/>
  </si>
  <si>
    <t>26-0096</t>
    <phoneticPr fontId="3" type="noConversion"/>
  </si>
  <si>
    <t>계룡-충남</t>
    <phoneticPr fontId="3" type="noConversion"/>
  </si>
  <si>
    <t>5CL+5로이</t>
    <phoneticPr fontId="3" type="noConversion"/>
  </si>
  <si>
    <t>오도시</t>
    <phoneticPr fontId="3" type="noConversion"/>
  </si>
  <si>
    <t>26-0295</t>
    <phoneticPr fontId="3" type="noConversion"/>
  </si>
  <si>
    <t>대원-용인</t>
    <phoneticPr fontId="3" type="noConversion"/>
  </si>
  <si>
    <t>5CL+5CL</t>
    <phoneticPr fontId="3" type="noConversion"/>
  </si>
  <si>
    <t>6로이+6CL</t>
    <phoneticPr fontId="3" type="noConversion"/>
  </si>
  <si>
    <t>5CL</t>
    <phoneticPr fontId="3" type="noConversion"/>
  </si>
  <si>
    <t>6마스터원</t>
    <phoneticPr fontId="3" type="noConversion"/>
  </si>
  <si>
    <t>6CL</t>
    <phoneticPr fontId="3" type="noConversion"/>
  </si>
  <si>
    <t>5로이+5CL</t>
    <phoneticPr fontId="3" type="noConversion"/>
  </si>
  <si>
    <t>26-0349</t>
    <phoneticPr fontId="3" type="noConversion"/>
  </si>
  <si>
    <t>현산-광주</t>
    <phoneticPr fontId="3" type="noConversion"/>
  </si>
  <si>
    <t>5SKN154IIH/S+5CLH/S</t>
    <phoneticPr fontId="3" type="noConversion"/>
  </si>
  <si>
    <t>26-0348</t>
    <phoneticPr fontId="3" type="noConversion"/>
  </si>
  <si>
    <t>동성-태성</t>
    <phoneticPr fontId="3" type="noConversion"/>
  </si>
  <si>
    <t>5SKN154IIH/S+5CL</t>
    <phoneticPr fontId="3" type="noConversion"/>
  </si>
  <si>
    <t>5SKN154II</t>
    <phoneticPr fontId="3" type="noConversion"/>
  </si>
  <si>
    <t>26-0349, 0348 같이재단</t>
    <phoneticPr fontId="3" type="noConversion"/>
  </si>
  <si>
    <t>투명재단 - 26-0347, 0311 같이재단</t>
    <phoneticPr fontId="3" type="noConversion"/>
  </si>
  <si>
    <t>26-0173</t>
    <phoneticPr fontId="3" type="noConversion"/>
  </si>
  <si>
    <t>태영-부산</t>
    <phoneticPr fontId="3" type="noConversion"/>
  </si>
  <si>
    <t>26-0172</t>
    <phoneticPr fontId="3" type="noConversion"/>
  </si>
  <si>
    <t>26-0301</t>
    <phoneticPr fontId="3" type="noConversion"/>
  </si>
  <si>
    <t>26-0346</t>
    <phoneticPr fontId="3" type="noConversion"/>
  </si>
  <si>
    <t>케이씨씨-오송역</t>
    <phoneticPr fontId="3" type="noConversion"/>
  </si>
  <si>
    <t>5MVT172H/S+5CL</t>
    <phoneticPr fontId="3" type="noConversion"/>
  </si>
  <si>
    <t>5MVT172</t>
    <phoneticPr fontId="3" type="noConversion"/>
  </si>
  <si>
    <t>26-0359</t>
    <phoneticPr fontId="3" type="noConversion"/>
  </si>
  <si>
    <t>임규훈</t>
    <phoneticPr fontId="3" type="noConversion"/>
  </si>
  <si>
    <t>8T 블루</t>
    <phoneticPr fontId="3" type="noConversion"/>
  </si>
  <si>
    <t>오도시</t>
    <phoneticPr fontId="3" type="noConversion"/>
  </si>
  <si>
    <t>26-0174</t>
    <phoneticPr fontId="3" type="noConversion"/>
  </si>
  <si>
    <t>태영-부산</t>
    <phoneticPr fontId="3" type="noConversion"/>
  </si>
  <si>
    <t>야간</t>
    <phoneticPr fontId="3" type="noConversion"/>
  </si>
  <si>
    <t>26-0327</t>
    <phoneticPr fontId="3" type="noConversion"/>
  </si>
  <si>
    <t>씨타대헌-춘천</t>
    <phoneticPr fontId="3" type="noConversion"/>
  </si>
  <si>
    <t>5MZT152H/S+5CL</t>
    <phoneticPr fontId="3" type="noConversion"/>
  </si>
  <si>
    <t>5MZT152</t>
    <phoneticPr fontId="3" type="noConversion"/>
  </si>
  <si>
    <t>5CL</t>
    <phoneticPr fontId="3" type="noConversion"/>
  </si>
  <si>
    <t>26-0328</t>
    <phoneticPr fontId="3" type="noConversion"/>
  </si>
  <si>
    <t>26-0329</t>
    <phoneticPr fontId="3" type="noConversion"/>
  </si>
  <si>
    <t>26-0036</t>
    <phoneticPr fontId="3" type="noConversion"/>
  </si>
  <si>
    <t>케이씨씨-오송</t>
    <phoneticPr fontId="3" type="noConversion"/>
  </si>
  <si>
    <t>5CL+5로이</t>
    <phoneticPr fontId="3" type="noConversion"/>
  </si>
  <si>
    <t>투명재단 - 11번88재단, 12번재단</t>
    <phoneticPr fontId="3" type="noConversion"/>
  </si>
  <si>
    <t>로이재단 - 10번6재단, 11번재단, 12번재단</t>
    <phoneticPr fontId="3" type="noConversion"/>
  </si>
  <si>
    <t>26-0361</t>
    <phoneticPr fontId="3" type="noConversion"/>
  </si>
  <si>
    <t>신동아-하나은행</t>
    <phoneticPr fontId="3" type="noConversion"/>
  </si>
  <si>
    <t>6SKN176IIH/S+6CL</t>
    <phoneticPr fontId="3" type="noConversion"/>
  </si>
  <si>
    <t>6CL</t>
    <phoneticPr fontId="3" type="noConversion"/>
  </si>
  <si>
    <t>투명재단</t>
    <phoneticPr fontId="3" type="noConversion"/>
  </si>
  <si>
    <t>26-0201</t>
    <phoneticPr fontId="3" type="noConversion"/>
  </si>
  <si>
    <t>25-2741</t>
    <phoneticPr fontId="3" type="noConversion"/>
  </si>
  <si>
    <t>26-0267</t>
    <phoneticPr fontId="3" type="noConversion"/>
  </si>
  <si>
    <t>6SKN176IIH/S+6CL(스텝)</t>
    <phoneticPr fontId="3" type="noConversion"/>
  </si>
  <si>
    <t>6SKN176IIH/S+6CL</t>
    <phoneticPr fontId="3" type="noConversion"/>
  </si>
  <si>
    <t>야린 재단 08:30 ~ 14:05</t>
    <phoneticPr fontId="3" type="noConversion"/>
  </si>
  <si>
    <t>26-0291</t>
    <phoneticPr fontId="3" type="noConversion"/>
  </si>
  <si>
    <t>케이씨씨-여의도</t>
    <phoneticPr fontId="3" type="noConversion"/>
  </si>
  <si>
    <t>5로이+5CLH/S+5CL</t>
    <phoneticPr fontId="3" type="noConversion"/>
  </si>
  <si>
    <t>5CL</t>
    <phoneticPr fontId="3" type="noConversion"/>
  </si>
  <si>
    <t>26-0292</t>
    <phoneticPr fontId="3" type="noConversion"/>
  </si>
  <si>
    <t>투명강화 재단</t>
    <phoneticPr fontId="3" type="noConversion"/>
  </si>
  <si>
    <t>투명강화 재단</t>
    <phoneticPr fontId="3" type="noConversion"/>
  </si>
  <si>
    <t>26-0171</t>
    <phoneticPr fontId="3" type="noConversion"/>
  </si>
  <si>
    <t>태영-부산</t>
    <phoneticPr fontId="3" type="noConversion"/>
  </si>
  <si>
    <t>5CLH/S+5로이</t>
    <phoneticPr fontId="3" type="noConversion"/>
  </si>
  <si>
    <t>26-0172</t>
  </si>
  <si>
    <t>26-0172</t>
    <phoneticPr fontId="3" type="noConversion"/>
  </si>
  <si>
    <t>26-0173</t>
  </si>
  <si>
    <t>26-0173</t>
    <phoneticPr fontId="3" type="noConversion"/>
  </si>
  <si>
    <t>5CL</t>
    <phoneticPr fontId="3" type="noConversion"/>
  </si>
  <si>
    <t>26-0174</t>
  </si>
  <si>
    <t>26-0174</t>
    <phoneticPr fontId="3" type="noConversion"/>
  </si>
  <si>
    <t>26-0295</t>
    <phoneticPr fontId="3" type="noConversion"/>
  </si>
  <si>
    <t>디더블유-용인</t>
    <phoneticPr fontId="3" type="noConversion"/>
  </si>
  <si>
    <t>5투명</t>
    <phoneticPr fontId="3" type="noConversion"/>
  </si>
  <si>
    <t>5CL</t>
    <phoneticPr fontId="3" type="noConversion"/>
  </si>
  <si>
    <t>26-0349</t>
    <phoneticPr fontId="3" type="noConversion"/>
  </si>
  <si>
    <t>현대-광주</t>
    <phoneticPr fontId="3" type="noConversion"/>
  </si>
  <si>
    <t>로이재단</t>
    <phoneticPr fontId="3" type="noConversion"/>
  </si>
  <si>
    <t>26-0299</t>
    <phoneticPr fontId="3" type="noConversion"/>
  </si>
  <si>
    <t>계룡-KT</t>
    <phoneticPr fontId="3" type="noConversion"/>
  </si>
  <si>
    <t>6CL+6로이</t>
    <phoneticPr fontId="3" type="noConversion"/>
  </si>
  <si>
    <t>6DURA MAX</t>
    <phoneticPr fontId="3" type="noConversion"/>
  </si>
  <si>
    <t>26-0300</t>
    <phoneticPr fontId="3" type="noConversion"/>
  </si>
  <si>
    <t>26-0301</t>
    <phoneticPr fontId="3" type="noConversion"/>
  </si>
  <si>
    <t>태영-부산</t>
    <phoneticPr fontId="3" type="noConversion"/>
  </si>
  <si>
    <t>8.76+5로이H/S+5로이</t>
    <phoneticPr fontId="3" type="noConversion"/>
  </si>
  <si>
    <t>로이재단</t>
    <phoneticPr fontId="3" type="noConversion"/>
  </si>
  <si>
    <t>로이재단</t>
    <phoneticPr fontId="3" type="noConversion"/>
  </si>
  <si>
    <t>5마스터원</t>
    <phoneticPr fontId="3" type="noConversion"/>
  </si>
  <si>
    <t>26-0036</t>
    <phoneticPr fontId="3" type="noConversion"/>
  </si>
  <si>
    <t>케이씨시-오송</t>
    <phoneticPr fontId="3" type="noConversion"/>
  </si>
  <si>
    <t>(5NX+5CL)+5로이</t>
    <phoneticPr fontId="3" type="noConversion"/>
  </si>
  <si>
    <t>26-0171, 0172, 0173, 0174 같이재단 - 로이강화용재단</t>
    <phoneticPr fontId="3" type="noConversion"/>
  </si>
  <si>
    <t>단판</t>
    <phoneticPr fontId="3" type="noConversion"/>
  </si>
  <si>
    <t>케이씨씨-여의도</t>
    <phoneticPr fontId="3" type="noConversion"/>
  </si>
  <si>
    <t>5로이+5CL</t>
    <phoneticPr fontId="3" type="noConversion"/>
  </si>
  <si>
    <t>로이, 비강화 투명 재단</t>
    <phoneticPr fontId="3" type="noConversion"/>
  </si>
  <si>
    <t>로이, 투명재단</t>
    <phoneticPr fontId="3" type="noConversion"/>
  </si>
  <si>
    <t>5마스터원</t>
    <phoneticPr fontId="3" type="noConversion"/>
  </si>
  <si>
    <t>5CL</t>
    <phoneticPr fontId="3" type="noConversion"/>
  </si>
  <si>
    <t>25-2940</t>
    <phoneticPr fontId="3" type="noConversion"/>
  </si>
  <si>
    <t>태영-부산</t>
    <phoneticPr fontId="3" type="noConversion"/>
  </si>
  <si>
    <t>(4CL+4CL)+5로이</t>
    <phoneticPr fontId="3" type="noConversion"/>
  </si>
  <si>
    <t>5DURA MAX(비강화용)</t>
    <phoneticPr fontId="3" type="noConversion"/>
  </si>
  <si>
    <t>5DURA MAX</t>
    <phoneticPr fontId="3" type="noConversion"/>
  </si>
  <si>
    <t>로이재단</t>
    <phoneticPr fontId="3" type="noConversion"/>
  </si>
  <si>
    <t>26-0311</t>
    <phoneticPr fontId="3" type="noConversion"/>
  </si>
  <si>
    <t>계룡-오뚜기</t>
    <phoneticPr fontId="3" type="noConversion"/>
  </si>
  <si>
    <t>6SKG149TH/S+6CLH/S</t>
    <phoneticPr fontId="3" type="noConversion"/>
  </si>
  <si>
    <t>오도시</t>
    <phoneticPr fontId="3" type="noConversion"/>
  </si>
  <si>
    <t>26-0172</t>
    <phoneticPr fontId="3" type="noConversion"/>
  </si>
  <si>
    <t>5CLH/S+5로이</t>
    <phoneticPr fontId="3" type="noConversion"/>
  </si>
  <si>
    <t>비강화 로이 재단</t>
    <phoneticPr fontId="3" type="noConversion"/>
  </si>
  <si>
    <t>8.76투명접합+5로이H/S+5로이</t>
    <phoneticPr fontId="3" type="noConversion"/>
  </si>
  <si>
    <t>26-0173</t>
    <phoneticPr fontId="3" type="noConversion"/>
  </si>
  <si>
    <t>25-2708</t>
    <phoneticPr fontId="3" type="noConversion"/>
  </si>
  <si>
    <t>제일-인천</t>
    <phoneticPr fontId="3" type="noConversion"/>
  </si>
  <si>
    <t>5newGNH/S+5로이H/S</t>
    <phoneticPr fontId="3" type="noConversion"/>
  </si>
  <si>
    <t>5newGN+5로이</t>
    <phoneticPr fontId="3" type="noConversion"/>
  </si>
  <si>
    <t>5NX</t>
    <phoneticPr fontId="3" type="noConversion"/>
  </si>
  <si>
    <t>2번 재단</t>
    <phoneticPr fontId="3" type="noConversion"/>
  </si>
  <si>
    <t>25-2707</t>
    <phoneticPr fontId="3" type="noConversion"/>
  </si>
  <si>
    <t>2~3번 재단</t>
    <phoneticPr fontId="3" type="noConversion"/>
  </si>
  <si>
    <t>비강화 투명 재단</t>
    <phoneticPr fontId="3" type="noConversion"/>
  </si>
  <si>
    <t>26-0036</t>
    <phoneticPr fontId="3" type="noConversion"/>
  </si>
  <si>
    <t>케이씨씨-오송</t>
    <phoneticPr fontId="3" type="noConversion"/>
  </si>
  <si>
    <t>로이재단 - 5~6번 재단</t>
    <phoneticPr fontId="3" type="noConversion"/>
  </si>
  <si>
    <t>로이재단 - 7~8번 재단</t>
    <phoneticPr fontId="3" type="noConversion"/>
  </si>
  <si>
    <t>26-0309</t>
    <phoneticPr fontId="3" type="noConversion"/>
  </si>
  <si>
    <t>덕양-혁신</t>
    <phoneticPr fontId="3" type="noConversion"/>
  </si>
  <si>
    <t>5SKN154IIH/S+5CL</t>
    <phoneticPr fontId="3" type="noConversion"/>
  </si>
  <si>
    <t>5SKN154II</t>
    <phoneticPr fontId="3" type="noConversion"/>
  </si>
  <si>
    <t>26-0308</t>
    <phoneticPr fontId="3" type="noConversion"/>
  </si>
  <si>
    <t>5CL+5CL+5CL</t>
    <phoneticPr fontId="3" type="noConversion"/>
  </si>
  <si>
    <t>26-0280</t>
    <phoneticPr fontId="3" type="noConversion"/>
  </si>
  <si>
    <t>대광-평잭</t>
    <phoneticPr fontId="3" type="noConversion"/>
  </si>
  <si>
    <t>5ONE+5CLH/S+5ONE</t>
    <phoneticPr fontId="3" type="noConversion"/>
  </si>
  <si>
    <t>5PLAONE</t>
    <phoneticPr fontId="3" type="noConversion"/>
  </si>
  <si>
    <t>신동아-하나은행</t>
    <phoneticPr fontId="3" type="noConversion"/>
  </si>
  <si>
    <t>26-0268</t>
    <phoneticPr fontId="3" type="noConversion"/>
  </si>
  <si>
    <t>5SKN176IIH/S+5CL</t>
    <phoneticPr fontId="3" type="noConversion"/>
  </si>
  <si>
    <t>5SKN176II</t>
    <phoneticPr fontId="3" type="noConversion"/>
  </si>
  <si>
    <t>26-0200</t>
    <phoneticPr fontId="3" type="noConversion"/>
  </si>
  <si>
    <t>26-0202</t>
    <phoneticPr fontId="3" type="noConversion"/>
  </si>
  <si>
    <t>26-0201</t>
    <phoneticPr fontId="3" type="noConversion"/>
  </si>
  <si>
    <t>26-0175</t>
    <phoneticPr fontId="3" type="noConversion"/>
  </si>
  <si>
    <t>5CL+5로이</t>
    <phoneticPr fontId="3" type="noConversion"/>
  </si>
  <si>
    <t>투명재단</t>
    <phoneticPr fontId="3" type="noConversion"/>
  </si>
  <si>
    <t>5CLH/S+5로이H/S</t>
    <phoneticPr fontId="3" type="noConversion"/>
  </si>
  <si>
    <t>6로이+6CL</t>
    <phoneticPr fontId="3" type="noConversion"/>
  </si>
  <si>
    <t>오도시</t>
    <phoneticPr fontId="3" type="noConversion"/>
  </si>
  <si>
    <t>26-0360</t>
    <phoneticPr fontId="3" type="noConversion"/>
  </si>
  <si>
    <t>우암-고양</t>
    <phoneticPr fontId="3" type="noConversion"/>
  </si>
  <si>
    <t>(4그린+4투명)+5로이H/S</t>
    <phoneticPr fontId="3" type="noConversion"/>
  </si>
  <si>
    <t>5마스터원</t>
    <phoneticPr fontId="3" type="noConversion"/>
  </si>
  <si>
    <t>5그린H/S+5로이</t>
    <phoneticPr fontId="3" type="noConversion"/>
  </si>
  <si>
    <t>그린 오도시 재단</t>
    <phoneticPr fontId="3" type="noConversion"/>
  </si>
  <si>
    <t>26-0362</t>
    <phoneticPr fontId="3" type="noConversion"/>
  </si>
  <si>
    <t>한라-월명</t>
    <phoneticPr fontId="3" type="noConversion"/>
  </si>
  <si>
    <t>5CLH/S+5로이</t>
    <phoneticPr fontId="3" type="noConversion"/>
  </si>
  <si>
    <t>5CL+5로이</t>
    <phoneticPr fontId="3" type="noConversion"/>
  </si>
  <si>
    <t>5CL</t>
    <phoneticPr fontId="3" type="noConversion"/>
  </si>
  <si>
    <t>26-0363</t>
    <phoneticPr fontId="3" type="noConversion"/>
  </si>
  <si>
    <t>정석-청주테크노</t>
    <phoneticPr fontId="3" type="noConversion"/>
  </si>
  <si>
    <t>5newGN+5DURA MAX</t>
    <phoneticPr fontId="3" type="noConversion"/>
  </si>
  <si>
    <t>5CL+5DURA MAX</t>
    <phoneticPr fontId="3" type="noConversion"/>
  </si>
  <si>
    <t>5NX</t>
    <phoneticPr fontId="3" type="noConversion"/>
  </si>
  <si>
    <t>5DURA MAX</t>
    <phoneticPr fontId="3" type="noConversion"/>
  </si>
  <si>
    <t>정석개발 원판 사용</t>
    <phoneticPr fontId="3" type="noConversion"/>
  </si>
  <si>
    <t>5DURA MAX(비강화용)</t>
    <phoneticPr fontId="3" type="noConversion"/>
  </si>
  <si>
    <t>26-0330</t>
    <phoneticPr fontId="3" type="noConversion"/>
  </si>
  <si>
    <t>씨타-춘천</t>
    <phoneticPr fontId="3" type="noConversion"/>
  </si>
  <si>
    <t>5MZT152H/S+5CL</t>
    <phoneticPr fontId="3" type="noConversion"/>
  </si>
  <si>
    <t>5MZT152</t>
    <phoneticPr fontId="3" type="noConversion"/>
  </si>
  <si>
    <t>로이재단</t>
    <phoneticPr fontId="3" type="noConversion"/>
  </si>
  <si>
    <t>26-0331</t>
    <phoneticPr fontId="3" type="noConversion"/>
  </si>
  <si>
    <t>26-0361</t>
    <phoneticPr fontId="3" type="noConversion"/>
  </si>
  <si>
    <t>신동아-하나은행</t>
    <phoneticPr fontId="3" type="noConversion"/>
  </si>
  <si>
    <t>6SKN176IIH/S+6CL</t>
    <phoneticPr fontId="3" type="noConversion"/>
  </si>
  <si>
    <t>6SKN176II</t>
    <phoneticPr fontId="3" type="noConversion"/>
  </si>
  <si>
    <t>25-2741</t>
    <phoneticPr fontId="3" type="noConversion"/>
  </si>
  <si>
    <t>야간</t>
    <phoneticPr fontId="3" type="noConversion"/>
  </si>
  <si>
    <t>26-0325</t>
    <phoneticPr fontId="3" type="noConversion"/>
  </si>
  <si>
    <t>5CL</t>
    <phoneticPr fontId="3" type="noConversion"/>
  </si>
  <si>
    <t>투명재단 - 재단불량</t>
    <phoneticPr fontId="3" type="noConversion"/>
  </si>
  <si>
    <t>25-2742</t>
    <phoneticPr fontId="3" type="noConversion"/>
  </si>
  <si>
    <t>신동아-하나은행</t>
    <phoneticPr fontId="3" type="noConversion"/>
  </si>
  <si>
    <t>6SKN176II</t>
    <phoneticPr fontId="3" type="noConversion"/>
  </si>
  <si>
    <t>6CL</t>
    <phoneticPr fontId="3" type="noConversion"/>
  </si>
  <si>
    <t>생산파손</t>
    <phoneticPr fontId="3" type="noConversion"/>
  </si>
  <si>
    <t>26-0364</t>
    <phoneticPr fontId="3" type="noConversion"/>
  </si>
  <si>
    <t>26-0201</t>
    <phoneticPr fontId="3" type="noConversion"/>
  </si>
  <si>
    <t>26-0364</t>
    <phoneticPr fontId="3" type="noConversion"/>
  </si>
  <si>
    <t>6CL</t>
    <phoneticPr fontId="3" type="noConversion"/>
  </si>
  <si>
    <t>투명재단</t>
    <phoneticPr fontId="3" type="noConversion"/>
  </si>
  <si>
    <t>3~9번 재단</t>
    <phoneticPr fontId="3" type="noConversion"/>
  </si>
  <si>
    <t>5NX</t>
    <phoneticPr fontId="3" type="noConversion"/>
  </si>
  <si>
    <t>5CL</t>
    <phoneticPr fontId="3" type="noConversion"/>
  </si>
  <si>
    <t>5DURA MAX(비강화용)</t>
    <phoneticPr fontId="3" type="noConversion"/>
  </si>
  <si>
    <t>26-0365</t>
    <phoneticPr fontId="3" type="noConversion"/>
  </si>
  <si>
    <t>덕양-혁신</t>
    <phoneticPr fontId="3" type="noConversion"/>
  </si>
  <si>
    <t>5SKN154IIH/S+5CL</t>
    <phoneticPr fontId="3" type="noConversion"/>
  </si>
  <si>
    <t>10투명강화</t>
    <phoneticPr fontId="3" type="noConversion"/>
  </si>
  <si>
    <t>5SKN154II</t>
    <phoneticPr fontId="3" type="noConversion"/>
  </si>
  <si>
    <t>투명 오도시 재단</t>
    <phoneticPr fontId="3" type="noConversion"/>
  </si>
  <si>
    <t>10CL</t>
    <phoneticPr fontId="3" type="noConversion"/>
  </si>
  <si>
    <t>26-0256</t>
    <phoneticPr fontId="3" type="noConversion"/>
  </si>
  <si>
    <t>케이씨씨-오송</t>
    <phoneticPr fontId="3" type="noConversion"/>
  </si>
  <si>
    <t>5CLH/S</t>
    <phoneticPr fontId="3" type="noConversion"/>
  </si>
  <si>
    <t>강화 마크오류 재 재단</t>
    <phoneticPr fontId="3" type="noConversion"/>
  </si>
  <si>
    <t>26-0328</t>
    <phoneticPr fontId="3" type="noConversion"/>
  </si>
  <si>
    <t>씨타-춘천</t>
    <phoneticPr fontId="3" type="noConversion"/>
  </si>
  <si>
    <t>5MZT1521H/S+5CL</t>
    <phoneticPr fontId="3" type="noConversion"/>
  </si>
  <si>
    <t>로이재단 - 오도시 강화 불량</t>
    <phoneticPr fontId="3" type="noConversion"/>
  </si>
  <si>
    <t>26-0327</t>
    <phoneticPr fontId="3" type="noConversion"/>
  </si>
  <si>
    <t>26-0346</t>
    <phoneticPr fontId="3" type="noConversion"/>
  </si>
  <si>
    <t>5MZT172H/S+5CL</t>
    <phoneticPr fontId="3" type="noConversion"/>
  </si>
  <si>
    <t>26-0332</t>
    <phoneticPr fontId="3" type="noConversion"/>
  </si>
  <si>
    <t>5MZT152</t>
    <phoneticPr fontId="3" type="noConversion"/>
  </si>
  <si>
    <t>로이재단</t>
  </si>
  <si>
    <t>로이재단</t>
    <phoneticPr fontId="3" type="noConversion"/>
  </si>
  <si>
    <t>26-0313</t>
    <phoneticPr fontId="3" type="noConversion"/>
  </si>
  <si>
    <t>엘엑스글라스-대우</t>
    <phoneticPr fontId="3" type="noConversion"/>
  </si>
  <si>
    <t>10.76투명접합+5SUPERPLUS2.0</t>
    <phoneticPr fontId="3" type="noConversion"/>
  </si>
  <si>
    <t>5UGA+5SUPERPLUS1.0+8.76투명접합</t>
    <phoneticPr fontId="3" type="noConversion"/>
  </si>
  <si>
    <t>5SUPERPLUS1.0</t>
    <phoneticPr fontId="3" type="noConversion"/>
  </si>
  <si>
    <t>오도시</t>
    <phoneticPr fontId="3" type="noConversion"/>
  </si>
  <si>
    <t>5UGA 오도시 재단</t>
    <phoneticPr fontId="3" type="noConversion"/>
  </si>
  <si>
    <t>26-0201</t>
    <phoneticPr fontId="3" type="noConversion"/>
  </si>
  <si>
    <t>로이재단 - 2번 재단</t>
    <phoneticPr fontId="3" type="noConversion"/>
  </si>
  <si>
    <t>로이재단 - 1번, 3~6번재단</t>
    <phoneticPr fontId="3" type="noConversion"/>
  </si>
  <si>
    <t>26-0267</t>
    <phoneticPr fontId="3" type="noConversion"/>
  </si>
  <si>
    <t>26-0176</t>
    <phoneticPr fontId="3" type="noConversion"/>
  </si>
  <si>
    <t>태영-부산</t>
    <phoneticPr fontId="3" type="noConversion"/>
  </si>
  <si>
    <t>5CL+5로이</t>
    <phoneticPr fontId="3" type="noConversion"/>
  </si>
  <si>
    <t>26-0175</t>
    <phoneticPr fontId="3" type="noConversion"/>
  </si>
  <si>
    <t>26-0367</t>
    <phoneticPr fontId="3" type="noConversion"/>
  </si>
  <si>
    <t>도원-홍남초</t>
    <phoneticPr fontId="3" type="noConversion"/>
  </si>
  <si>
    <t>8투명강화</t>
    <phoneticPr fontId="3" type="noConversion"/>
  </si>
  <si>
    <t>오도시</t>
    <phoneticPr fontId="3" type="noConversion"/>
  </si>
  <si>
    <t>26-0368</t>
    <phoneticPr fontId="3" type="noConversion"/>
  </si>
  <si>
    <t>대원-대구</t>
    <phoneticPr fontId="3" type="noConversion"/>
  </si>
  <si>
    <t>5newGN+5로이</t>
    <phoneticPr fontId="3" type="noConversion"/>
  </si>
  <si>
    <t>26-0352</t>
    <phoneticPr fontId="3" type="noConversion"/>
  </si>
  <si>
    <t>제일-인천</t>
    <phoneticPr fontId="3" type="noConversion"/>
  </si>
  <si>
    <t>5CL+5로이</t>
    <phoneticPr fontId="3" type="noConversion"/>
  </si>
  <si>
    <t>5NX</t>
    <phoneticPr fontId="3" type="noConversion"/>
  </si>
  <si>
    <t>5CL</t>
    <phoneticPr fontId="3" type="noConversion"/>
  </si>
  <si>
    <t>5DURA MAX(비강화용)</t>
    <phoneticPr fontId="3" type="noConversion"/>
  </si>
  <si>
    <t>26-0351</t>
    <phoneticPr fontId="3" type="noConversion"/>
  </si>
  <si>
    <t>5newGNH/S+5로이</t>
    <phoneticPr fontId="3" type="noConversion"/>
  </si>
  <si>
    <t>5newGNH/S+5로이H/S</t>
    <phoneticPr fontId="3" type="noConversion"/>
  </si>
  <si>
    <t>5마스터원</t>
    <phoneticPr fontId="3" type="noConversion"/>
  </si>
  <si>
    <t>투명재단</t>
    <phoneticPr fontId="3" type="noConversion"/>
  </si>
  <si>
    <t>26-0332</t>
    <phoneticPr fontId="3" type="noConversion"/>
  </si>
  <si>
    <t>26-0333</t>
    <phoneticPr fontId="3" type="noConversion"/>
  </si>
  <si>
    <t>정석-청주테크노</t>
  </si>
  <si>
    <t>정석-청주테크노</t>
    <phoneticPr fontId="3" type="noConversion"/>
  </si>
  <si>
    <t>5newGN+5DURA MAX</t>
  </si>
  <si>
    <t>5newGN+5DURA MAX</t>
    <phoneticPr fontId="3" type="noConversion"/>
  </si>
  <si>
    <t>5DURA MAX</t>
    <phoneticPr fontId="3" type="noConversion"/>
  </si>
  <si>
    <t>정석개발 원판 사용</t>
    <phoneticPr fontId="3" type="noConversion"/>
  </si>
  <si>
    <t>26-0175</t>
    <phoneticPr fontId="3" type="noConversion"/>
  </si>
  <si>
    <t>태영-부산</t>
    <phoneticPr fontId="3" type="noConversion"/>
  </si>
  <si>
    <t>5CLH/S+5로이</t>
    <phoneticPr fontId="3" type="noConversion"/>
  </si>
  <si>
    <t>8.76투명접합+5로이H/S+5로이</t>
    <phoneticPr fontId="3" type="noConversion"/>
  </si>
  <si>
    <t>26-0176</t>
    <phoneticPr fontId="3" type="noConversion"/>
  </si>
  <si>
    <t>비강화용 로이 재단</t>
    <phoneticPr fontId="3" type="noConversion"/>
  </si>
  <si>
    <t>26-0177</t>
    <phoneticPr fontId="3" type="noConversion"/>
  </si>
  <si>
    <t>강화용 로이재단 - 26-0175, 0176, 0177 같이재단</t>
    <phoneticPr fontId="3" type="noConversion"/>
  </si>
  <si>
    <t>26-0370</t>
    <phoneticPr fontId="3" type="noConversion"/>
  </si>
  <si>
    <t>남영유리</t>
    <phoneticPr fontId="3" type="noConversion"/>
  </si>
  <si>
    <t>5SKN154+5CL</t>
    <phoneticPr fontId="3" type="noConversion"/>
  </si>
  <si>
    <t>26-0036</t>
    <phoneticPr fontId="3" type="noConversion"/>
  </si>
  <si>
    <t>케이씨씨-오송</t>
    <phoneticPr fontId="3" type="noConversion"/>
  </si>
  <si>
    <t>그린재단 - 강화불량</t>
    <phoneticPr fontId="3" type="noConversion"/>
  </si>
  <si>
    <t>26-0334</t>
    <phoneticPr fontId="3" type="noConversion"/>
  </si>
  <si>
    <t>그린재단 - 정석개발 원판 사용</t>
    <phoneticPr fontId="3" type="noConversion"/>
  </si>
  <si>
    <t>26-0336</t>
    <phoneticPr fontId="3" type="noConversion"/>
  </si>
  <si>
    <t>정석-청주테크노</t>
    <phoneticPr fontId="3" type="noConversion"/>
  </si>
  <si>
    <t>5newGN+5DURA MAX</t>
    <phoneticPr fontId="3" type="noConversion"/>
  </si>
  <si>
    <t>5DURA MAX</t>
    <phoneticPr fontId="3" type="noConversion"/>
  </si>
  <si>
    <t>5CL+5DURA MAX</t>
  </si>
  <si>
    <t>5CL+5DURA MAX</t>
    <phoneticPr fontId="3" type="noConversion"/>
  </si>
  <si>
    <t>정석-청주테크노</t>
    <phoneticPr fontId="3" type="noConversion"/>
  </si>
  <si>
    <t>5CL</t>
    <phoneticPr fontId="3" type="noConversion"/>
  </si>
  <si>
    <t>26-0333</t>
    <phoneticPr fontId="3" type="noConversion"/>
  </si>
  <si>
    <t>정석개발 원판 사용, 로이재단</t>
    <phoneticPr fontId="3" type="noConversion"/>
  </si>
  <si>
    <t>26-0342</t>
    <phoneticPr fontId="3" type="noConversion"/>
  </si>
  <si>
    <t>26-0373</t>
    <phoneticPr fontId="3" type="noConversion"/>
  </si>
  <si>
    <t>신흥유리</t>
    <phoneticPr fontId="3" type="noConversion"/>
  </si>
  <si>
    <t>6블루반사JJA+5DURA MAX</t>
    <phoneticPr fontId="3" type="noConversion"/>
  </si>
  <si>
    <t>6블루반사JJA</t>
    <phoneticPr fontId="3" type="noConversion"/>
  </si>
  <si>
    <t>오도시</t>
    <phoneticPr fontId="3" type="noConversion"/>
  </si>
  <si>
    <t>26-0334</t>
    <phoneticPr fontId="3" type="noConversion"/>
  </si>
  <si>
    <t>26-0171</t>
    <phoneticPr fontId="3" type="noConversion"/>
  </si>
  <si>
    <t>태영-부산메디컬</t>
    <phoneticPr fontId="3" type="noConversion"/>
  </si>
  <si>
    <t>8.76투명접합+5로이</t>
    <phoneticPr fontId="3" type="noConversion"/>
  </si>
  <si>
    <t>로이재단</t>
    <phoneticPr fontId="3" type="noConversion"/>
  </si>
  <si>
    <t>26-0172</t>
    <phoneticPr fontId="3" type="noConversion"/>
  </si>
  <si>
    <t>26-0173</t>
    <phoneticPr fontId="3" type="noConversion"/>
  </si>
  <si>
    <t>26-0174</t>
    <phoneticPr fontId="3" type="noConversion"/>
  </si>
  <si>
    <t>26-0175</t>
    <phoneticPr fontId="3" type="noConversion"/>
  </si>
  <si>
    <t>26-0335</t>
    <phoneticPr fontId="3" type="noConversion"/>
  </si>
  <si>
    <t>정석개발 원판 사용 - 로이재단</t>
    <phoneticPr fontId="3" type="noConversion"/>
  </si>
  <si>
    <t>26-0381</t>
    <phoneticPr fontId="3" type="noConversion"/>
  </si>
  <si>
    <t>이랜드-수원</t>
    <phoneticPr fontId="3" type="noConversion"/>
  </si>
  <si>
    <t>26-0372</t>
    <phoneticPr fontId="3" type="noConversion"/>
  </si>
  <si>
    <t>26-0375</t>
    <phoneticPr fontId="3" type="noConversion"/>
  </si>
  <si>
    <t>26-0337</t>
    <phoneticPr fontId="3" type="noConversion"/>
  </si>
  <si>
    <t>26-0338</t>
    <phoneticPr fontId="3" type="noConversion"/>
  </si>
  <si>
    <t>26-0395</t>
    <phoneticPr fontId="3" type="noConversion"/>
  </si>
  <si>
    <t>인성-청주신협</t>
    <phoneticPr fontId="3" type="noConversion"/>
  </si>
  <si>
    <t>5SKN154+5CL에칭</t>
    <phoneticPr fontId="3" type="noConversion"/>
  </si>
  <si>
    <t>5CL+5SKN154에칭</t>
    <phoneticPr fontId="3" type="noConversion"/>
  </si>
  <si>
    <t>26-0374</t>
    <phoneticPr fontId="3" type="noConversion"/>
  </si>
  <si>
    <t>5PLAONE+5CL</t>
    <phoneticPr fontId="3" type="noConversion"/>
  </si>
  <si>
    <t>26-0345</t>
    <phoneticPr fontId="3" type="noConversion"/>
  </si>
  <si>
    <t>26-0369</t>
    <phoneticPr fontId="3" type="noConversion"/>
  </si>
  <si>
    <t>포스코-아산</t>
    <phoneticPr fontId="3" type="noConversion"/>
  </si>
  <si>
    <t>5투명</t>
    <phoneticPr fontId="3" type="noConversion"/>
  </si>
  <si>
    <t>26-0402</t>
    <phoneticPr fontId="3" type="noConversion"/>
  </si>
  <si>
    <t>5CL</t>
    <phoneticPr fontId="3" type="noConversion"/>
  </si>
  <si>
    <t>25-0401</t>
    <phoneticPr fontId="3" type="noConversion"/>
  </si>
  <si>
    <t>한라-월명</t>
    <phoneticPr fontId="3" type="noConversion"/>
  </si>
  <si>
    <t>5DURA MAX+5newGN</t>
    <phoneticPr fontId="3" type="noConversion"/>
  </si>
  <si>
    <t>오도시</t>
    <phoneticPr fontId="3" type="noConversion"/>
  </si>
  <si>
    <t>로이재단 - 정석개발 원판사용</t>
    <phoneticPr fontId="3" type="noConversion"/>
  </si>
  <si>
    <t>26-0330</t>
    <phoneticPr fontId="3" type="noConversion"/>
  </si>
  <si>
    <t>씨타-춘천</t>
    <phoneticPr fontId="3" type="noConversion"/>
  </si>
  <si>
    <t>5MZT152H/S+5CL</t>
    <phoneticPr fontId="3" type="noConversion"/>
  </si>
  <si>
    <t>5MZT152</t>
    <phoneticPr fontId="3" type="noConversion"/>
  </si>
  <si>
    <t>로이재단 - 강화불량</t>
    <phoneticPr fontId="3" type="noConversion"/>
  </si>
  <si>
    <t>투명재단 - 오도시 유리없음</t>
    <phoneticPr fontId="3" type="noConversion"/>
  </si>
  <si>
    <t>26-0339</t>
    <phoneticPr fontId="3" type="noConversion"/>
  </si>
  <si>
    <t>26-0340</t>
    <phoneticPr fontId="3" type="noConversion"/>
  </si>
  <si>
    <t>26-0372</t>
    <phoneticPr fontId="3" type="noConversion"/>
  </si>
  <si>
    <t>디엘-내포</t>
    <phoneticPr fontId="3" type="noConversion"/>
  </si>
  <si>
    <t>5SKN154IIH/S+5CL</t>
    <phoneticPr fontId="3" type="noConversion"/>
  </si>
  <si>
    <t>6SKN154+6CL</t>
    <phoneticPr fontId="3" type="noConversion"/>
  </si>
  <si>
    <t>5SKN154II</t>
    <phoneticPr fontId="3" type="noConversion"/>
  </si>
  <si>
    <t>25-2716</t>
    <phoneticPr fontId="3" type="noConversion"/>
  </si>
  <si>
    <t>제일-인천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</si>
  <si>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</si>
  <si>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</si>
  <si>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</si>
  <si>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5DURA MAX(비강화용)</t>
    <phoneticPr fontId="3" type="noConversion"/>
  </si>
  <si>
    <t>26-0378</t>
    <phoneticPr fontId="3" type="noConversion"/>
  </si>
  <si>
    <t>동성-태성</t>
    <phoneticPr fontId="3" type="noConversion"/>
  </si>
  <si>
    <t>로이재단</t>
    <phoneticPr fontId="3" type="noConversion"/>
  </si>
  <si>
    <t>26-0377</t>
    <phoneticPr fontId="3" type="noConversion"/>
  </si>
  <si>
    <t>26-0376</t>
    <phoneticPr fontId="3" type="noConversion"/>
  </si>
  <si>
    <t>26-0341</t>
    <phoneticPr fontId="3" type="noConversion"/>
  </si>
  <si>
    <t>26-0343</t>
    <phoneticPr fontId="3" type="noConversion"/>
  </si>
  <si>
    <t>26-0404</t>
    <phoneticPr fontId="3" type="noConversion"/>
  </si>
  <si>
    <t>26-0405</t>
    <phoneticPr fontId="3" type="noConversion"/>
  </si>
  <si>
    <t>26-0379</t>
    <phoneticPr fontId="3" type="noConversion"/>
  </si>
  <si>
    <t>26-0382</t>
    <phoneticPr fontId="3" type="noConversion"/>
  </si>
  <si>
    <t>6SKN154IIH/S+6CL</t>
    <phoneticPr fontId="3" type="noConversion"/>
  </si>
  <si>
    <t>26-0383</t>
    <phoneticPr fontId="3" type="noConversion"/>
  </si>
  <si>
    <t>강화용 로이재단 - 오도시 강화불량</t>
    <phoneticPr fontId="3" type="noConversion"/>
  </si>
  <si>
    <t>강화용 투명재단 - 오도시 강화불량</t>
    <phoneticPr fontId="3" type="noConversion"/>
  </si>
  <si>
    <t>26-0403</t>
    <phoneticPr fontId="3" type="noConversion"/>
  </si>
  <si>
    <t>대한건설협회-충북도의회사옥</t>
    <phoneticPr fontId="3" type="noConversion"/>
  </si>
  <si>
    <t>26-0371</t>
    <phoneticPr fontId="3" type="noConversion"/>
  </si>
  <si>
    <t>26-0384</t>
    <phoneticPr fontId="3" type="noConversion"/>
  </si>
  <si>
    <t>계룡-오뚜기</t>
    <phoneticPr fontId="3" type="noConversion"/>
  </si>
  <si>
    <t>6SKG149TH/S+6CLH/S</t>
    <phoneticPr fontId="3" type="noConversion"/>
  </si>
  <si>
    <t>6SKG149T</t>
    <phoneticPr fontId="3" type="noConversion"/>
  </si>
  <si>
    <t>6CL</t>
    <phoneticPr fontId="3" type="noConversion"/>
  </si>
  <si>
    <t>26-0411</t>
    <phoneticPr fontId="3" type="noConversion"/>
  </si>
  <si>
    <t>5SKG149TH/S+5CLH/S</t>
    <phoneticPr fontId="3" type="noConversion"/>
  </si>
  <si>
    <t>오도시</t>
    <phoneticPr fontId="3" type="noConversion"/>
  </si>
  <si>
    <t>26-0406</t>
    <phoneticPr fontId="3" type="noConversion"/>
  </si>
  <si>
    <t>태원-금정동</t>
    <phoneticPr fontId="3" type="noConversion"/>
  </si>
  <si>
    <t>6SKS142IIH/S+6CLH/S</t>
    <phoneticPr fontId="3" type="noConversion"/>
  </si>
  <si>
    <t>26-0420</t>
    <phoneticPr fontId="3" type="noConversion"/>
  </si>
  <si>
    <t>신동아-건강보험</t>
    <phoneticPr fontId="3" type="noConversion"/>
  </si>
  <si>
    <t>6MZT128H/S+6CLH/S</t>
    <phoneticPr fontId="3" type="noConversion"/>
  </si>
  <si>
    <t>6MZT128</t>
    <phoneticPr fontId="3" type="noConversion"/>
  </si>
  <si>
    <t>26-0312</t>
    <phoneticPr fontId="3" type="noConversion"/>
  </si>
  <si>
    <t>6MZT128H/S+6CL</t>
    <phoneticPr fontId="3" type="noConversion"/>
  </si>
  <si>
    <t>로이재단</t>
    <phoneticPr fontId="3" type="noConversion"/>
  </si>
  <si>
    <t>26-0412</t>
    <phoneticPr fontId="3" type="noConversion"/>
  </si>
  <si>
    <t>포스코-아산</t>
    <phoneticPr fontId="3" type="noConversion"/>
  </si>
  <si>
    <t>5투명</t>
    <phoneticPr fontId="3" type="noConversion"/>
  </si>
  <si>
    <t>5CL</t>
    <phoneticPr fontId="3" type="noConversion"/>
  </si>
  <si>
    <t>26-0407</t>
    <phoneticPr fontId="3" type="noConversion"/>
  </si>
  <si>
    <t>현산-광주</t>
    <phoneticPr fontId="3" type="noConversion"/>
  </si>
  <si>
    <t>8투명강화</t>
    <phoneticPr fontId="3" type="noConversion"/>
  </si>
  <si>
    <t>8CL</t>
    <phoneticPr fontId="3" type="noConversion"/>
  </si>
  <si>
    <t>26-0326</t>
    <phoneticPr fontId="3" type="noConversion"/>
  </si>
  <si>
    <t>디엘-내포</t>
    <phoneticPr fontId="3" type="noConversion"/>
  </si>
  <si>
    <t>1~10번 재단</t>
    <phoneticPr fontId="3" type="noConversion"/>
  </si>
  <si>
    <t>26-0343</t>
    <phoneticPr fontId="3" type="noConversion"/>
  </si>
  <si>
    <t>투명재단 - 정석개발 원판 사용</t>
    <phoneticPr fontId="3" type="noConversion"/>
  </si>
  <si>
    <t>26-0302</t>
    <phoneticPr fontId="3" type="noConversion"/>
  </si>
  <si>
    <t>계룡-인재개발원</t>
    <phoneticPr fontId="3" type="noConversion"/>
  </si>
  <si>
    <t>5CL+5로이</t>
    <phoneticPr fontId="3" type="noConversion"/>
  </si>
  <si>
    <t>5DURA MAX(비강화용)</t>
    <phoneticPr fontId="3" type="noConversion"/>
  </si>
  <si>
    <t>26-0353</t>
    <phoneticPr fontId="3" type="noConversion"/>
  </si>
  <si>
    <t>제일-인천</t>
    <phoneticPr fontId="3" type="noConversion"/>
  </si>
  <si>
    <t>5newGN+5로이</t>
    <phoneticPr fontId="3" type="noConversion"/>
  </si>
  <si>
    <t>5NX</t>
    <phoneticPr fontId="3" type="noConversion"/>
  </si>
  <si>
    <t>5newGNH/S+5로이</t>
    <phoneticPr fontId="3" type="noConversion"/>
  </si>
  <si>
    <t>5마스터원</t>
    <phoneticPr fontId="3" type="noConversion"/>
  </si>
  <si>
    <t>26-0409</t>
    <phoneticPr fontId="3" type="noConversion"/>
  </si>
  <si>
    <t>케이씨씨-오송</t>
    <phoneticPr fontId="3" type="noConversion"/>
  </si>
  <si>
    <t>5MVT172H/S+5CL</t>
    <phoneticPr fontId="3" type="noConversion"/>
  </si>
  <si>
    <t>5CLH/S</t>
    <phoneticPr fontId="3" type="noConversion"/>
  </si>
  <si>
    <t>5MVT172</t>
    <phoneticPr fontId="3" type="noConversion"/>
  </si>
  <si>
    <t>26-0378</t>
    <phoneticPr fontId="3" type="noConversion"/>
  </si>
  <si>
    <t>동성-태성</t>
    <phoneticPr fontId="3" type="noConversion"/>
  </si>
  <si>
    <t>5SKN154IIH/S+5CL</t>
    <phoneticPr fontId="3" type="noConversion"/>
  </si>
  <si>
    <t>로이재단 - 오도시 강화불량</t>
    <phoneticPr fontId="3" type="noConversion"/>
  </si>
  <si>
    <t>26-0376</t>
    <phoneticPr fontId="3" type="noConversion"/>
  </si>
  <si>
    <t>5SKN154IIH/S+5CLH/S</t>
    <phoneticPr fontId="3" type="noConversion"/>
  </si>
  <si>
    <t>5SKN154II</t>
    <phoneticPr fontId="3" type="noConversion"/>
  </si>
  <si>
    <t>26-0417</t>
    <phoneticPr fontId="3" type="noConversion"/>
  </si>
  <si>
    <t>포스코-양산</t>
    <phoneticPr fontId="3" type="noConversion"/>
  </si>
  <si>
    <t>5CL+5CL</t>
    <phoneticPr fontId="3" type="noConversion"/>
  </si>
  <si>
    <t>5CL+5EVI181(n)</t>
    <phoneticPr fontId="3" type="noConversion"/>
  </si>
  <si>
    <t>26-0418</t>
    <phoneticPr fontId="3" type="noConversion"/>
  </si>
  <si>
    <t>현엔-아산</t>
    <phoneticPr fontId="3" type="noConversion"/>
  </si>
  <si>
    <t>5CL+5로이</t>
    <phoneticPr fontId="3" type="noConversion"/>
  </si>
  <si>
    <t>5CL</t>
    <phoneticPr fontId="3" type="noConversion"/>
  </si>
  <si>
    <t>5마스터원</t>
    <phoneticPr fontId="3" type="noConversion"/>
  </si>
  <si>
    <t>26-0417, 0418 같이재단</t>
    <phoneticPr fontId="3" type="noConversion"/>
  </si>
  <si>
    <t>26-0417, 0418 같이재단 - 5EVI181(n) -&gt; 5마스터원으로 재단</t>
    <phoneticPr fontId="3" type="noConversion"/>
  </si>
  <si>
    <t>26-0414</t>
    <phoneticPr fontId="3" type="noConversion"/>
  </si>
  <si>
    <t>포스코-구룡공원</t>
    <phoneticPr fontId="3" type="noConversion"/>
  </si>
  <si>
    <t>5로이+5CL</t>
    <phoneticPr fontId="3" type="noConversion"/>
  </si>
  <si>
    <t>26-0303</t>
    <phoneticPr fontId="3" type="noConversion"/>
  </si>
  <si>
    <t>계룡-인재개발원</t>
    <phoneticPr fontId="3" type="noConversion"/>
  </si>
  <si>
    <t>5DURA MAX(비강화용)</t>
    <phoneticPr fontId="3" type="noConversion"/>
  </si>
  <si>
    <t>26-0326</t>
    <phoneticPr fontId="3" type="noConversion"/>
  </si>
  <si>
    <t>디엘-내포</t>
    <phoneticPr fontId="3" type="noConversion"/>
  </si>
  <si>
    <t>5투명</t>
    <phoneticPr fontId="3" type="noConversion"/>
  </si>
  <si>
    <t>11~20번 재단</t>
    <phoneticPr fontId="3" type="noConversion"/>
  </si>
  <si>
    <t>26-0343</t>
    <phoneticPr fontId="3" type="noConversion"/>
  </si>
  <si>
    <t>5DURA MAX</t>
    <phoneticPr fontId="3" type="noConversion"/>
  </si>
  <si>
    <t>로이재단 - 정석개발 원판 사용</t>
    <phoneticPr fontId="3" type="noConversion"/>
  </si>
  <si>
    <t>26-0413</t>
    <phoneticPr fontId="3" type="noConversion"/>
  </si>
  <si>
    <t>씨제이-오리온</t>
    <phoneticPr fontId="3" type="noConversion"/>
  </si>
  <si>
    <t>6SKN076IIH/S+6DIH/S</t>
    <phoneticPr fontId="3" type="noConversion"/>
  </si>
  <si>
    <t>6SKS142IIH/S+6스팬드럴H/S</t>
    <phoneticPr fontId="3" type="noConversion"/>
  </si>
  <si>
    <t>6SKN076II</t>
    <phoneticPr fontId="3" type="noConversion"/>
  </si>
  <si>
    <t>6디아망</t>
    <phoneticPr fontId="3" type="noConversion"/>
  </si>
  <si>
    <t>6SKS142II</t>
    <phoneticPr fontId="3" type="noConversion"/>
  </si>
  <si>
    <t>25-2712</t>
    <phoneticPr fontId="3" type="noConversion"/>
  </si>
  <si>
    <t>제일-인천</t>
    <phoneticPr fontId="3" type="noConversion"/>
  </si>
  <si>
    <t>5newGN+5로이</t>
    <phoneticPr fontId="3" type="noConversion"/>
  </si>
  <si>
    <t>5NX</t>
    <phoneticPr fontId="3" type="noConversion"/>
  </si>
  <si>
    <t>26-0416</t>
    <phoneticPr fontId="3" type="noConversion"/>
  </si>
  <si>
    <t>대광-평택</t>
    <phoneticPr fontId="3" type="noConversion"/>
  </si>
  <si>
    <t>5ONE+5CLH/S+5ONE</t>
    <phoneticPr fontId="3" type="noConversion"/>
  </si>
  <si>
    <t>5PLAONE</t>
    <phoneticPr fontId="3" type="noConversion"/>
  </si>
  <si>
    <t>로이재단</t>
    <phoneticPr fontId="3" type="noConversion"/>
  </si>
  <si>
    <t>26-0422</t>
    <phoneticPr fontId="3" type="noConversion"/>
  </si>
  <si>
    <t>백화유리</t>
    <phoneticPr fontId="3" type="noConversion"/>
  </si>
  <si>
    <t>5newGN+5CL+5DURA MAX</t>
    <phoneticPr fontId="3" type="noConversion"/>
  </si>
  <si>
    <t>5DURA MAX</t>
    <phoneticPr fontId="3" type="noConversion"/>
  </si>
  <si>
    <t>5CL</t>
    <phoneticPr fontId="3" type="noConversion"/>
  </si>
  <si>
    <t>5NX</t>
    <phoneticPr fontId="3" type="noConversion"/>
  </si>
  <si>
    <t>26-0426</t>
    <phoneticPr fontId="3" type="noConversion"/>
  </si>
  <si>
    <t>현대샷시</t>
    <phoneticPr fontId="3" type="noConversion"/>
  </si>
  <si>
    <t>5CL+5ML</t>
    <phoneticPr fontId="3" type="noConversion"/>
  </si>
  <si>
    <t>5DURA MAX+5CL에칭</t>
    <phoneticPr fontId="3" type="noConversion"/>
  </si>
  <si>
    <t>5ML</t>
    <phoneticPr fontId="3" type="noConversion"/>
  </si>
  <si>
    <t>로이 오도시 재단</t>
    <phoneticPr fontId="3" type="noConversion"/>
  </si>
  <si>
    <t>26-0423</t>
    <phoneticPr fontId="3" type="noConversion"/>
  </si>
  <si>
    <t>우미-파주</t>
    <phoneticPr fontId="3" type="noConversion"/>
  </si>
  <si>
    <t>5newGN+5로이</t>
    <phoneticPr fontId="3" type="noConversion"/>
  </si>
  <si>
    <t>5CL+5로이</t>
    <phoneticPr fontId="3" type="noConversion"/>
  </si>
  <si>
    <t>5CL+5CL</t>
    <phoneticPr fontId="3" type="noConversion"/>
  </si>
  <si>
    <t>5마스터원</t>
    <phoneticPr fontId="3" type="noConversion"/>
  </si>
  <si>
    <t>26-0344</t>
    <phoneticPr fontId="3" type="noConversion"/>
  </si>
  <si>
    <t>로이재단 - 정석개발 원판 사용</t>
    <phoneticPr fontId="3" type="noConversion"/>
  </si>
  <si>
    <t>26-0371</t>
    <phoneticPr fontId="3" type="noConversion"/>
  </si>
  <si>
    <t>신동아-하나은행</t>
    <phoneticPr fontId="3" type="noConversion"/>
  </si>
  <si>
    <t>6SKN176IIH/S+9.52투명배강도접합</t>
    <phoneticPr fontId="3" type="noConversion"/>
  </si>
  <si>
    <t>6SKN176IIH/S+6CL</t>
    <phoneticPr fontId="3" type="noConversion"/>
  </si>
  <si>
    <t>로이재단</t>
    <phoneticPr fontId="3" type="noConversion"/>
  </si>
  <si>
    <t>6SKN176II</t>
    <phoneticPr fontId="3" type="noConversion"/>
  </si>
  <si>
    <t>인성-오창</t>
    <phoneticPr fontId="3" type="noConversion"/>
  </si>
  <si>
    <t>6CL+6로이</t>
    <phoneticPr fontId="3" type="noConversion"/>
  </si>
  <si>
    <t>오도시</t>
    <phoneticPr fontId="3" type="noConversion"/>
  </si>
  <si>
    <t>26-0383</t>
    <phoneticPr fontId="3" type="noConversion"/>
  </si>
  <si>
    <t>씨제이-오리온</t>
    <phoneticPr fontId="3" type="noConversion"/>
  </si>
  <si>
    <t>6SKS142IIH/S+6CLH/S</t>
    <phoneticPr fontId="3" type="noConversion"/>
  </si>
  <si>
    <t>로이재단 - 오도시 강화불량</t>
    <phoneticPr fontId="3" type="noConversion"/>
  </si>
  <si>
    <t>25-2556</t>
    <phoneticPr fontId="3" type="noConversion"/>
  </si>
  <si>
    <t>계룡-증산도</t>
    <phoneticPr fontId="3" type="noConversion"/>
  </si>
  <si>
    <t>6SKG149TH/S+6CL</t>
    <phoneticPr fontId="3" type="noConversion"/>
  </si>
  <si>
    <t>6SKG149T</t>
    <phoneticPr fontId="3" type="noConversion"/>
  </si>
  <si>
    <t>25-2557</t>
    <phoneticPr fontId="3" type="noConversion"/>
  </si>
  <si>
    <t>5SKG149TH/S+5CL</t>
    <phoneticPr fontId="3" type="noConversion"/>
  </si>
  <si>
    <t>5SKG149T</t>
    <phoneticPr fontId="3" type="noConversion"/>
  </si>
  <si>
    <t>26-0435</t>
    <phoneticPr fontId="3" type="noConversion"/>
  </si>
  <si>
    <t>26-0436</t>
    <phoneticPr fontId="3" type="noConversion"/>
  </si>
  <si>
    <t>동일유리</t>
    <phoneticPr fontId="3" type="noConversion"/>
  </si>
  <si>
    <t>5투명강화</t>
    <phoneticPr fontId="3" type="noConversion"/>
  </si>
  <si>
    <t>21~28번 재단</t>
    <phoneticPr fontId="3" type="noConversion"/>
  </si>
  <si>
    <t>로이재단 - 오도시 유리분실</t>
    <phoneticPr fontId="3" type="noConversion"/>
  </si>
  <si>
    <t>26-0431</t>
    <phoneticPr fontId="3" type="noConversion"/>
  </si>
  <si>
    <t>26-0430</t>
    <phoneticPr fontId="3" type="noConversion"/>
  </si>
  <si>
    <t>26-0428</t>
    <phoneticPr fontId="3" type="noConversion"/>
  </si>
  <si>
    <t>26-0429</t>
    <phoneticPr fontId="3" type="noConversion"/>
  </si>
  <si>
    <t>26-0304</t>
    <phoneticPr fontId="3" type="noConversion"/>
  </si>
  <si>
    <t>투명재단 - 1~3번 재단</t>
    <phoneticPr fontId="3" type="noConversion"/>
  </si>
  <si>
    <t>26-0354</t>
    <phoneticPr fontId="3" type="noConversion"/>
  </si>
  <si>
    <t>26-0434</t>
    <phoneticPr fontId="3" type="noConversion"/>
  </si>
  <si>
    <t>신라-청주테크노</t>
    <phoneticPr fontId="3" type="noConversion"/>
  </si>
  <si>
    <t>26-0437</t>
    <phoneticPr fontId="3" type="noConversion"/>
  </si>
  <si>
    <t>청주부속상사</t>
    <phoneticPr fontId="3" type="noConversion"/>
  </si>
  <si>
    <t>5newGN+5PLTDURA+</t>
    <phoneticPr fontId="3" type="noConversion"/>
  </si>
  <si>
    <t>26-0425</t>
    <phoneticPr fontId="3" type="noConversion"/>
  </si>
  <si>
    <t>26-0433</t>
    <phoneticPr fontId="3" type="noConversion"/>
  </si>
  <si>
    <t>새늘-내덕동</t>
    <phoneticPr fontId="3" type="noConversion"/>
  </si>
  <si>
    <t>5투명</t>
    <phoneticPr fontId="3" type="noConversion"/>
  </si>
  <si>
    <t>5CL</t>
    <phoneticPr fontId="3" type="noConversion"/>
  </si>
  <si>
    <t>26-0302</t>
    <phoneticPr fontId="3" type="noConversion"/>
  </si>
  <si>
    <t>계룡-인재개발원</t>
    <phoneticPr fontId="3" type="noConversion"/>
  </si>
  <si>
    <t>6CL+6로이</t>
    <phoneticPr fontId="3" type="noConversion"/>
  </si>
  <si>
    <t>6CL</t>
    <phoneticPr fontId="3" type="noConversion"/>
  </si>
  <si>
    <t>6DURA MAX</t>
    <phoneticPr fontId="3" type="noConversion"/>
  </si>
  <si>
    <t>26-0303</t>
    <phoneticPr fontId="3" type="noConversion"/>
  </si>
  <si>
    <t>투명재단 - 4~6번 재단</t>
    <phoneticPr fontId="3" type="noConversion"/>
  </si>
  <si>
    <t>26-0441</t>
    <phoneticPr fontId="3" type="noConversion"/>
  </si>
  <si>
    <t>영림창호</t>
    <phoneticPr fontId="3" type="noConversion"/>
  </si>
  <si>
    <t>5CL+5CL</t>
    <phoneticPr fontId="3" type="noConversion"/>
  </si>
  <si>
    <t>오도시</t>
    <phoneticPr fontId="3" type="noConversion"/>
  </si>
  <si>
    <t>29~43번 재단</t>
    <phoneticPr fontId="3" type="noConversion"/>
  </si>
  <si>
    <t>26-0438</t>
    <phoneticPr fontId="3" type="noConversion"/>
  </si>
  <si>
    <t>제일-의왕</t>
    <phoneticPr fontId="3" type="noConversion"/>
  </si>
  <si>
    <t>5CL+5로이</t>
    <phoneticPr fontId="3" type="noConversion"/>
  </si>
  <si>
    <t>5newGN+5로이</t>
    <phoneticPr fontId="3" type="noConversion"/>
  </si>
  <si>
    <t>5DURA MAX(비강화용)</t>
    <phoneticPr fontId="3" type="noConversion"/>
  </si>
  <si>
    <t>그린 오도시 재단</t>
    <phoneticPr fontId="3" type="noConversion"/>
  </si>
  <si>
    <t>투명재단</t>
    <phoneticPr fontId="3" type="noConversion"/>
  </si>
  <si>
    <t>26-0407</t>
    <phoneticPr fontId="3" type="noConversion"/>
  </si>
  <si>
    <t>현산-광주</t>
    <phoneticPr fontId="3" type="noConversion"/>
  </si>
  <si>
    <t>5SKN154IIH/S+5CLH/S</t>
    <phoneticPr fontId="3" type="noConversion"/>
  </si>
  <si>
    <t>로이재단 - 강화불량</t>
    <phoneticPr fontId="3" type="noConversion"/>
  </si>
  <si>
    <t>투명재단 - 강화불량</t>
    <phoneticPr fontId="3" type="noConversion"/>
  </si>
  <si>
    <t>26-0409</t>
    <phoneticPr fontId="3" type="noConversion"/>
  </si>
  <si>
    <t>케이씨씨-오송</t>
    <phoneticPr fontId="3" type="noConversion"/>
  </si>
  <si>
    <t>5MVT172H/S+5CL</t>
    <phoneticPr fontId="3" type="noConversion"/>
  </si>
  <si>
    <t>5MVT172</t>
  </si>
  <si>
    <t>26-0355</t>
    <phoneticPr fontId="3" type="noConversion"/>
  </si>
  <si>
    <t>제일-인천</t>
    <phoneticPr fontId="3" type="noConversion"/>
  </si>
  <si>
    <t>5NX</t>
    <phoneticPr fontId="3" type="noConversion"/>
  </si>
  <si>
    <t>26-0356</t>
    <phoneticPr fontId="3" type="noConversion"/>
  </si>
  <si>
    <t>5newGNH/S+5로이</t>
    <phoneticPr fontId="3" type="noConversion"/>
  </si>
  <si>
    <t>5마스터원</t>
    <phoneticPr fontId="3" type="noConversion"/>
  </si>
  <si>
    <t>26-0410</t>
    <phoneticPr fontId="3" type="noConversion"/>
  </si>
  <si>
    <t>현엔-청주터미널</t>
    <phoneticPr fontId="3" type="noConversion"/>
  </si>
  <si>
    <t>(5CL+5CL)+5로이</t>
    <phoneticPr fontId="3" type="noConversion"/>
  </si>
  <si>
    <t>(5CLH/S+5CLH/S)+5로이</t>
    <phoneticPr fontId="3" type="noConversion"/>
  </si>
  <si>
    <t>5CL+5로이</t>
    <phoneticPr fontId="3" type="noConversion"/>
  </si>
  <si>
    <t>5로이+5CL+5로이</t>
    <phoneticPr fontId="3" type="noConversion"/>
  </si>
  <si>
    <t>5CL</t>
    <phoneticPr fontId="3" type="noConversion"/>
  </si>
  <si>
    <t>5마스터원</t>
    <phoneticPr fontId="3" type="noConversion"/>
  </si>
  <si>
    <t>26-0178</t>
    <phoneticPr fontId="3" type="noConversion"/>
  </si>
  <si>
    <t>태영-부산</t>
    <phoneticPr fontId="3" type="noConversion"/>
  </si>
  <si>
    <t>5DURA MAX(비강화용)</t>
    <phoneticPr fontId="3" type="noConversion"/>
  </si>
  <si>
    <t>26-0179</t>
    <phoneticPr fontId="3" type="noConversion"/>
  </si>
  <si>
    <t>26-0180</t>
    <phoneticPr fontId="3" type="noConversion"/>
  </si>
  <si>
    <t>26-0442</t>
    <phoneticPr fontId="3" type="noConversion"/>
  </si>
  <si>
    <t>서희-광주</t>
    <phoneticPr fontId="3" type="noConversion"/>
  </si>
  <si>
    <t>5FH이+5투명+5로이</t>
    <phoneticPr fontId="3" type="noConversion"/>
  </si>
  <si>
    <t>오도시</t>
    <phoneticPr fontId="3" type="noConversion"/>
  </si>
  <si>
    <t>26-0358</t>
    <phoneticPr fontId="3" type="noConversion"/>
  </si>
  <si>
    <t>제일-인천</t>
    <phoneticPr fontId="3" type="noConversion"/>
  </si>
  <si>
    <t>26-0357</t>
    <phoneticPr fontId="3" type="noConversion"/>
  </si>
  <si>
    <t>26-0432</t>
    <phoneticPr fontId="3" type="noConversion"/>
  </si>
  <si>
    <t>씨제이-오리온</t>
    <phoneticPr fontId="3" type="noConversion"/>
  </si>
  <si>
    <t>6SKN076IIH/S+6DIFRIT[스킨코트]</t>
    <phoneticPr fontId="3" type="noConversion"/>
  </si>
  <si>
    <t>6SKN076IIH/S+6DIFRIT스텝[스킨코트]</t>
    <phoneticPr fontId="3" type="noConversion"/>
  </si>
  <si>
    <t>6디아망</t>
    <phoneticPr fontId="3" type="noConversion"/>
  </si>
  <si>
    <t>26-0443</t>
    <phoneticPr fontId="3" type="noConversion"/>
  </si>
  <si>
    <t>케이씨씨-오송</t>
    <phoneticPr fontId="3" type="noConversion"/>
  </si>
  <si>
    <t>투명재단 - 7번, 8번 100조 중 50조 재단</t>
    <phoneticPr fontId="3" type="noConversion"/>
  </si>
  <si>
    <t>26-0181</t>
    <phoneticPr fontId="3" type="noConversion"/>
  </si>
  <si>
    <t>태영-부산</t>
    <phoneticPr fontId="3" type="noConversion"/>
  </si>
  <si>
    <t>(4CL+4CL)+5로이</t>
    <phoneticPr fontId="3" type="noConversion"/>
  </si>
  <si>
    <t>5CL+5로이</t>
    <phoneticPr fontId="3" type="noConversion"/>
  </si>
  <si>
    <t>5CL</t>
    <phoneticPr fontId="3" type="noConversion"/>
  </si>
  <si>
    <t>5DURA MAX(비강화용)</t>
    <phoneticPr fontId="3" type="noConversion"/>
  </si>
  <si>
    <t>5DURA MAX</t>
    <phoneticPr fontId="3" type="noConversion"/>
  </si>
  <si>
    <t>26-0443</t>
    <phoneticPr fontId="3" type="noConversion"/>
  </si>
  <si>
    <t>케이씨씨-오송</t>
    <phoneticPr fontId="3" type="noConversion"/>
  </si>
  <si>
    <t>5NX</t>
    <phoneticPr fontId="3" type="noConversion"/>
  </si>
  <si>
    <t>5마스터원</t>
    <phoneticPr fontId="3" type="noConversion"/>
  </si>
  <si>
    <t>26-0452</t>
    <phoneticPr fontId="3" type="noConversion"/>
  </si>
  <si>
    <t>다솔산업</t>
    <phoneticPr fontId="3" type="noConversion"/>
  </si>
  <si>
    <t>5CL+5DURA MAX</t>
    <phoneticPr fontId="3" type="noConversion"/>
  </si>
  <si>
    <t>오도시</t>
    <phoneticPr fontId="3" type="noConversion"/>
  </si>
  <si>
    <t>26-0453</t>
    <phoneticPr fontId="3" type="noConversion"/>
  </si>
  <si>
    <t>한라-월명</t>
    <phoneticPr fontId="3" type="noConversion"/>
  </si>
  <si>
    <t>5DURA MAX+5newGN</t>
    <phoneticPr fontId="3" type="noConversion"/>
  </si>
  <si>
    <t>26-0440</t>
    <phoneticPr fontId="3" type="noConversion"/>
  </si>
  <si>
    <t>우미-울산</t>
    <phoneticPr fontId="3" type="noConversion"/>
  </si>
  <si>
    <t>5투명</t>
    <phoneticPr fontId="3" type="noConversion"/>
  </si>
  <si>
    <t>26-0419</t>
    <phoneticPr fontId="3" type="noConversion"/>
  </si>
  <si>
    <t>정석개발-청주테크노</t>
    <phoneticPr fontId="3" type="noConversion"/>
  </si>
  <si>
    <t>5newGN+5DURA MAX</t>
    <phoneticPr fontId="3" type="noConversion"/>
  </si>
  <si>
    <t>정석개발 원판 사용</t>
    <phoneticPr fontId="3" type="noConversion"/>
  </si>
  <si>
    <t>26-0178</t>
    <phoneticPr fontId="3" type="noConversion"/>
  </si>
  <si>
    <t>26-0179</t>
    <phoneticPr fontId="3" type="noConversion"/>
  </si>
  <si>
    <t>26-0180</t>
    <phoneticPr fontId="3" type="noConversion"/>
  </si>
  <si>
    <t>(5newGN+5CL)+5로이</t>
    <phoneticPr fontId="3" type="noConversion"/>
  </si>
  <si>
    <t>로이재단</t>
    <phoneticPr fontId="3" type="noConversion"/>
  </si>
  <si>
    <t>투명재단 - 8번 100조 중 50조, 9번 재단</t>
    <phoneticPr fontId="3" type="noConversion"/>
  </si>
  <si>
    <t>25-2712</t>
    <phoneticPr fontId="3" type="noConversion"/>
  </si>
  <si>
    <t>제일-인천</t>
    <phoneticPr fontId="3" type="noConversion"/>
  </si>
  <si>
    <t>5newGNH/S+5로이H/S</t>
    <phoneticPr fontId="3" type="noConversion"/>
  </si>
  <si>
    <t>강화 불량</t>
    <phoneticPr fontId="3" type="noConversion"/>
  </si>
  <si>
    <t>25-2556</t>
    <phoneticPr fontId="3" type="noConversion"/>
  </si>
  <si>
    <t>계룡-증산도</t>
    <phoneticPr fontId="3" type="noConversion"/>
  </si>
  <si>
    <t>6SKG149TH/S+6CL</t>
    <phoneticPr fontId="3" type="noConversion"/>
  </si>
  <si>
    <t>6SKG149T</t>
  </si>
  <si>
    <t>로이재단 - 강화불량</t>
    <phoneticPr fontId="3" type="noConversion"/>
  </si>
  <si>
    <t>26-0447</t>
    <phoneticPr fontId="3" type="noConversion"/>
  </si>
  <si>
    <t>동성-태성</t>
    <phoneticPr fontId="3" type="noConversion"/>
  </si>
  <si>
    <t>5SKN154IIH/S+5CL</t>
    <phoneticPr fontId="3" type="noConversion"/>
  </si>
  <si>
    <t>5SKN154II</t>
    <phoneticPr fontId="3" type="noConversion"/>
  </si>
  <si>
    <t>26-0446</t>
    <phoneticPr fontId="3" type="noConversion"/>
  </si>
  <si>
    <t>26-0445</t>
    <phoneticPr fontId="3" type="noConversion"/>
  </si>
  <si>
    <t>5newGNH/S+5로이</t>
    <phoneticPr fontId="3" type="noConversion"/>
  </si>
  <si>
    <t>26-0444</t>
    <phoneticPr fontId="3" type="noConversion"/>
  </si>
  <si>
    <t>대성-천호동</t>
    <phoneticPr fontId="3" type="noConversion"/>
  </si>
  <si>
    <t>5SUPERPLUS1.0H/S+5SUPERPLUS1.0H/S+5CL</t>
    <phoneticPr fontId="3" type="noConversion"/>
  </si>
  <si>
    <t>5마스터원</t>
    <phoneticPr fontId="3" type="noConversion"/>
  </si>
  <si>
    <t>5CL</t>
    <phoneticPr fontId="3" type="noConversion"/>
  </si>
  <si>
    <t>26-0470</t>
    <phoneticPr fontId="3" type="noConversion"/>
  </si>
  <si>
    <t>미성건설</t>
    <phoneticPr fontId="3" type="noConversion"/>
  </si>
  <si>
    <t>6N-29+5CL</t>
    <phoneticPr fontId="3" type="noConversion"/>
  </si>
  <si>
    <t>6N-29</t>
    <phoneticPr fontId="3" type="noConversion"/>
  </si>
  <si>
    <t>26-0429</t>
    <phoneticPr fontId="3" type="noConversion"/>
  </si>
  <si>
    <t>씨타-춘천</t>
    <phoneticPr fontId="3" type="noConversion"/>
  </si>
  <si>
    <t>5MZT152H/S+5CL</t>
    <phoneticPr fontId="3" type="noConversion"/>
  </si>
  <si>
    <t>로이재단 - 오도시 강화불량</t>
    <phoneticPr fontId="3" type="noConversion"/>
  </si>
  <si>
    <t>26-0178</t>
    <phoneticPr fontId="3" type="noConversion"/>
  </si>
  <si>
    <t>태영-부산</t>
    <phoneticPr fontId="3" type="noConversion"/>
  </si>
  <si>
    <t>5CLH/S+5로이</t>
    <phoneticPr fontId="3" type="noConversion"/>
  </si>
  <si>
    <t>8.76투명접합+5로이H/S+5로이</t>
    <phoneticPr fontId="3" type="noConversion"/>
  </si>
  <si>
    <t>5DURA MAX(비강화용)</t>
    <phoneticPr fontId="3" type="noConversion"/>
  </si>
  <si>
    <t>비강화용 로이 재단</t>
    <phoneticPr fontId="3" type="noConversion"/>
  </si>
  <si>
    <t>26-0179</t>
    <phoneticPr fontId="3" type="noConversion"/>
  </si>
  <si>
    <t>26-0180</t>
    <phoneticPr fontId="3" type="noConversion"/>
  </si>
  <si>
    <t>26-0181</t>
    <phoneticPr fontId="3" type="noConversion"/>
  </si>
  <si>
    <t>강화용 로이재단 - 26-0178, 0179, 0180, 0181 같이재단</t>
    <phoneticPr fontId="3" type="noConversion"/>
  </si>
  <si>
    <t>26-0416</t>
    <phoneticPr fontId="3" type="noConversion"/>
  </si>
  <si>
    <t>대광-평택</t>
    <phoneticPr fontId="3" type="noConversion"/>
  </si>
  <si>
    <t>5ONE+5CLH/S+5ONE</t>
    <phoneticPr fontId="3" type="noConversion"/>
  </si>
  <si>
    <t>26-0444, 0416 같이재단 - 5SUPERPLUS1.0 -&gt; 5마스터원으로 재단</t>
    <phoneticPr fontId="3" type="noConversion"/>
  </si>
  <si>
    <t>투명재단 - 26-0444, 0416 같이재단</t>
    <phoneticPr fontId="3" type="noConversion"/>
  </si>
  <si>
    <t>26-0182</t>
    <phoneticPr fontId="3" type="noConversion"/>
  </si>
  <si>
    <t>5CL+5로이</t>
    <phoneticPr fontId="3" type="noConversion"/>
  </si>
  <si>
    <t>26-0475</t>
    <phoneticPr fontId="3" type="noConversion"/>
  </si>
  <si>
    <t>계룡-오뚜기</t>
    <phoneticPr fontId="3" type="noConversion"/>
  </si>
  <si>
    <t>5SKG149TH/S+5CLH/S</t>
    <phoneticPr fontId="3" type="noConversion"/>
  </si>
  <si>
    <t>5SKG149T</t>
    <phoneticPr fontId="3" type="noConversion"/>
  </si>
  <si>
    <t>26-0469</t>
    <phoneticPr fontId="3" type="noConversion"/>
  </si>
  <si>
    <t>쌍용-화성</t>
    <phoneticPr fontId="3" type="noConversion"/>
  </si>
  <si>
    <t>6SKG149TH/S+6CLH/S</t>
    <phoneticPr fontId="3" type="noConversion"/>
  </si>
  <si>
    <t>오도시</t>
    <phoneticPr fontId="3" type="noConversion"/>
  </si>
  <si>
    <t>26-0467</t>
    <phoneticPr fontId="3" type="noConversion"/>
  </si>
  <si>
    <t>계룡-원주의료원</t>
    <phoneticPr fontId="3" type="noConversion"/>
  </si>
  <si>
    <t>5SKN154IIH/S+5CL</t>
    <phoneticPr fontId="3" type="noConversion"/>
  </si>
  <si>
    <t>26-0476</t>
    <phoneticPr fontId="3" type="noConversion"/>
  </si>
  <si>
    <t>계룡-부천</t>
    <phoneticPr fontId="3" type="noConversion"/>
  </si>
  <si>
    <t>5CL에칭+5로이</t>
    <phoneticPr fontId="3" type="noConversion"/>
  </si>
  <si>
    <t>26-0477</t>
    <phoneticPr fontId="3" type="noConversion"/>
  </si>
  <si>
    <t>포스코-구룡</t>
    <phoneticPr fontId="3" type="noConversion"/>
  </si>
  <si>
    <t>26-0371</t>
    <phoneticPr fontId="3" type="noConversion"/>
  </si>
  <si>
    <t>신동아-하나은행</t>
    <phoneticPr fontId="3" type="noConversion"/>
  </si>
  <si>
    <t>6SKN176IIH/S+9.52투명배강도접합</t>
    <phoneticPr fontId="3" type="noConversion"/>
  </si>
  <si>
    <t>6SKN176II</t>
    <phoneticPr fontId="3" type="noConversion"/>
  </si>
  <si>
    <t>로이재단 - 강화불량</t>
    <phoneticPr fontId="3" type="noConversion"/>
  </si>
  <si>
    <t>26-0445</t>
    <phoneticPr fontId="3" type="noConversion"/>
  </si>
  <si>
    <t>동성-태성</t>
    <phoneticPr fontId="3" type="noConversion"/>
  </si>
  <si>
    <t>5SKN154II</t>
    <phoneticPr fontId="3" type="noConversion"/>
  </si>
  <si>
    <t>26-0446</t>
    <phoneticPr fontId="3" type="noConversion"/>
  </si>
  <si>
    <t>26-0447</t>
    <phoneticPr fontId="3" type="noConversion"/>
  </si>
  <si>
    <t>25-2557</t>
    <phoneticPr fontId="3" type="noConversion"/>
  </si>
  <si>
    <t>계룡-증산도</t>
    <phoneticPr fontId="3" type="noConversion"/>
  </si>
  <si>
    <t>6SKG149TH/S+6CL</t>
    <phoneticPr fontId="3" type="noConversion"/>
  </si>
  <si>
    <t>6SKG149T</t>
    <phoneticPr fontId="3" type="noConversion"/>
  </si>
  <si>
    <t>26-0185</t>
    <phoneticPr fontId="3" type="noConversion"/>
  </si>
  <si>
    <t>26-0182</t>
    <phoneticPr fontId="3" type="noConversion"/>
  </si>
  <si>
    <t>태영-부산</t>
    <phoneticPr fontId="3" type="noConversion"/>
  </si>
  <si>
    <t>(4CL+4CL)+5로이</t>
    <phoneticPr fontId="3" type="noConversion"/>
  </si>
  <si>
    <t>5DURA MAX</t>
    <phoneticPr fontId="3" type="noConversion"/>
  </si>
  <si>
    <t>5DURA MAX(비강화용)</t>
    <phoneticPr fontId="3" type="noConversion"/>
  </si>
  <si>
    <t>26-0478</t>
    <phoneticPr fontId="3" type="noConversion"/>
  </si>
  <si>
    <t>새늘-내덕동</t>
    <phoneticPr fontId="3" type="noConversion"/>
  </si>
  <si>
    <t>12투명강화</t>
    <phoneticPr fontId="3" type="noConversion"/>
  </si>
  <si>
    <t>12CL</t>
    <phoneticPr fontId="3" type="noConversion"/>
  </si>
  <si>
    <t>26-0184</t>
    <phoneticPr fontId="3" type="noConversion"/>
  </si>
  <si>
    <t>5CL+5로이</t>
    <phoneticPr fontId="3" type="noConversion"/>
  </si>
  <si>
    <t>5CL</t>
    <phoneticPr fontId="3" type="noConversion"/>
  </si>
  <si>
    <t>26-0292</t>
    <phoneticPr fontId="3" type="noConversion"/>
  </si>
  <si>
    <t>케이씨씨-여의도</t>
    <phoneticPr fontId="3" type="noConversion"/>
  </si>
  <si>
    <t>5마스터원</t>
    <phoneticPr fontId="3" type="noConversion"/>
  </si>
  <si>
    <t>5로이+5CLH/S+5CL</t>
    <phoneticPr fontId="3" type="noConversion"/>
  </si>
  <si>
    <t>로이재단</t>
    <phoneticPr fontId="3" type="noConversion"/>
  </si>
  <si>
    <t>26-0183</t>
    <phoneticPr fontId="3" type="noConversion"/>
  </si>
  <si>
    <t>26-0186</t>
    <phoneticPr fontId="3" type="noConversion"/>
  </si>
  <si>
    <t>26-0187</t>
    <phoneticPr fontId="3" type="noConversion"/>
  </si>
  <si>
    <t>26-0447</t>
    <phoneticPr fontId="3" type="noConversion"/>
  </si>
  <si>
    <t>동성-태성</t>
    <phoneticPr fontId="3" type="noConversion"/>
  </si>
  <si>
    <t>5SKN154IIH/S+5CL</t>
    <phoneticPr fontId="3" type="noConversion"/>
  </si>
  <si>
    <t>로이재단 - 오도시 강화불량</t>
    <phoneticPr fontId="3" type="noConversion"/>
  </si>
  <si>
    <t>26-0479</t>
    <phoneticPr fontId="3" type="noConversion"/>
  </si>
  <si>
    <t>포스코-아산</t>
    <phoneticPr fontId="3" type="noConversion"/>
  </si>
  <si>
    <t>5SKN154+5CL</t>
    <phoneticPr fontId="3" type="noConversion"/>
  </si>
  <si>
    <t>오도시</t>
    <phoneticPr fontId="3" type="noConversion"/>
  </si>
  <si>
    <t>26-0450</t>
    <phoneticPr fontId="3" type="noConversion"/>
  </si>
  <si>
    <t>계룡-증산도</t>
    <phoneticPr fontId="3" type="noConversion"/>
  </si>
  <si>
    <t>6SKG149TH/S+6CL</t>
    <phoneticPr fontId="3" type="noConversion"/>
  </si>
  <si>
    <t>6SKG149T</t>
    <phoneticPr fontId="3" type="noConversion"/>
  </si>
  <si>
    <t>26-0451</t>
    <phoneticPr fontId="3" type="noConversion"/>
  </si>
  <si>
    <t>5SKG149TH/S+5CL</t>
    <phoneticPr fontId="3" type="noConversion"/>
  </si>
  <si>
    <t>26-0185</t>
    <phoneticPr fontId="3" type="noConversion"/>
  </si>
  <si>
    <t>26-0183</t>
    <phoneticPr fontId="3" type="noConversion"/>
  </si>
  <si>
    <t>26-0449</t>
    <phoneticPr fontId="3" type="noConversion"/>
  </si>
  <si>
    <t>26-0188</t>
    <phoneticPr fontId="3" type="noConversion"/>
  </si>
  <si>
    <t>26-0482</t>
    <phoneticPr fontId="3" type="noConversion"/>
  </si>
  <si>
    <t>새늘-내덕동</t>
    <phoneticPr fontId="3" type="noConversion"/>
  </si>
  <si>
    <t>5투명배강도</t>
    <phoneticPr fontId="3" type="noConversion"/>
  </si>
  <si>
    <t>5CL</t>
    <phoneticPr fontId="3" type="noConversion"/>
  </si>
  <si>
    <t>26-0492</t>
    <phoneticPr fontId="3" type="noConversion"/>
  </si>
  <si>
    <t>씨제이-오리온</t>
    <phoneticPr fontId="3" type="noConversion"/>
  </si>
  <si>
    <t>6SKS142IIH/S+6CLH/S</t>
    <phoneticPr fontId="3" type="noConversion"/>
  </si>
  <si>
    <t>6SKS142II</t>
    <phoneticPr fontId="3" type="noConversion"/>
  </si>
  <si>
    <t>6CL</t>
    <phoneticPr fontId="3" type="noConversion"/>
  </si>
  <si>
    <t>26-0449</t>
    <phoneticPr fontId="3" type="noConversion"/>
  </si>
  <si>
    <t>계룡-증산도</t>
    <phoneticPr fontId="3" type="noConversion"/>
  </si>
  <si>
    <t>투명재단</t>
    <phoneticPr fontId="3" type="noConversion"/>
  </si>
  <si>
    <t>26-0432</t>
    <phoneticPr fontId="3" type="noConversion"/>
  </si>
  <si>
    <t>6SKN076IIH/S+6DIFRIT[스킨코트]</t>
    <phoneticPr fontId="3" type="noConversion"/>
  </si>
  <si>
    <t>6디아망</t>
    <phoneticPr fontId="3" type="noConversion"/>
  </si>
  <si>
    <t>디아망 재단 - 태드글라스 이송</t>
    <phoneticPr fontId="3" type="noConversion"/>
  </si>
  <si>
    <t>5SKS142IIH/S+5CLH/S+5스펜드럴H/S</t>
    <phoneticPr fontId="3" type="noConversion"/>
  </si>
  <si>
    <t>6SKS142IIH/S+6스펜드럴H/S</t>
    <phoneticPr fontId="3" type="noConversion"/>
  </si>
  <si>
    <t>6SKN076IIH/S+6DIFRIT스텝[스킨코트]</t>
    <phoneticPr fontId="3" type="noConversion"/>
  </si>
  <si>
    <t>6SKN076II</t>
    <phoneticPr fontId="3" type="noConversion"/>
  </si>
  <si>
    <t>26-0292</t>
    <phoneticPr fontId="3" type="noConversion"/>
  </si>
  <si>
    <t>케이씨씨-여의도</t>
    <phoneticPr fontId="3" type="noConversion"/>
  </si>
  <si>
    <t>5로이+5CL</t>
    <phoneticPr fontId="3" type="noConversion"/>
  </si>
  <si>
    <t>오도시</t>
    <phoneticPr fontId="3" type="noConversion"/>
  </si>
  <si>
    <t>26-0448</t>
    <phoneticPr fontId="3" type="noConversion"/>
  </si>
  <si>
    <t>대원-용인</t>
    <phoneticPr fontId="3" type="noConversion"/>
  </si>
  <si>
    <t>5CL+5로이</t>
    <phoneticPr fontId="3" type="noConversion"/>
  </si>
  <si>
    <t>5투명</t>
    <phoneticPr fontId="3" type="noConversion"/>
  </si>
  <si>
    <t>6로이+6CL</t>
    <phoneticPr fontId="3" type="noConversion"/>
  </si>
  <si>
    <t>5로이+5투명</t>
    <phoneticPr fontId="3" type="noConversion"/>
  </si>
  <si>
    <t>10투명강화</t>
    <phoneticPr fontId="3" type="noConversion"/>
  </si>
  <si>
    <t>6마스터원</t>
    <phoneticPr fontId="3" type="noConversion"/>
  </si>
  <si>
    <t>10CL</t>
    <phoneticPr fontId="3" type="noConversion"/>
  </si>
  <si>
    <t>로이 오도시 재단</t>
    <phoneticPr fontId="3" type="noConversion"/>
  </si>
  <si>
    <t>26-0471</t>
    <phoneticPr fontId="3" type="noConversion"/>
  </si>
  <si>
    <t>한양-인천</t>
    <phoneticPr fontId="3" type="noConversion"/>
  </si>
  <si>
    <t>5CL+5CL</t>
    <phoneticPr fontId="3" type="noConversion"/>
  </si>
  <si>
    <t>8.76투명접합+5CL</t>
    <phoneticPr fontId="3" type="noConversion"/>
  </si>
  <si>
    <t>26-0479</t>
    <phoneticPr fontId="3" type="noConversion"/>
  </si>
  <si>
    <t>포스코-아산</t>
    <phoneticPr fontId="3" type="noConversion"/>
  </si>
  <si>
    <t>26-0188</t>
    <phoneticPr fontId="3" type="noConversion"/>
  </si>
  <si>
    <t>태영-부산</t>
    <phoneticPr fontId="3" type="noConversion"/>
  </si>
  <si>
    <t>6SKG149TH/S+6CL</t>
    <phoneticPr fontId="3" type="noConversion"/>
  </si>
  <si>
    <t>디아망 재단 -&gt; 테드글라스 이동</t>
    <phoneticPr fontId="3" type="noConversion"/>
  </si>
  <si>
    <t>투명재단</t>
    <phoneticPr fontId="3" type="noConversion"/>
  </si>
  <si>
    <t>26-0497</t>
    <phoneticPr fontId="3" type="noConversion"/>
  </si>
  <si>
    <t>동성-태성</t>
    <phoneticPr fontId="3" type="noConversion"/>
  </si>
  <si>
    <t>5SKN154IIH/S+5CL</t>
    <phoneticPr fontId="3" type="noConversion"/>
  </si>
  <si>
    <t>5SKN154II</t>
    <phoneticPr fontId="3" type="noConversion"/>
  </si>
  <si>
    <t>26-0500</t>
    <phoneticPr fontId="3" type="noConversion"/>
  </si>
  <si>
    <t>강남유리</t>
    <phoneticPr fontId="3" type="noConversion"/>
  </si>
  <si>
    <t>5CL</t>
    <phoneticPr fontId="3" type="noConversion"/>
  </si>
  <si>
    <t>26-0497, 0500 같이재단</t>
    <phoneticPr fontId="3" type="noConversion"/>
  </si>
  <si>
    <t>26-0496</t>
    <phoneticPr fontId="3" type="noConversion"/>
  </si>
  <si>
    <t>삼보종합건설</t>
    <phoneticPr fontId="3" type="noConversion"/>
  </si>
  <si>
    <t>8투명강화</t>
    <phoneticPr fontId="3" type="noConversion"/>
  </si>
  <si>
    <t>8CL</t>
    <phoneticPr fontId="3" type="noConversion"/>
  </si>
  <si>
    <t>26-0474</t>
    <phoneticPr fontId="3" type="noConversion"/>
  </si>
  <si>
    <t>신동아-하나은행</t>
    <phoneticPr fontId="3" type="noConversion"/>
  </si>
  <si>
    <t>6SKN176IIH/S+6CL(스텝)</t>
    <phoneticPr fontId="3" type="noConversion"/>
  </si>
  <si>
    <t>6SKN176IIH/S+6CL</t>
    <phoneticPr fontId="3" type="noConversion"/>
  </si>
  <si>
    <t>5SKN175IIH/S+5CL</t>
    <phoneticPr fontId="3" type="noConversion"/>
  </si>
  <si>
    <t>6SKN176II</t>
    <phoneticPr fontId="3" type="noConversion"/>
  </si>
  <si>
    <t>6CL</t>
    <phoneticPr fontId="3" type="noConversion"/>
  </si>
  <si>
    <t>5SKN176II</t>
    <phoneticPr fontId="3" type="noConversion"/>
  </si>
  <si>
    <t>26-0432</t>
    <phoneticPr fontId="3" type="noConversion"/>
  </si>
  <si>
    <t>씨제이-오리온</t>
    <phoneticPr fontId="3" type="noConversion"/>
  </si>
  <si>
    <t>로이재단</t>
    <phoneticPr fontId="3" type="noConversion"/>
  </si>
  <si>
    <t>투명재단 - 오도시</t>
    <phoneticPr fontId="3" type="noConversion"/>
  </si>
  <si>
    <t>26-0292</t>
    <phoneticPr fontId="3" type="noConversion"/>
  </si>
  <si>
    <t>케이씨씨-여의도</t>
    <phoneticPr fontId="3" type="noConversion"/>
  </si>
  <si>
    <t>5로이+5CLH/S+5CL</t>
    <phoneticPr fontId="3" type="noConversion"/>
  </si>
  <si>
    <t>강화용 투명재단 - 강화불량</t>
    <phoneticPr fontId="3" type="noConversion"/>
  </si>
  <si>
    <t>26-0450</t>
    <phoneticPr fontId="3" type="noConversion"/>
  </si>
  <si>
    <t>계룡-증산도</t>
    <phoneticPr fontId="3" type="noConversion"/>
  </si>
  <si>
    <t>6SKG149TH/S+6CL</t>
    <phoneticPr fontId="3" type="noConversion"/>
  </si>
  <si>
    <t>투명재단</t>
    <phoneticPr fontId="3" type="noConversion"/>
  </si>
  <si>
    <t>26-0451</t>
    <phoneticPr fontId="3" type="noConversion"/>
  </si>
  <si>
    <t>투명재단 - 1~3번, 4번 46조 중 16조 재단</t>
    <phoneticPr fontId="3" type="noConversion"/>
  </si>
  <si>
    <t>26-0495</t>
    <phoneticPr fontId="3" type="noConversion"/>
  </si>
  <si>
    <t>계룡-오뚜기</t>
    <phoneticPr fontId="3" type="noConversion"/>
  </si>
  <si>
    <t>5SKG149TH/S+5CLH/S</t>
    <phoneticPr fontId="3" type="noConversion"/>
  </si>
  <si>
    <t>6SKG149T</t>
    <phoneticPr fontId="3" type="noConversion"/>
  </si>
  <si>
    <t>5CL</t>
    <phoneticPr fontId="3" type="noConversion"/>
  </si>
  <si>
    <t>26-0480</t>
    <phoneticPr fontId="3" type="noConversion"/>
  </si>
  <si>
    <t>계룡-원주의료원</t>
    <phoneticPr fontId="3" type="noConversion"/>
  </si>
  <si>
    <t>6SKN154IIH/S+6CLH/S+6SKN154IIH/S</t>
    <phoneticPr fontId="3" type="noConversion"/>
  </si>
  <si>
    <t>6SKN154II</t>
    <phoneticPr fontId="3" type="noConversion"/>
  </si>
  <si>
    <t>6CL</t>
    <phoneticPr fontId="3" type="noConversion"/>
  </si>
  <si>
    <t>26-0184</t>
    <phoneticPr fontId="3" type="noConversion"/>
  </si>
  <si>
    <t>태영-부산</t>
    <phoneticPr fontId="3" type="noConversion"/>
  </si>
  <si>
    <t>(4CL+4CL)+5로이</t>
    <phoneticPr fontId="3" type="noConversion"/>
  </si>
  <si>
    <t>5DURA MAX</t>
    <phoneticPr fontId="3" type="noConversion"/>
  </si>
  <si>
    <t>5DURA MAX(비강화용)</t>
    <phoneticPr fontId="3" type="noConversion"/>
  </si>
  <si>
    <t>26-0186</t>
    <phoneticPr fontId="3" type="noConversion"/>
  </si>
  <si>
    <t>26-0188</t>
    <phoneticPr fontId="3" type="noConversion"/>
  </si>
  <si>
    <t>26-0186, 0178, 0188 같이재단</t>
    <phoneticPr fontId="3" type="noConversion"/>
  </si>
  <si>
    <t>26-0421</t>
    <phoneticPr fontId="3" type="noConversion"/>
  </si>
  <si>
    <t>계룡-양주</t>
    <phoneticPr fontId="3" type="noConversion"/>
  </si>
  <si>
    <t>6PLTDURA+6CL</t>
    <phoneticPr fontId="3" type="noConversion"/>
  </si>
  <si>
    <t>오도시</t>
    <phoneticPr fontId="3" type="noConversion"/>
  </si>
  <si>
    <t>26-0472</t>
    <phoneticPr fontId="3" type="noConversion"/>
  </si>
  <si>
    <t>계룡-부천</t>
    <phoneticPr fontId="3" type="noConversion"/>
  </si>
  <si>
    <t>5CL+5로이</t>
    <phoneticPr fontId="3" type="noConversion"/>
  </si>
  <si>
    <t>5CL+5CL</t>
    <phoneticPr fontId="3" type="noConversion"/>
  </si>
  <si>
    <t>26-0489</t>
    <phoneticPr fontId="3" type="noConversion"/>
  </si>
  <si>
    <t>대진글라스-대우</t>
    <phoneticPr fontId="3" type="noConversion"/>
  </si>
  <si>
    <t>6CL+6CL</t>
    <phoneticPr fontId="3" type="noConversion"/>
  </si>
  <si>
    <t>6CL+6로이</t>
    <phoneticPr fontId="3" type="noConversion"/>
  </si>
  <si>
    <t>6마스터원</t>
    <phoneticPr fontId="3" type="noConversion"/>
  </si>
  <si>
    <t>10.76투명접합+6로이</t>
    <phoneticPr fontId="3" type="noConversion"/>
  </si>
  <si>
    <t>26-0490</t>
    <phoneticPr fontId="3" type="noConversion"/>
  </si>
  <si>
    <t>26-0515</t>
    <phoneticPr fontId="3" type="noConversion"/>
  </si>
  <si>
    <t>현엔-아산</t>
    <phoneticPr fontId="3" type="noConversion"/>
  </si>
  <si>
    <t>5마스터원</t>
    <phoneticPr fontId="3" type="noConversion"/>
  </si>
  <si>
    <t>투명재단 - 4번 46조 중 30조,5~9번 재단</t>
    <phoneticPr fontId="3" type="noConversion"/>
  </si>
  <si>
    <t>26-0484</t>
    <phoneticPr fontId="3" type="noConversion"/>
  </si>
  <si>
    <t>대우-청주테크노</t>
    <phoneticPr fontId="3" type="noConversion"/>
  </si>
  <si>
    <t>5ONE+5CL</t>
    <phoneticPr fontId="3" type="noConversion"/>
  </si>
  <si>
    <t>5PLAONE</t>
    <phoneticPr fontId="3" type="noConversion"/>
  </si>
  <si>
    <t>26-0481</t>
    <phoneticPr fontId="3" type="noConversion"/>
  </si>
  <si>
    <t>26-0483</t>
    <phoneticPr fontId="3" type="noConversion"/>
  </si>
  <si>
    <t>26-0187</t>
    <phoneticPr fontId="3" type="noConversion"/>
  </si>
  <si>
    <t>26-0501</t>
    <phoneticPr fontId="3" type="noConversion"/>
  </si>
  <si>
    <t>26-0503</t>
    <phoneticPr fontId="3" type="noConversion"/>
  </si>
  <si>
    <t>로이재단 - 1번, 2번 120조 중 10조, 3번 110조 중 8조, 4번 재단</t>
    <phoneticPr fontId="3" type="noConversion"/>
  </si>
  <si>
    <t>26-0505</t>
    <phoneticPr fontId="3" type="noConversion"/>
  </si>
  <si>
    <t>26-0493</t>
    <phoneticPr fontId="3" type="noConversion"/>
  </si>
  <si>
    <t>6SKG149TH/S+6CL(이형)</t>
    <phoneticPr fontId="3" type="noConversion"/>
  </si>
  <si>
    <t>26-0494</t>
    <phoneticPr fontId="3" type="noConversion"/>
  </si>
  <si>
    <t>26-0517</t>
    <phoneticPr fontId="3" type="noConversion"/>
  </si>
  <si>
    <t>26-0520</t>
    <phoneticPr fontId="3" type="noConversion"/>
  </si>
  <si>
    <t>5SKS142IIH/S+5스팬드럴H/S</t>
    <phoneticPr fontId="3" type="noConversion"/>
  </si>
  <si>
    <t>디아망 오도시 재단</t>
    <phoneticPr fontId="3" type="noConversion"/>
  </si>
  <si>
    <t>26-0516</t>
    <phoneticPr fontId="3" type="noConversion"/>
  </si>
  <si>
    <t>씨타-춘천</t>
    <phoneticPr fontId="3" type="noConversion"/>
  </si>
  <si>
    <t>5MZT152H/S+5CL</t>
    <phoneticPr fontId="3" type="noConversion"/>
  </si>
  <si>
    <t>5MZT152</t>
    <phoneticPr fontId="3" type="noConversion"/>
  </si>
  <si>
    <t>5CL</t>
    <phoneticPr fontId="3" type="noConversion"/>
  </si>
  <si>
    <t>로이재단 - 2번 120조 중 110조, 3번 110조 중 102조 재단</t>
    <phoneticPr fontId="3" type="noConversion"/>
  </si>
  <si>
    <t>26-0504</t>
    <phoneticPr fontId="3" type="noConversion"/>
  </si>
  <si>
    <t>이랜드-수원</t>
    <phoneticPr fontId="3" type="noConversion"/>
  </si>
  <si>
    <t>5CL+5로이</t>
    <phoneticPr fontId="3" type="noConversion"/>
  </si>
  <si>
    <t>로이재단 - 1번 재단</t>
    <phoneticPr fontId="3" type="noConversion"/>
  </si>
  <si>
    <t>야간</t>
    <phoneticPr fontId="3" type="noConversion"/>
  </si>
  <si>
    <t>26-0486</t>
    <phoneticPr fontId="3" type="noConversion"/>
  </si>
  <si>
    <t>대우-청주테크노</t>
    <phoneticPr fontId="3" type="noConversion"/>
  </si>
  <si>
    <t>5CLH/S</t>
    <phoneticPr fontId="3" type="noConversion"/>
  </si>
  <si>
    <t>26-0485</t>
    <phoneticPr fontId="3" type="noConversion"/>
  </si>
  <si>
    <t>26-0525</t>
    <phoneticPr fontId="3" type="noConversion"/>
  </si>
  <si>
    <t>신동아-하나은행</t>
    <phoneticPr fontId="3" type="noConversion"/>
  </si>
  <si>
    <t>6SKN176IIH/S+6CL(스텝)</t>
    <phoneticPr fontId="3" type="noConversion"/>
  </si>
  <si>
    <t>6SKN176IIH/S+6CL</t>
    <phoneticPr fontId="3" type="noConversion"/>
  </si>
  <si>
    <t>5SKN176IIH/S+5CL</t>
    <phoneticPr fontId="3" type="noConversion"/>
  </si>
  <si>
    <t>6CL</t>
    <phoneticPr fontId="3" type="noConversion"/>
  </si>
  <si>
    <t>투명재단</t>
    <phoneticPr fontId="3" type="noConversion"/>
  </si>
  <si>
    <t>26-0541</t>
    <phoneticPr fontId="3" type="noConversion"/>
  </si>
  <si>
    <t>26-0545</t>
    <phoneticPr fontId="3" type="noConversion"/>
  </si>
  <si>
    <t>26-0529</t>
    <phoneticPr fontId="3" type="noConversion"/>
  </si>
  <si>
    <t>우미-청주</t>
    <phoneticPr fontId="3" type="noConversion"/>
  </si>
  <si>
    <t>26-0541, 0529 같이재단</t>
    <phoneticPr fontId="3" type="noConversion"/>
  </si>
  <si>
    <t>26-0502</t>
    <phoneticPr fontId="3" type="noConversion"/>
  </si>
  <si>
    <t>제이에스한백</t>
    <phoneticPr fontId="3" type="noConversion"/>
  </si>
  <si>
    <t>로이재단 - 2~4번 재단</t>
    <phoneticPr fontId="3" type="noConversion"/>
  </si>
  <si>
    <t>투명재단 - 1번 재단</t>
    <phoneticPr fontId="3" type="noConversion"/>
  </si>
  <si>
    <t>26-0544</t>
    <phoneticPr fontId="3" type="noConversion"/>
  </si>
  <si>
    <t>6로이+6로이</t>
    <phoneticPr fontId="3" type="noConversion"/>
  </si>
  <si>
    <t>26-0540</t>
    <phoneticPr fontId="3" type="noConversion"/>
  </si>
  <si>
    <t>26-0519</t>
    <phoneticPr fontId="3" type="noConversion"/>
  </si>
  <si>
    <t>26-0546</t>
    <phoneticPr fontId="3" type="noConversion"/>
  </si>
  <si>
    <t>7투명망입</t>
    <phoneticPr fontId="3" type="noConversion"/>
  </si>
  <si>
    <t>26-0542</t>
    <phoneticPr fontId="3" type="noConversion"/>
  </si>
  <si>
    <t>26-0488</t>
    <phoneticPr fontId="3" type="noConversion"/>
  </si>
  <si>
    <t>26-0487</t>
    <phoneticPr fontId="3" type="noConversion"/>
  </si>
  <si>
    <t>26-0530</t>
    <phoneticPr fontId="3" type="noConversion"/>
  </si>
  <si>
    <t>새늘-내덕동</t>
    <phoneticPr fontId="3" type="noConversion"/>
  </si>
  <si>
    <t>5투명배강도</t>
    <phoneticPr fontId="3" type="noConversion"/>
  </si>
  <si>
    <t>5CL</t>
    <phoneticPr fontId="3" type="noConversion"/>
  </si>
  <si>
    <t>26-0531</t>
    <phoneticPr fontId="3" type="noConversion"/>
  </si>
  <si>
    <t>덕양-혁신기술</t>
    <phoneticPr fontId="3" type="noConversion"/>
  </si>
  <si>
    <t>10투명강화</t>
    <phoneticPr fontId="3" type="noConversion"/>
  </si>
  <si>
    <t>10CL</t>
    <phoneticPr fontId="3" type="noConversion"/>
  </si>
  <si>
    <t>26-0544</t>
    <phoneticPr fontId="3" type="noConversion"/>
  </si>
  <si>
    <t>디엘-대전</t>
    <phoneticPr fontId="3" type="noConversion"/>
  </si>
  <si>
    <t>26-0517</t>
    <phoneticPr fontId="3" type="noConversion"/>
  </si>
  <si>
    <t>동성-태성</t>
    <phoneticPr fontId="3" type="noConversion"/>
  </si>
  <si>
    <t>26-0544, 0517 같이재단</t>
    <phoneticPr fontId="3" type="noConversion"/>
  </si>
  <si>
    <t>26-0504</t>
    <phoneticPr fontId="3" type="noConversion"/>
  </si>
  <si>
    <t>이랜드-수원</t>
    <phoneticPr fontId="3" type="noConversion"/>
  </si>
  <si>
    <t>5CL+5로이</t>
    <phoneticPr fontId="3" type="noConversion"/>
  </si>
  <si>
    <t>투명재단 - 2번, 3번 132조 중 50조 재단</t>
    <phoneticPr fontId="3" type="noConversion"/>
  </si>
  <si>
    <t>26-0385</t>
    <phoneticPr fontId="3" type="noConversion"/>
  </si>
  <si>
    <t>태영-부산</t>
    <phoneticPr fontId="3" type="noConversion"/>
  </si>
  <si>
    <t>26-0386</t>
    <phoneticPr fontId="3" type="noConversion"/>
  </si>
  <si>
    <t>26-0387</t>
    <phoneticPr fontId="3" type="noConversion"/>
  </si>
  <si>
    <t>투명재단 - 3번 132조 중 82조, 4번 재단</t>
    <phoneticPr fontId="3" type="noConversion"/>
  </si>
  <si>
    <t>26-0454</t>
    <phoneticPr fontId="3" type="noConversion"/>
  </si>
  <si>
    <t>26-0455</t>
    <phoneticPr fontId="3" type="noConversion"/>
  </si>
  <si>
    <t>26-0388</t>
    <phoneticPr fontId="3" type="noConversion"/>
  </si>
  <si>
    <t>26-0456</t>
    <phoneticPr fontId="3" type="noConversion"/>
  </si>
  <si>
    <t>5NX</t>
    <phoneticPr fontId="3" type="noConversion"/>
  </si>
  <si>
    <t>그린재단 - 정석개발 원판 사용</t>
    <phoneticPr fontId="3" type="noConversion"/>
  </si>
  <si>
    <t>26-0522</t>
    <phoneticPr fontId="3" type="noConversion"/>
  </si>
  <si>
    <t>대광-평택</t>
    <phoneticPr fontId="3" type="noConversion"/>
  </si>
  <si>
    <t>5투명강화</t>
    <phoneticPr fontId="3" type="noConversion"/>
  </si>
  <si>
    <t>5CL</t>
    <phoneticPr fontId="3" type="noConversion"/>
  </si>
  <si>
    <t>26-0521</t>
    <phoneticPr fontId="3" type="noConversion"/>
  </si>
  <si>
    <t>26-0519</t>
    <phoneticPr fontId="3" type="noConversion"/>
  </si>
  <si>
    <t>26-0552</t>
    <phoneticPr fontId="3" type="noConversion"/>
  </si>
  <si>
    <t>두두</t>
    <phoneticPr fontId="3" type="noConversion"/>
  </si>
  <si>
    <t>26-0524</t>
    <phoneticPr fontId="3" type="noConversion"/>
  </si>
  <si>
    <t>8투명강화에칭</t>
    <phoneticPr fontId="3" type="noConversion"/>
  </si>
  <si>
    <t>26-0457</t>
    <phoneticPr fontId="3" type="noConversion"/>
  </si>
  <si>
    <t>26-0570</t>
    <phoneticPr fontId="3" type="noConversion"/>
  </si>
  <si>
    <t>보미-청주대</t>
    <phoneticPr fontId="3" type="noConversion"/>
  </si>
  <si>
    <t>5ONE+5CL+5ONE</t>
    <phoneticPr fontId="3" type="noConversion"/>
  </si>
  <si>
    <t>5ONE+5newGN+5ONE</t>
    <phoneticPr fontId="3" type="noConversion"/>
  </si>
  <si>
    <t>26-0523</t>
    <phoneticPr fontId="3" type="noConversion"/>
  </si>
  <si>
    <t>26-0548</t>
    <phoneticPr fontId="3" type="noConversion"/>
  </si>
  <si>
    <t>인성-청주드림신협</t>
    <phoneticPr fontId="3" type="noConversion"/>
  </si>
  <si>
    <t>5SKN154+5CLH/S</t>
    <phoneticPr fontId="3" type="noConversion"/>
  </si>
  <si>
    <t>26-0549</t>
    <phoneticPr fontId="3" type="noConversion"/>
  </si>
  <si>
    <t>26-0550</t>
    <phoneticPr fontId="3" type="noConversion"/>
  </si>
  <si>
    <t>26-0551</t>
    <phoneticPr fontId="3" type="noConversion"/>
  </si>
  <si>
    <t>26-0459</t>
    <phoneticPr fontId="3" type="noConversion"/>
  </si>
  <si>
    <t>26-0460</t>
    <phoneticPr fontId="3" type="noConversion"/>
  </si>
  <si>
    <t>그린재단-정석개발 원판 사용</t>
    <phoneticPr fontId="3" type="noConversion"/>
  </si>
  <si>
    <t>26-0532</t>
    <phoneticPr fontId="3" type="noConversion"/>
  </si>
  <si>
    <t>26-0547</t>
    <phoneticPr fontId="3" type="noConversion"/>
  </si>
  <si>
    <t>효성-대구</t>
    <phoneticPr fontId="3" type="noConversion"/>
  </si>
  <si>
    <t>5PLAONE+5CLH/S+5PLAONE</t>
    <phoneticPr fontId="3" type="noConversion"/>
  </si>
  <si>
    <t>5PLAONE+5PLAONEIIH/S+8.76투명접합</t>
    <phoneticPr fontId="3" type="noConversion"/>
  </si>
  <si>
    <t>5CL+5PLTDURA+</t>
    <phoneticPr fontId="3" type="noConversion"/>
  </si>
  <si>
    <t>26-0385, 0547 같이재단</t>
  </si>
  <si>
    <t>26-0385, 0547 같이재단</t>
    <phoneticPr fontId="3" type="noConversion"/>
  </si>
  <si>
    <t>로이재단 - 26-0385, 0547 같이재단</t>
    <phoneticPr fontId="3" type="noConversion"/>
  </si>
  <si>
    <t>투명 오도시 재단 - 26-0385, 0547 같이재단</t>
    <phoneticPr fontId="3" type="noConversion"/>
  </si>
  <si>
    <t>26-0473</t>
    <phoneticPr fontId="3" type="noConversion"/>
  </si>
  <si>
    <t>신동아-인천</t>
    <phoneticPr fontId="3" type="noConversion"/>
  </si>
  <si>
    <t>5SKN154+5CLH/S+5SKN154</t>
    <phoneticPr fontId="3" type="noConversion"/>
  </si>
  <si>
    <t>26-0572</t>
    <phoneticPr fontId="3" type="noConversion"/>
  </si>
  <si>
    <t>26-0568</t>
    <phoneticPr fontId="3" type="noConversion"/>
  </si>
  <si>
    <t>투명 오도시 재단 - 26-0572, 0568 같이재단</t>
    <phoneticPr fontId="3" type="noConversion"/>
  </si>
  <si>
    <t>계룡-중산도</t>
    <phoneticPr fontId="3" type="noConversion"/>
  </si>
  <si>
    <t>26-0493, 0494 같이재단 - 재단오류</t>
    <phoneticPr fontId="3" type="noConversion"/>
  </si>
  <si>
    <t>26-0458</t>
    <phoneticPr fontId="3" type="noConversion"/>
  </si>
  <si>
    <t>26-0571</t>
    <phoneticPr fontId="3" type="noConversion"/>
  </si>
  <si>
    <t>26-0595</t>
    <phoneticPr fontId="3" type="noConversion"/>
  </si>
  <si>
    <t>로이재단-정석개발 원판 사용</t>
    <phoneticPr fontId="3" type="noConversion"/>
  </si>
  <si>
    <t>26-0569</t>
    <phoneticPr fontId="3" type="noConversion"/>
  </si>
  <si>
    <t>26-0498</t>
    <phoneticPr fontId="3" type="noConversion"/>
  </si>
  <si>
    <t>5POWER SOFT</t>
    <phoneticPr fontId="3" type="noConversion"/>
  </si>
  <si>
    <t>로이재단 - 1번 재단 104동 1~2라인 분합</t>
    <phoneticPr fontId="3" type="noConversion"/>
  </si>
  <si>
    <t>제이에스한맥</t>
    <phoneticPr fontId="3" type="noConversion"/>
  </si>
  <si>
    <t>로이재단 - 강화 세척 파손</t>
    <phoneticPr fontId="3" type="noConversion"/>
  </si>
  <si>
    <t>디아망 재단 - 오도시 씨밍파손</t>
    <phoneticPr fontId="3" type="noConversion"/>
  </si>
  <si>
    <t>26-0581</t>
    <phoneticPr fontId="3" type="noConversion"/>
  </si>
  <si>
    <t>제일-청주</t>
    <phoneticPr fontId="3" type="noConversion"/>
  </si>
  <si>
    <t>26-0543</t>
    <phoneticPr fontId="3" type="noConversion"/>
  </si>
  <si>
    <t>26-0584</t>
    <phoneticPr fontId="3" type="noConversion"/>
  </si>
  <si>
    <t>계룡-청주의료원</t>
    <phoneticPr fontId="3" type="noConversion"/>
  </si>
  <si>
    <t>26-0461</t>
    <phoneticPr fontId="3" type="noConversion"/>
  </si>
  <si>
    <t>26-0583</t>
    <phoneticPr fontId="3" type="noConversion"/>
  </si>
  <si>
    <t>활림-아산</t>
    <phoneticPr fontId="3" type="noConversion"/>
  </si>
  <si>
    <t>5SKN154+5newGN</t>
    <phoneticPr fontId="3" type="noConversion"/>
  </si>
  <si>
    <t>5SKN154+5BZ</t>
    <phoneticPr fontId="3" type="noConversion"/>
  </si>
  <si>
    <t>5SKN154+5BL</t>
    <phoneticPr fontId="3" type="noConversion"/>
  </si>
  <si>
    <t>투명재단 - 1번 재단 104동 1~2라인 분합</t>
    <phoneticPr fontId="3" type="noConversion"/>
  </si>
  <si>
    <t>로이재단 - 2번 352조 중 270조 재단 104동 3~4라인 분합</t>
    <phoneticPr fontId="3" type="noConversion"/>
  </si>
  <si>
    <t>26-0632</t>
    <phoneticPr fontId="3" type="noConversion"/>
  </si>
  <si>
    <t>26-0462</t>
    <phoneticPr fontId="3" type="noConversion"/>
  </si>
  <si>
    <t>투명재단 - 13~20번 재단 - 정석개발 원판 사용</t>
    <phoneticPr fontId="3" type="noConversion"/>
  </si>
  <si>
    <t>투명재단 - 12번, 21번 재단 - 정석개발 원판 사용</t>
    <phoneticPr fontId="3" type="noConversion"/>
  </si>
  <si>
    <t>26-0463</t>
    <phoneticPr fontId="3" type="noConversion"/>
  </si>
  <si>
    <t>그린, 로이 재단 - 정석개발 원판 사용</t>
    <phoneticPr fontId="3" type="noConversion"/>
  </si>
  <si>
    <t>로이재단 - 씨밍파손</t>
    <phoneticPr fontId="3" type="noConversion"/>
  </si>
  <si>
    <t xml:space="preserve">로이재단 </t>
    <phoneticPr fontId="3" type="noConversion"/>
  </si>
  <si>
    <t>투명재단 - 2번 재단 104동 3~4라인 분합</t>
    <phoneticPr fontId="3" type="noConversion"/>
  </si>
  <si>
    <t>로이재단 - 2번 352조 중 82조 재단 104동 3~4라인 분합</t>
    <phoneticPr fontId="3" type="noConversion"/>
  </si>
  <si>
    <t>26-0613</t>
    <phoneticPr fontId="3" type="noConversion"/>
  </si>
  <si>
    <t>동성-태성</t>
    <phoneticPr fontId="3" type="noConversion"/>
  </si>
  <si>
    <t>5투명배강도</t>
    <phoneticPr fontId="3" type="noConversion"/>
  </si>
  <si>
    <t>오도시</t>
    <phoneticPr fontId="3" type="noConversion"/>
  </si>
  <si>
    <t>26-0629</t>
    <phoneticPr fontId="3" type="noConversion"/>
  </si>
  <si>
    <t>대광-평택</t>
    <phoneticPr fontId="3" type="noConversion"/>
  </si>
  <si>
    <t>5투명강화</t>
    <phoneticPr fontId="3" type="noConversion"/>
  </si>
  <si>
    <t>5CL</t>
    <phoneticPr fontId="3" type="noConversion"/>
  </si>
  <si>
    <t>26-0464</t>
    <phoneticPr fontId="3" type="noConversion"/>
  </si>
  <si>
    <t>26-0659</t>
    <phoneticPr fontId="3" type="noConversion"/>
  </si>
  <si>
    <t>대우-청주테크노</t>
    <phoneticPr fontId="3" type="noConversion"/>
  </si>
  <si>
    <t>5CLH/S</t>
    <phoneticPr fontId="3" type="noConversion"/>
  </si>
  <si>
    <t>26-0385</t>
    <phoneticPr fontId="3" type="noConversion"/>
  </si>
  <si>
    <t>태영-부산</t>
    <phoneticPr fontId="3" type="noConversion"/>
  </si>
  <si>
    <t>5CLH/S+5로이</t>
    <phoneticPr fontId="3" type="noConversion"/>
  </si>
  <si>
    <t>투명재단</t>
    <phoneticPr fontId="3" type="noConversion"/>
  </si>
  <si>
    <t>26-0386</t>
    <phoneticPr fontId="3" type="noConversion"/>
  </si>
  <si>
    <t>26-0387</t>
    <phoneticPr fontId="3" type="noConversion"/>
  </si>
  <si>
    <t>26-0388</t>
    <phoneticPr fontId="3" type="noConversion"/>
  </si>
  <si>
    <t>8.76투명접합+5로이H/S+5로이</t>
    <phoneticPr fontId="3" type="noConversion"/>
  </si>
  <si>
    <t>5DURA MAX(비강화용)</t>
    <phoneticPr fontId="3" type="noConversion"/>
  </si>
  <si>
    <t>5마스터원</t>
    <phoneticPr fontId="3" type="noConversion"/>
  </si>
  <si>
    <t>26-0385, 0386, 0387, 0388 같이재단</t>
  </si>
  <si>
    <t>26-0385, 0386, 0387, 0388 같이재단</t>
    <phoneticPr fontId="3" type="noConversion"/>
  </si>
  <si>
    <t>로이재단 - 26-0385, 0386, 0387, 0388 같이재단</t>
    <phoneticPr fontId="3" type="noConversion"/>
  </si>
  <si>
    <t>26-0465</t>
    <phoneticPr fontId="3" type="noConversion"/>
  </si>
  <si>
    <t>26-0630</t>
    <phoneticPr fontId="3" type="noConversion"/>
  </si>
  <si>
    <t>5그린+5로이</t>
    <phoneticPr fontId="3" type="noConversion"/>
  </si>
  <si>
    <t>26-0619</t>
    <phoneticPr fontId="3" type="noConversion"/>
  </si>
  <si>
    <t>일성-오창</t>
    <phoneticPr fontId="3" type="noConversion"/>
  </si>
  <si>
    <t>26-0634</t>
    <phoneticPr fontId="3" type="noConversion"/>
  </si>
  <si>
    <t>26-0635</t>
    <phoneticPr fontId="3" type="noConversion"/>
  </si>
  <si>
    <t>26-0619, 0634, 0635 같이재단</t>
    <phoneticPr fontId="3" type="noConversion"/>
  </si>
  <si>
    <t>26-0596</t>
    <phoneticPr fontId="3" type="noConversion"/>
  </si>
  <si>
    <t>포스코-천안</t>
    <phoneticPr fontId="3" type="noConversion"/>
  </si>
  <si>
    <t>26-0597</t>
    <phoneticPr fontId="3" type="noConversion"/>
  </si>
  <si>
    <t>26-0596, 26-0597 같이재단</t>
    <phoneticPr fontId="3" type="noConversion"/>
  </si>
  <si>
    <t>26-0587</t>
    <phoneticPr fontId="3" type="noConversion"/>
  </si>
  <si>
    <t>로이재단 - 2~3번 재단</t>
    <phoneticPr fontId="3" type="noConversion"/>
  </si>
  <si>
    <t>26-0427</t>
    <phoneticPr fontId="3" type="noConversion"/>
  </si>
  <si>
    <t>5CL+5ONE</t>
    <phoneticPr fontId="3" type="noConversion"/>
  </si>
  <si>
    <t>26-0663</t>
    <phoneticPr fontId="3" type="noConversion"/>
  </si>
  <si>
    <t>인종합-이노렉스</t>
    <phoneticPr fontId="3" type="noConversion"/>
  </si>
  <si>
    <t>5SKN154II+5CL</t>
    <phoneticPr fontId="3" type="noConversion"/>
  </si>
  <si>
    <t>26-0582</t>
    <phoneticPr fontId="3" type="noConversion"/>
  </si>
  <si>
    <t>6sks142iih/s+(6clh/s+6frith/s)스텝</t>
    <phoneticPr fontId="3" type="noConversion"/>
  </si>
  <si>
    <t>26-0366</t>
    <phoneticPr fontId="3" type="noConversion"/>
  </si>
  <si>
    <t>아킹스-증산도</t>
    <phoneticPr fontId="3" type="noConversion"/>
  </si>
  <si>
    <t>5SKG149TH/S+5CLH/S+5SUPERPLUS1.0H/S</t>
    <phoneticPr fontId="3" type="noConversion"/>
  </si>
  <si>
    <t>26-0586</t>
    <phoneticPr fontId="3" type="noConversion"/>
  </si>
  <si>
    <t>로이재단 - 5번 12조 중 8조 재단</t>
    <phoneticPr fontId="3" type="noConversion"/>
  </si>
  <si>
    <t>26-0662</t>
    <phoneticPr fontId="3" type="noConversion"/>
  </si>
  <si>
    <t>로이재단 - 4~6번 재단</t>
    <phoneticPr fontId="3" type="noConversion"/>
  </si>
  <si>
    <t>26-0535</t>
    <phoneticPr fontId="3" type="noConversion"/>
  </si>
  <si>
    <t>로이재단 - 1번, 4번 120조 중 40조, 5번 132조 중 40조 재단</t>
    <phoneticPr fontId="3" type="noConversion"/>
  </si>
  <si>
    <t>26-0585</t>
    <phoneticPr fontId="3" type="noConversion"/>
  </si>
  <si>
    <t>26-0664</t>
    <phoneticPr fontId="3" type="noConversion"/>
  </si>
  <si>
    <t>26-0491</t>
    <phoneticPr fontId="3" type="noConversion"/>
  </si>
  <si>
    <t>현엔-용인</t>
    <phoneticPr fontId="3" type="noConversion"/>
  </si>
  <si>
    <t>26-0665</t>
    <phoneticPr fontId="3" type="noConversion"/>
  </si>
  <si>
    <t>26-0660</t>
    <phoneticPr fontId="3" type="noConversion"/>
  </si>
  <si>
    <t>6BZ+6로이</t>
    <phoneticPr fontId="3" type="noConversion"/>
  </si>
  <si>
    <t>6브론즈</t>
    <phoneticPr fontId="3" type="noConversion"/>
  </si>
  <si>
    <t>로이재단 - 4번 120조 중 80조, 5번 132조 중 60조 재단</t>
    <phoneticPr fontId="3" type="noConversion"/>
  </si>
  <si>
    <t>투명재단 - 4,5번 재단</t>
    <phoneticPr fontId="3" type="noConversion"/>
  </si>
  <si>
    <t>야간</t>
    <phoneticPr fontId="3" type="noConversion"/>
  </si>
  <si>
    <t>26-0670</t>
    <phoneticPr fontId="3" type="noConversion"/>
  </si>
  <si>
    <t>제이로건설</t>
    <phoneticPr fontId="3" type="noConversion"/>
  </si>
  <si>
    <t>6BL+6CL</t>
    <phoneticPr fontId="3" type="noConversion"/>
  </si>
  <si>
    <t>6CL</t>
    <phoneticPr fontId="3" type="noConversion"/>
  </si>
  <si>
    <t>블루 오도시 재단</t>
    <phoneticPr fontId="3" type="noConversion"/>
  </si>
  <si>
    <t>26-0669</t>
    <phoneticPr fontId="3" type="noConversion"/>
  </si>
  <si>
    <t>인성-청주드림신협</t>
    <phoneticPr fontId="3" type="noConversion"/>
  </si>
  <si>
    <t>5SKN154+5CL</t>
    <phoneticPr fontId="3" type="noConversion"/>
  </si>
  <si>
    <t>5SKN154+5CLH/S</t>
    <phoneticPr fontId="3" type="noConversion"/>
  </si>
  <si>
    <t>26-0668</t>
    <phoneticPr fontId="3" type="noConversion"/>
  </si>
  <si>
    <t>신화-청주테크노</t>
    <phoneticPr fontId="3" type="noConversion"/>
  </si>
  <si>
    <t>5SKN154II+5CL</t>
    <phoneticPr fontId="3" type="noConversion"/>
  </si>
  <si>
    <t>26-0667</t>
    <phoneticPr fontId="3" type="noConversion"/>
  </si>
  <si>
    <t>동성-태성</t>
    <phoneticPr fontId="3" type="noConversion"/>
  </si>
  <si>
    <t>6SKN154IIH/S+6CL+6ONE</t>
    <phoneticPr fontId="3" type="noConversion"/>
  </si>
  <si>
    <t>5SKN154IIH/S+5CL</t>
    <phoneticPr fontId="3" type="noConversion"/>
  </si>
  <si>
    <t>5CL</t>
    <phoneticPr fontId="3" type="noConversion"/>
  </si>
  <si>
    <t>5SKN154</t>
    <phoneticPr fontId="3" type="noConversion"/>
  </si>
  <si>
    <t>5SKN154II</t>
    <phoneticPr fontId="3" type="noConversion"/>
  </si>
  <si>
    <t>26-0669, 0668, 0667 같이재단</t>
    <phoneticPr fontId="3" type="noConversion"/>
  </si>
  <si>
    <t>6PLAONE</t>
    <phoneticPr fontId="3" type="noConversion"/>
  </si>
  <si>
    <t>26-0669, 0668, 0667 같이재단 - 6SKN154II 오도시 재단</t>
    <phoneticPr fontId="3" type="noConversion"/>
  </si>
  <si>
    <t>26-0366</t>
    <phoneticPr fontId="3" type="noConversion"/>
  </si>
  <si>
    <t>아킹스-증산도</t>
    <phoneticPr fontId="3" type="noConversion"/>
  </si>
  <si>
    <t>5SKG149TH/S+5CLH/S+5SUPERPLUS1.0H/S</t>
    <phoneticPr fontId="3" type="noConversion"/>
  </si>
  <si>
    <t>5마스터원</t>
    <phoneticPr fontId="3" type="noConversion"/>
  </si>
  <si>
    <t>3면 로이 재단 - 5SUPERPLUS1.0 -&gt; 5마스터원으로 재단</t>
    <phoneticPr fontId="3" type="noConversion"/>
  </si>
  <si>
    <t>이랜드-수원</t>
    <phoneticPr fontId="3" type="noConversion"/>
  </si>
  <si>
    <t>5CL+5로이</t>
    <phoneticPr fontId="3" type="noConversion"/>
  </si>
  <si>
    <t>5듀라맥스비강화용</t>
    <phoneticPr fontId="3" type="noConversion"/>
  </si>
  <si>
    <t>26-0536</t>
    <phoneticPr fontId="3" type="noConversion"/>
  </si>
  <si>
    <t>투명재단</t>
    <phoneticPr fontId="3" type="noConversion"/>
  </si>
  <si>
    <t>생산파손-강화파손-투명재단</t>
    <phoneticPr fontId="3" type="noConversion"/>
  </si>
  <si>
    <t>(4+4)+5로이</t>
    <phoneticPr fontId="3" type="noConversion"/>
  </si>
  <si>
    <t>26-0588</t>
    <phoneticPr fontId="3" type="noConversion"/>
  </si>
  <si>
    <t>5NXH/S+5로이H/S</t>
    <phoneticPr fontId="3" type="noConversion"/>
  </si>
  <si>
    <t>26-0661</t>
    <phoneticPr fontId="3" type="noConversion"/>
  </si>
  <si>
    <t>인성-오창테크노</t>
    <phoneticPr fontId="3" type="noConversion"/>
  </si>
  <si>
    <t>야간</t>
    <phoneticPr fontId="3" type="noConversion"/>
  </si>
  <si>
    <t>26-0536</t>
    <phoneticPr fontId="3" type="noConversion"/>
  </si>
  <si>
    <t>5DURA MAX(비강화용)</t>
    <phoneticPr fontId="3" type="noConversion"/>
  </si>
  <si>
    <t>로이재단 - 1,2번 재단</t>
    <phoneticPr fontId="3" type="noConversion"/>
  </si>
  <si>
    <t>26-0588</t>
    <phoneticPr fontId="3" type="noConversion"/>
  </si>
  <si>
    <t>제일-인천</t>
    <phoneticPr fontId="3" type="noConversion"/>
  </si>
  <si>
    <t>5newGNH/S+5로이H/S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</si>
  <si>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</si>
  <si>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</si>
  <si>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</si>
  <si>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5CL</t>
    <phoneticPr fontId="3" type="noConversion"/>
  </si>
  <si>
    <t>5마스터원</t>
    <phoneticPr fontId="3" type="noConversion"/>
  </si>
  <si>
    <t>로이재단</t>
    <phoneticPr fontId="3" type="noConversion"/>
  </si>
  <si>
    <t>브론즈재단 - 197중 161조 재단</t>
    <phoneticPr fontId="3" type="noConversion"/>
  </si>
  <si>
    <t>로이재단 - 3,4번 재단</t>
    <phoneticPr fontId="3" type="noConversion"/>
  </si>
  <si>
    <t>26-0677</t>
    <phoneticPr fontId="3" type="noConversion"/>
  </si>
  <si>
    <t>5BL+5CL</t>
    <phoneticPr fontId="3" type="noConversion"/>
  </si>
  <si>
    <t>26-0673</t>
    <phoneticPr fontId="3" type="noConversion"/>
  </si>
  <si>
    <t>인종합-오창</t>
    <phoneticPr fontId="3" type="noConversion"/>
  </si>
  <si>
    <t>12투명강화 이형</t>
    <phoneticPr fontId="3" type="noConversion"/>
  </si>
  <si>
    <t>26-0598</t>
    <phoneticPr fontId="3" type="noConversion"/>
  </si>
  <si>
    <t>현엔-화성 기아</t>
    <phoneticPr fontId="3" type="noConversion"/>
  </si>
  <si>
    <t>5BLH/S+5로이H/S</t>
    <phoneticPr fontId="3" type="noConversion"/>
  </si>
  <si>
    <t>5BLH/S+5로이</t>
    <phoneticPr fontId="3" type="noConversion"/>
  </si>
  <si>
    <t>블루재단</t>
    <phoneticPr fontId="3" type="noConversion"/>
  </si>
  <si>
    <t>26-0682</t>
    <phoneticPr fontId="3" type="noConversion"/>
  </si>
  <si>
    <t>26-0671</t>
    <phoneticPr fontId="3" type="noConversion"/>
  </si>
  <si>
    <t>그린재단-오도시 강화불량</t>
    <phoneticPr fontId="3" type="noConversion"/>
  </si>
  <si>
    <t>오도시 -생산 마감 파손</t>
    <phoneticPr fontId="3" type="noConversion"/>
  </si>
  <si>
    <t>5SKS142IIH/S+5CLH/S+5스팬드럴H/S</t>
    <phoneticPr fontId="3" type="noConversion"/>
  </si>
  <si>
    <t>26-0681</t>
    <phoneticPr fontId="3" type="noConversion"/>
  </si>
  <si>
    <t>로이재단 - 26-0586, 0681 같이재단</t>
    <phoneticPr fontId="3" type="noConversion"/>
  </si>
  <si>
    <t>로이재단 - 26-0586, 0681 같이재단 - 5SKS142II -&gt; 6SKS142II로 재단</t>
    <phoneticPr fontId="3" type="noConversion"/>
  </si>
  <si>
    <t>26-0589</t>
    <phoneticPr fontId="3" type="noConversion"/>
  </si>
  <si>
    <t>26-0590</t>
    <phoneticPr fontId="3" type="noConversion"/>
  </si>
  <si>
    <t>26-0598</t>
    <phoneticPr fontId="3" type="noConversion"/>
  </si>
  <si>
    <t>26-0614</t>
    <phoneticPr fontId="3" type="noConversion"/>
  </si>
  <si>
    <t>엘엑스-지북</t>
    <phoneticPr fontId="3" type="noConversion"/>
  </si>
  <si>
    <t>5CLH/S+5로이</t>
    <phoneticPr fontId="3" type="noConversion"/>
  </si>
  <si>
    <t>5CL</t>
    <phoneticPr fontId="3" type="noConversion"/>
  </si>
  <si>
    <t>26-0615</t>
    <phoneticPr fontId="3" type="noConversion"/>
  </si>
  <si>
    <t>26-0616</t>
    <phoneticPr fontId="3" type="noConversion"/>
  </si>
  <si>
    <t>26-0617</t>
    <phoneticPr fontId="3" type="noConversion"/>
  </si>
  <si>
    <t>26-0618</t>
    <phoneticPr fontId="3" type="noConversion"/>
  </si>
  <si>
    <t>26-0620</t>
    <phoneticPr fontId="3" type="noConversion"/>
  </si>
  <si>
    <t>26-0621</t>
    <phoneticPr fontId="3" type="noConversion"/>
  </si>
  <si>
    <t>투명재단 - 26-0614, 0615, 0616, 0617, 0618, 0620, 0621 같이 재단</t>
    <phoneticPr fontId="3" type="noConversion"/>
  </si>
  <si>
    <t>26-0590</t>
    <phoneticPr fontId="3" type="noConversion"/>
  </si>
  <si>
    <t>5NX</t>
    <phoneticPr fontId="3" type="noConversion"/>
  </si>
  <si>
    <t>26-0591</t>
    <phoneticPr fontId="3" type="noConversion"/>
  </si>
  <si>
    <t>26-0592</t>
    <phoneticPr fontId="3" type="noConversion"/>
  </si>
  <si>
    <t>5CL+5로이</t>
    <phoneticPr fontId="3" type="noConversion"/>
  </si>
  <si>
    <t>26-0616</t>
    <phoneticPr fontId="3" type="noConversion"/>
  </si>
  <si>
    <t>26-0618</t>
    <phoneticPr fontId="3" type="noConversion"/>
  </si>
  <si>
    <t>5슈퍼플러스2.0</t>
    <phoneticPr fontId="3" type="noConversion"/>
  </si>
  <si>
    <t>로이재단 - 26-0614, 0615, 0616, 0617, 0618, 0620, 0621 같이 재단</t>
    <phoneticPr fontId="3" type="noConversion"/>
  </si>
  <si>
    <t>26-0389</t>
    <phoneticPr fontId="3" type="noConversion"/>
  </si>
  <si>
    <t>태영-부산</t>
    <phoneticPr fontId="3" type="noConversion"/>
  </si>
  <si>
    <t>5듀라맥스비강화</t>
    <phoneticPr fontId="3" type="noConversion"/>
  </si>
  <si>
    <t>26-0592</t>
    <phoneticPr fontId="3" type="noConversion"/>
  </si>
  <si>
    <t>제일-인천검단</t>
    <phoneticPr fontId="3" type="noConversion"/>
  </si>
  <si>
    <t>5NX</t>
    <phoneticPr fontId="3" type="noConversion"/>
  </si>
  <si>
    <t>5CL</t>
    <phoneticPr fontId="3" type="noConversion"/>
  </si>
  <si>
    <t>생산불량</t>
    <phoneticPr fontId="3" type="noConversion"/>
  </si>
  <si>
    <t>오도시/생산불량</t>
    <phoneticPr fontId="3" type="noConversion"/>
  </si>
  <si>
    <t>26-0188</t>
    <phoneticPr fontId="3" type="noConversion"/>
  </si>
  <si>
    <t>야간</t>
    <phoneticPr fontId="3" type="noConversion"/>
  </si>
  <si>
    <t>26-0537</t>
    <phoneticPr fontId="3" type="noConversion"/>
  </si>
  <si>
    <t>이랜드-수원</t>
    <phoneticPr fontId="3" type="noConversion"/>
  </si>
  <si>
    <t>5CL+5로이</t>
    <phoneticPr fontId="3" type="noConversion"/>
  </si>
  <si>
    <t>5DURA MAX(비강화용)</t>
    <phoneticPr fontId="3" type="noConversion"/>
  </si>
  <si>
    <t>로이재단</t>
    <phoneticPr fontId="3" type="noConversion"/>
  </si>
  <si>
    <t>5CL</t>
    <phoneticPr fontId="3" type="noConversion"/>
  </si>
  <si>
    <t>로이재단 - 1번재단</t>
    <phoneticPr fontId="3" type="noConversion"/>
  </si>
  <si>
    <t>투명재단 - 1번, 2번 96조 중 50조 재단</t>
    <phoneticPr fontId="3" type="noConversion"/>
  </si>
  <si>
    <t>26-0391</t>
    <phoneticPr fontId="3" type="noConversion"/>
  </si>
  <si>
    <t>태영-부산</t>
    <phoneticPr fontId="3" type="noConversion"/>
  </si>
  <si>
    <t>로이재단 - 2~4번재단</t>
    <phoneticPr fontId="3" type="noConversion"/>
  </si>
  <si>
    <t>투명재단 - 2번 96조 중 46조, 3~4번 재단</t>
    <phoneticPr fontId="3" type="noConversion"/>
  </si>
  <si>
    <t>26-0698</t>
    <phoneticPr fontId="3" type="noConversion"/>
  </si>
  <si>
    <t>26-0704</t>
    <phoneticPr fontId="3" type="noConversion"/>
  </si>
  <si>
    <t>정원-조은술</t>
    <phoneticPr fontId="3" type="noConversion"/>
  </si>
  <si>
    <t>26-0715</t>
    <phoneticPr fontId="3" type="noConversion"/>
  </si>
  <si>
    <t>현앤-아산</t>
    <phoneticPr fontId="3" type="noConversion"/>
  </si>
  <si>
    <t>로이 오도시 재단 - 26-0698, 0704, 0715 같이재단</t>
    <phoneticPr fontId="3" type="noConversion"/>
  </si>
  <si>
    <t>26-0698, 0704, 0715 같이재단</t>
  </si>
  <si>
    <t>투명 오도시 재단 - 26-0698, 0704, 0715 같이재단</t>
    <phoneticPr fontId="3" type="noConversion"/>
  </si>
  <si>
    <t>26-0622</t>
    <phoneticPr fontId="3" type="noConversion"/>
  </si>
  <si>
    <t>26-0623</t>
    <phoneticPr fontId="3" type="noConversion"/>
  </si>
  <si>
    <t>26-0624</t>
    <phoneticPr fontId="3" type="noConversion"/>
  </si>
  <si>
    <t>26-0626</t>
    <phoneticPr fontId="3" type="noConversion"/>
  </si>
  <si>
    <t>26-0627</t>
    <phoneticPr fontId="3" type="noConversion"/>
  </si>
  <si>
    <t>투명재단 - 26-0622, 0623, 0624, 0626, 0627 같이 재단</t>
    <phoneticPr fontId="3" type="noConversion"/>
  </si>
  <si>
    <t>26-0390</t>
    <phoneticPr fontId="3" type="noConversion"/>
  </si>
  <si>
    <t>26-0636</t>
    <phoneticPr fontId="3" type="noConversion"/>
  </si>
  <si>
    <t>우미-남원주</t>
    <phoneticPr fontId="3" type="noConversion"/>
  </si>
  <si>
    <t>26-0637</t>
    <phoneticPr fontId="3" type="noConversion"/>
  </si>
  <si>
    <t>26-0638</t>
    <phoneticPr fontId="3" type="noConversion"/>
  </si>
  <si>
    <t>26-0639</t>
    <phoneticPr fontId="3" type="noConversion"/>
  </si>
  <si>
    <t>26-0640</t>
    <phoneticPr fontId="3" type="noConversion"/>
  </si>
  <si>
    <t>26-0697</t>
    <phoneticPr fontId="3" type="noConversion"/>
  </si>
  <si>
    <t>포스코-대구</t>
    <phoneticPr fontId="3" type="noConversion"/>
  </si>
  <si>
    <t>(5newGN+5CL)+5CL</t>
    <phoneticPr fontId="3" type="noConversion"/>
  </si>
  <si>
    <t>26-0633</t>
    <phoneticPr fontId="3" type="noConversion"/>
  </si>
  <si>
    <t>현엔-기아</t>
    <phoneticPr fontId="3" type="noConversion"/>
  </si>
  <si>
    <t>로이재단 - 26-0622, 0623, 0624, 0626, 0627 같이 재단</t>
    <phoneticPr fontId="3" type="noConversion"/>
  </si>
  <si>
    <t>26-0625</t>
    <phoneticPr fontId="3" type="noConversion"/>
  </si>
  <si>
    <t>26-0699</t>
    <phoneticPr fontId="3" type="noConversion"/>
  </si>
  <si>
    <t>5SKN154IIH/S+5CL에칭</t>
    <phoneticPr fontId="3" type="noConversion"/>
  </si>
  <si>
    <t>26-0683</t>
    <phoneticPr fontId="3" type="noConversion"/>
  </si>
  <si>
    <t>26-0684</t>
    <phoneticPr fontId="3" type="noConversion"/>
  </si>
  <si>
    <t>26-0690</t>
    <phoneticPr fontId="3" type="noConversion"/>
  </si>
  <si>
    <t>26-0691</t>
    <phoneticPr fontId="3" type="noConversion"/>
  </si>
  <si>
    <t>로이재단 - 26-0690, 0691 같이재단</t>
    <phoneticPr fontId="3" type="noConversion"/>
  </si>
  <si>
    <t>26-0680</t>
    <phoneticPr fontId="3" type="noConversion"/>
  </si>
  <si>
    <t>26-0389</t>
    <phoneticPr fontId="3" type="noConversion"/>
  </si>
  <si>
    <t>태영-부산</t>
    <phoneticPr fontId="3" type="noConversion"/>
  </si>
  <si>
    <t>(4CL+4CL)+5로이</t>
    <phoneticPr fontId="3" type="noConversion"/>
  </si>
  <si>
    <t>5CLH/S+5로이</t>
    <phoneticPr fontId="3" type="noConversion"/>
  </si>
  <si>
    <t>8.76투명접합+5로이H/S+5로이</t>
    <phoneticPr fontId="3" type="noConversion"/>
  </si>
  <si>
    <t>5DURA MAX</t>
    <phoneticPr fontId="3" type="noConversion"/>
  </si>
  <si>
    <t>5CL</t>
    <phoneticPr fontId="3" type="noConversion"/>
  </si>
  <si>
    <t>5DURA MAX(비강화용)</t>
    <phoneticPr fontId="3" type="noConversion"/>
  </si>
  <si>
    <t>26-0390</t>
    <phoneticPr fontId="3" type="noConversion"/>
  </si>
  <si>
    <t>26-0391</t>
    <phoneticPr fontId="3" type="noConversion"/>
  </si>
  <si>
    <t>투명재단 - 26-0389, 0390, 0391 같이재단</t>
    <phoneticPr fontId="3" type="noConversion"/>
  </si>
  <si>
    <t>로이재단 - 26-0389, 0390, 0391 같이재단</t>
    <phoneticPr fontId="3" type="noConversion"/>
  </si>
  <si>
    <t>26-0682</t>
    <phoneticPr fontId="3" type="noConversion"/>
  </si>
  <si>
    <t>인종합-이노렉스</t>
    <phoneticPr fontId="3" type="noConversion"/>
  </si>
  <si>
    <t>5SKN154IIH/S+5CL</t>
    <phoneticPr fontId="3" type="noConversion"/>
  </si>
  <si>
    <t>5SKN154IIH/S+5CL에칭</t>
    <phoneticPr fontId="3" type="noConversion"/>
  </si>
  <si>
    <t>투명재단</t>
    <phoneticPr fontId="3" type="noConversion"/>
  </si>
  <si>
    <t>26-0683</t>
    <phoneticPr fontId="3" type="noConversion"/>
  </si>
  <si>
    <t>26-0684</t>
    <phoneticPr fontId="3" type="noConversion"/>
  </si>
  <si>
    <t>투명재단 - 26-0690, 0691 같이재단</t>
    <phoneticPr fontId="3" type="noConversion"/>
  </si>
  <si>
    <t>브론즈재단 - 197중 36조 재단</t>
    <phoneticPr fontId="3" type="noConversion"/>
  </si>
  <si>
    <t>블루 오도시 재단</t>
    <phoneticPr fontId="3" type="noConversion"/>
  </si>
  <si>
    <t>26-0637</t>
    <phoneticPr fontId="3" type="noConversion"/>
  </si>
  <si>
    <t>우미-남원주</t>
    <phoneticPr fontId="3" type="noConversion"/>
  </si>
  <si>
    <t>5newGN+5로이</t>
    <phoneticPr fontId="3" type="noConversion"/>
  </si>
  <si>
    <t>5NX</t>
    <phoneticPr fontId="3" type="noConversion"/>
  </si>
  <si>
    <t>5DURA MAX(비강화용)</t>
    <phoneticPr fontId="3" type="noConversion"/>
  </si>
  <si>
    <t>26-0636</t>
    <phoneticPr fontId="3" type="noConversion"/>
  </si>
  <si>
    <t>26-0719</t>
    <phoneticPr fontId="3" type="noConversion"/>
  </si>
  <si>
    <t>케이씨씨-여의도</t>
    <phoneticPr fontId="3" type="noConversion"/>
  </si>
  <si>
    <t>5마스터원</t>
    <phoneticPr fontId="3" type="noConversion"/>
  </si>
  <si>
    <t>5CL</t>
    <phoneticPr fontId="3" type="noConversion"/>
  </si>
  <si>
    <t>5로이+5CL</t>
    <phoneticPr fontId="3" type="noConversion"/>
  </si>
  <si>
    <t>26-0718</t>
    <phoneticPr fontId="3" type="noConversion"/>
  </si>
  <si>
    <t>5로이+5CLH/S+5CL</t>
    <phoneticPr fontId="3" type="noConversion"/>
  </si>
  <si>
    <t>강화용 투명재단</t>
    <phoneticPr fontId="3" type="noConversion"/>
  </si>
  <si>
    <t>26-0633</t>
    <phoneticPr fontId="3" type="noConversion"/>
  </si>
  <si>
    <t>현엔-기아</t>
    <phoneticPr fontId="3" type="noConversion"/>
  </si>
  <si>
    <t>5BLH/S+5로이H/S</t>
    <phoneticPr fontId="3" type="noConversion"/>
  </si>
  <si>
    <t>5BL</t>
    <phoneticPr fontId="3" type="noConversion"/>
  </si>
  <si>
    <t>블루재단</t>
    <phoneticPr fontId="3" type="noConversion"/>
  </si>
  <si>
    <t>야간</t>
    <phoneticPr fontId="3" type="noConversion"/>
  </si>
  <si>
    <t>26-0722</t>
    <phoneticPr fontId="3" type="noConversion"/>
  </si>
  <si>
    <t>제이로건설</t>
    <phoneticPr fontId="3" type="noConversion"/>
  </si>
  <si>
    <t>6BL+6BL</t>
    <phoneticPr fontId="3" type="noConversion"/>
  </si>
  <si>
    <t>6BL</t>
    <phoneticPr fontId="3" type="noConversion"/>
  </si>
  <si>
    <t>투명 오도시 재단</t>
    <phoneticPr fontId="3" type="noConversion"/>
  </si>
  <si>
    <t>26-0726</t>
    <phoneticPr fontId="3" type="noConversion"/>
  </si>
  <si>
    <t>제일-인천</t>
    <phoneticPr fontId="3" type="noConversion"/>
  </si>
  <si>
    <t>6BL+6ONE</t>
    <phoneticPr fontId="3" type="noConversion"/>
  </si>
  <si>
    <t>6SKN154+6CL</t>
    <phoneticPr fontId="3" type="noConversion"/>
  </si>
  <si>
    <t>오도시</t>
    <phoneticPr fontId="3" type="noConversion"/>
  </si>
  <si>
    <t>26-0690</t>
    <phoneticPr fontId="3" type="noConversion"/>
  </si>
  <si>
    <t>인종합-이노렉스</t>
    <phoneticPr fontId="3" type="noConversion"/>
  </si>
  <si>
    <t>5SKN154IIH/S+5CL</t>
    <phoneticPr fontId="3" type="noConversion"/>
  </si>
  <si>
    <t>5SKN154II</t>
    <phoneticPr fontId="3" type="noConversion"/>
  </si>
  <si>
    <t>마감 파손</t>
    <phoneticPr fontId="3" type="noConversion"/>
  </si>
  <si>
    <t>26-0683</t>
    <phoneticPr fontId="3" type="noConversion"/>
  </si>
  <si>
    <t>26-0684</t>
    <phoneticPr fontId="3" type="noConversion"/>
  </si>
  <si>
    <t>로이재단-강화불량 - 26-0683, 0684 같이재단</t>
    <phoneticPr fontId="3" type="noConversion"/>
  </si>
  <si>
    <t>26-0674</t>
    <phoneticPr fontId="3" type="noConversion"/>
  </si>
  <si>
    <t>한우창호</t>
    <phoneticPr fontId="3" type="noConversion"/>
  </si>
  <si>
    <t>5ONEIIH/S+5CLH/S+5ONEIIH/S</t>
    <phoneticPr fontId="3" type="noConversion"/>
  </si>
  <si>
    <t>5PLAONEII</t>
    <phoneticPr fontId="3" type="noConversion"/>
  </si>
  <si>
    <t>26-0366</t>
    <phoneticPr fontId="3" type="noConversion"/>
  </si>
  <si>
    <t>아킹스-증산도</t>
    <phoneticPr fontId="3" type="noConversion"/>
  </si>
  <si>
    <t>5SKG149T</t>
    <phoneticPr fontId="3" type="noConversion"/>
  </si>
  <si>
    <t>1면 로이재단 - 강화불량</t>
    <phoneticPr fontId="3" type="noConversion"/>
  </si>
  <si>
    <t>5SKG149TH/S+5CLH/S+5SUPERPLUS1.0H/S</t>
    <phoneticPr fontId="3" type="noConversion"/>
  </si>
  <si>
    <t>3면 로이재단 - 강화불량</t>
    <phoneticPr fontId="3" type="noConversion"/>
  </si>
  <si>
    <t>투명재단 - 강화불량</t>
    <phoneticPr fontId="3" type="noConversion"/>
  </si>
  <si>
    <t>26-0702</t>
    <phoneticPr fontId="3" type="noConversion"/>
  </si>
  <si>
    <t>보미-청주대</t>
    <phoneticPr fontId="3" type="noConversion"/>
  </si>
  <si>
    <t>5ONE+5newGNH/S+5ONE</t>
    <phoneticPr fontId="3" type="noConversion"/>
  </si>
  <si>
    <t>그린재단</t>
    <phoneticPr fontId="3" type="noConversion"/>
  </si>
  <si>
    <t>26-0703</t>
    <phoneticPr fontId="3" type="noConversion"/>
  </si>
  <si>
    <t>26-0628</t>
    <phoneticPr fontId="3" type="noConversion"/>
  </si>
  <si>
    <t>우미-울산</t>
    <phoneticPr fontId="3" type="noConversion"/>
  </si>
  <si>
    <t>5투명</t>
    <phoneticPr fontId="3" type="noConversion"/>
  </si>
  <si>
    <t>5CL</t>
    <phoneticPr fontId="3" type="noConversion"/>
  </si>
  <si>
    <t>5PLAONE</t>
    <phoneticPr fontId="3" type="noConversion"/>
  </si>
  <si>
    <t>로이재단</t>
    <phoneticPr fontId="3" type="noConversion"/>
  </si>
  <si>
    <t>26-0754</t>
    <phoneticPr fontId="3" type="noConversion"/>
  </si>
  <si>
    <t>씨제이-오리온</t>
    <phoneticPr fontId="3" type="noConversion"/>
  </si>
  <si>
    <t>6SKS142IIh/s+6CLh/s</t>
    <phoneticPr fontId="3" type="noConversion"/>
  </si>
  <si>
    <t>6SKS142II</t>
    <phoneticPr fontId="3" type="noConversion"/>
  </si>
  <si>
    <t>26-0761</t>
    <phoneticPr fontId="3" type="noConversion"/>
  </si>
  <si>
    <t>다솔산업</t>
    <phoneticPr fontId="3" type="noConversion"/>
  </si>
  <si>
    <t>5newGN+5CL</t>
    <phoneticPr fontId="3" type="noConversion"/>
  </si>
  <si>
    <t>5newGN</t>
    <phoneticPr fontId="3" type="noConversion"/>
  </si>
  <si>
    <t>26-0719</t>
    <phoneticPr fontId="3" type="noConversion"/>
  </si>
  <si>
    <t>케이씨시-여의도</t>
    <phoneticPr fontId="3" type="noConversion"/>
  </si>
  <si>
    <t>5로이+5CLh/s+5CL</t>
    <phoneticPr fontId="3" type="noConversion"/>
  </si>
  <si>
    <t>5마스터원</t>
    <phoneticPr fontId="3" type="noConversion"/>
  </si>
  <si>
    <t>5CL</t>
    <phoneticPr fontId="3" type="noConversion"/>
  </si>
  <si>
    <t>현.엔-화성기아</t>
    <phoneticPr fontId="3" type="noConversion"/>
  </si>
  <si>
    <t>5BLh/s+5로이h/s</t>
    <phoneticPr fontId="3" type="noConversion"/>
  </si>
  <si>
    <t>5마스터원</t>
    <phoneticPr fontId="3" type="noConversion"/>
  </si>
  <si>
    <t>26-0718</t>
    <phoneticPr fontId="3" type="noConversion"/>
  </si>
  <si>
    <t>케이씨씨-여의도</t>
    <phoneticPr fontId="3" type="noConversion"/>
  </si>
  <si>
    <t>5로이+5CLh/s+5CL</t>
    <phoneticPr fontId="3" type="noConversion"/>
  </si>
  <si>
    <t>5마스터원</t>
    <phoneticPr fontId="3" type="noConversion"/>
  </si>
  <si>
    <t>제일-인천검단</t>
    <phoneticPr fontId="3" type="noConversion"/>
  </si>
  <si>
    <t>5newGN+5로이</t>
    <phoneticPr fontId="3" type="noConversion"/>
  </si>
  <si>
    <t>DURA MAX(비강화용)</t>
    <phoneticPr fontId="3" type="noConversion"/>
  </si>
  <si>
    <t>2~5, 11번 같이재단</t>
    <phoneticPr fontId="3" type="noConversion"/>
  </si>
  <si>
    <t>제일-인천검단</t>
    <phoneticPr fontId="3" type="noConversion"/>
  </si>
  <si>
    <t>5newGN</t>
    <phoneticPr fontId="3" type="noConversion"/>
  </si>
  <si>
    <t>5newGNh/s+5로이h/s</t>
    <phoneticPr fontId="3" type="noConversion"/>
  </si>
  <si>
    <t>보미-청주대학교</t>
    <phoneticPr fontId="3" type="noConversion"/>
  </si>
  <si>
    <t>5ONE+5newGNh/s+5ONE</t>
    <phoneticPr fontId="3" type="noConversion"/>
  </si>
  <si>
    <t>ONE</t>
    <phoneticPr fontId="3" type="noConversion"/>
  </si>
  <si>
    <t>ONE</t>
    <phoneticPr fontId="3" type="noConversion"/>
  </si>
  <si>
    <t>6Bz+6로이</t>
    <phoneticPr fontId="3" type="noConversion"/>
  </si>
  <si>
    <t>6Bz</t>
    <phoneticPr fontId="3" type="noConversion"/>
  </si>
  <si>
    <t>6마스터원</t>
    <phoneticPr fontId="3" type="noConversion"/>
  </si>
  <si>
    <t>오도시</t>
    <phoneticPr fontId="3" type="noConversion"/>
  </si>
  <si>
    <t>오도시</t>
    <phoneticPr fontId="3" type="noConversion"/>
  </si>
  <si>
    <t>아킹스-증산도</t>
    <phoneticPr fontId="3" type="noConversion"/>
  </si>
  <si>
    <t>5SKG149Th/s+5CLh/s+5SUPERPLUS1.0h/s</t>
    <phoneticPr fontId="3" type="noConversion"/>
  </si>
  <si>
    <t>26-0575</t>
    <phoneticPr fontId="3" type="noConversion"/>
  </si>
  <si>
    <t>대진-대우</t>
    <phoneticPr fontId="3" type="noConversion"/>
  </si>
  <si>
    <t>10.76투명접합+6로이</t>
    <phoneticPr fontId="3" type="noConversion"/>
  </si>
  <si>
    <t>6CL+6CL</t>
    <phoneticPr fontId="3" type="noConversion"/>
  </si>
  <si>
    <t>6CL+6로이</t>
    <phoneticPr fontId="3" type="noConversion"/>
  </si>
  <si>
    <t>6CL</t>
    <phoneticPr fontId="3" type="noConversion"/>
  </si>
  <si>
    <t>6마스터원</t>
    <phoneticPr fontId="3" type="noConversion"/>
  </si>
  <si>
    <t>26-0574</t>
    <phoneticPr fontId="3" type="noConversion"/>
  </si>
  <si>
    <t>26-0575, 0574 4~7번 같이재단</t>
    <phoneticPr fontId="3" type="noConversion"/>
  </si>
  <si>
    <t>26-0573</t>
    <phoneticPr fontId="3" type="noConversion"/>
  </si>
  <si>
    <t>26-0573, 0574 1~3번 같이재단</t>
    <phoneticPr fontId="3" type="noConversion"/>
  </si>
  <si>
    <t>26-0031</t>
    <phoneticPr fontId="3" type="noConversion"/>
  </si>
  <si>
    <t>5NX</t>
    <phoneticPr fontId="3" type="noConversion"/>
  </si>
  <si>
    <t>5CL</t>
    <phoneticPr fontId="3" type="noConversion"/>
  </si>
  <si>
    <t>5DURA MAX(비강화)</t>
    <phoneticPr fontId="3" type="noConversion"/>
  </si>
  <si>
    <t>26-0721</t>
    <phoneticPr fontId="3" type="noConversion"/>
  </si>
  <si>
    <t>5BLh/s+5로이</t>
    <phoneticPr fontId="3" type="noConversion"/>
  </si>
  <si>
    <t>5마스터원</t>
    <phoneticPr fontId="3" type="noConversion"/>
  </si>
  <si>
    <t>26-0753</t>
    <phoneticPr fontId="3" type="noConversion"/>
  </si>
  <si>
    <t>10T 투명강화 이형</t>
    <phoneticPr fontId="3" type="noConversion"/>
  </si>
  <si>
    <t>10T 투명강화</t>
    <phoneticPr fontId="3" type="noConversion"/>
  </si>
  <si>
    <t>10CL</t>
    <phoneticPr fontId="3" type="noConversion"/>
  </si>
  <si>
    <t>1~9번 같이 재단</t>
    <phoneticPr fontId="3" type="noConversion"/>
  </si>
  <si>
    <t>26-0577</t>
    <phoneticPr fontId="3" type="noConversion"/>
  </si>
  <si>
    <t>대진-대우산성역</t>
    <phoneticPr fontId="3" type="noConversion"/>
  </si>
  <si>
    <t>10.76투명접합+6로이</t>
    <phoneticPr fontId="3" type="noConversion"/>
  </si>
  <si>
    <t>대진글라스 원판사용, 1~4, 7~11 같이 재단</t>
    <phoneticPr fontId="3" type="noConversion"/>
  </si>
  <si>
    <t>대진-대우산성역</t>
    <phoneticPr fontId="3" type="noConversion"/>
  </si>
  <si>
    <t>6CL</t>
    <phoneticPr fontId="3" type="noConversion"/>
  </si>
  <si>
    <t>대진글라스 원판사용 26-0577 5~6, 7~11 26-0574 8~15 같이 재단</t>
    <phoneticPr fontId="3" type="noConversion"/>
  </si>
  <si>
    <t>대진글라스 원판사용 26-0577 5~6, 7~11 26-0574 8~15 같이 재단</t>
    <phoneticPr fontId="3" type="noConversion"/>
  </si>
  <si>
    <t>6CL+6CL</t>
    <phoneticPr fontId="3" type="noConversion"/>
  </si>
  <si>
    <t>6CL+6CL</t>
    <phoneticPr fontId="3" type="noConversion"/>
  </si>
  <si>
    <t>26-0781</t>
    <phoneticPr fontId="3" type="noConversion"/>
  </si>
  <si>
    <t>현대샷시유리공사</t>
    <phoneticPr fontId="3" type="noConversion"/>
  </si>
  <si>
    <t>5newGN+5CL</t>
    <phoneticPr fontId="3" type="noConversion"/>
  </si>
  <si>
    <t>5CL</t>
    <phoneticPr fontId="3" type="noConversion"/>
  </si>
  <si>
    <t>26-0782</t>
    <phoneticPr fontId="3" type="noConversion"/>
  </si>
  <si>
    <t>5T그린강화</t>
    <phoneticPr fontId="3" type="noConversion"/>
  </si>
  <si>
    <t>26-0700</t>
    <phoneticPr fontId="3" type="noConversion"/>
  </si>
  <si>
    <t>현.산-광주</t>
    <phoneticPr fontId="3" type="noConversion"/>
  </si>
  <si>
    <t>26-0708</t>
    <phoneticPr fontId="3" type="noConversion"/>
  </si>
  <si>
    <t>디앤특수유리</t>
    <phoneticPr fontId="3" type="noConversion"/>
  </si>
  <si>
    <t>SKN176II</t>
    <phoneticPr fontId="3" type="noConversion"/>
  </si>
  <si>
    <t>26-0783</t>
    <phoneticPr fontId="3" type="noConversion"/>
  </si>
  <si>
    <t>보미-청주대</t>
    <phoneticPr fontId="3" type="noConversion"/>
  </si>
  <si>
    <t>5ONE+5newGNh/s+5ONE</t>
    <phoneticPr fontId="3" type="noConversion"/>
  </si>
  <si>
    <t>5newGN</t>
    <phoneticPr fontId="3" type="noConversion"/>
  </si>
  <si>
    <t>26-0751</t>
    <phoneticPr fontId="3" type="noConversion"/>
  </si>
  <si>
    <t>대화-충주반다비</t>
    <phoneticPr fontId="3" type="noConversion"/>
  </si>
  <si>
    <t>5SKN154IIh/s+5CLh/s+5SKN154IIh/s</t>
    <phoneticPr fontId="3" type="noConversion"/>
  </si>
  <si>
    <t>5SKN154II</t>
    <phoneticPr fontId="3" type="noConversion"/>
  </si>
  <si>
    <t>5CL</t>
    <phoneticPr fontId="3" type="noConversion"/>
  </si>
  <si>
    <t>26-0752</t>
    <phoneticPr fontId="3" type="noConversion"/>
  </si>
  <si>
    <t>대화-충주반다비</t>
    <phoneticPr fontId="3" type="noConversion"/>
  </si>
  <si>
    <t>8.76(4cl+0.76+4cl)+5로이</t>
    <phoneticPr fontId="3" type="noConversion"/>
  </si>
  <si>
    <t>26-0394</t>
    <phoneticPr fontId="3" type="noConversion"/>
  </si>
  <si>
    <t>26-0396</t>
    <phoneticPr fontId="3" type="noConversion"/>
  </si>
  <si>
    <t>26-0393</t>
    <phoneticPr fontId="3" type="noConversion"/>
  </si>
  <si>
    <t>26-0392</t>
    <phoneticPr fontId="3" type="noConversion"/>
  </si>
  <si>
    <t>5CLh/s+5로이</t>
    <phoneticPr fontId="3" type="noConversion"/>
  </si>
  <si>
    <t>8.76투명접합+5로이h/s+5로이</t>
    <phoneticPr fontId="3" type="noConversion"/>
  </si>
  <si>
    <t>5T 투명</t>
    <phoneticPr fontId="3" type="noConversion"/>
  </si>
  <si>
    <t>26-0750</t>
    <phoneticPr fontId="3" type="noConversion"/>
  </si>
  <si>
    <t>추미-파주</t>
    <phoneticPr fontId="3" type="noConversion"/>
  </si>
  <si>
    <t>5newGN+5로이</t>
    <phoneticPr fontId="3" type="noConversion"/>
  </si>
  <si>
    <t>5CL+5로이</t>
    <phoneticPr fontId="3" type="noConversion"/>
  </si>
  <si>
    <t>5마스터원</t>
    <phoneticPr fontId="3" type="noConversion"/>
  </si>
  <si>
    <t>5CL</t>
    <phoneticPr fontId="3" type="noConversion"/>
  </si>
  <si>
    <t>그린 오도시 재단</t>
    <phoneticPr fontId="3" type="noConversion"/>
  </si>
  <si>
    <t>26-0700</t>
    <phoneticPr fontId="3" type="noConversion"/>
  </si>
  <si>
    <t>현산-광주</t>
    <phoneticPr fontId="3" type="noConversion"/>
  </si>
  <si>
    <t>10투명강화</t>
    <phoneticPr fontId="3" type="noConversion"/>
  </si>
  <si>
    <t>10CL</t>
    <phoneticPr fontId="3" type="noConversion"/>
  </si>
  <si>
    <t>26-0638</t>
    <phoneticPr fontId="3" type="noConversion"/>
  </si>
  <si>
    <t>우미-남원주</t>
    <phoneticPr fontId="3" type="noConversion"/>
  </si>
  <si>
    <t>5DURA MAX(비강화용)</t>
    <phoneticPr fontId="3" type="noConversion"/>
  </si>
  <si>
    <t>로이재단</t>
    <phoneticPr fontId="3" type="noConversion"/>
  </si>
  <si>
    <t>26-0392</t>
    <phoneticPr fontId="3" type="noConversion"/>
  </si>
  <si>
    <t>26-0393</t>
    <phoneticPr fontId="3" type="noConversion"/>
  </si>
  <si>
    <t>26-0716</t>
    <phoneticPr fontId="3" type="noConversion"/>
  </si>
  <si>
    <t>현엔-화성기아</t>
    <phoneticPr fontId="3" type="noConversion"/>
  </si>
  <si>
    <t>5BLH/S+5로이</t>
    <phoneticPr fontId="3" type="noConversion"/>
  </si>
  <si>
    <t>5BL</t>
    <phoneticPr fontId="3" type="noConversion"/>
  </si>
  <si>
    <t>5마스터원</t>
    <phoneticPr fontId="3" type="noConversion"/>
  </si>
  <si>
    <t>26-0720</t>
    <phoneticPr fontId="3" type="noConversion"/>
  </si>
  <si>
    <t>한양-인천</t>
    <phoneticPr fontId="3" type="noConversion"/>
  </si>
  <si>
    <t>5CL+5로이</t>
    <phoneticPr fontId="3" type="noConversion"/>
  </si>
  <si>
    <t>5CL+5CL</t>
    <phoneticPr fontId="3" type="noConversion"/>
  </si>
  <si>
    <t>5CL</t>
    <phoneticPr fontId="3" type="noConversion"/>
  </si>
  <si>
    <t>26-0716, 0720 같이재단</t>
    <phoneticPr fontId="3" type="noConversion"/>
  </si>
  <si>
    <t>26-0755</t>
    <phoneticPr fontId="3" type="noConversion"/>
  </si>
  <si>
    <t>5BLH/S+5로이H/S</t>
    <phoneticPr fontId="3" type="noConversion"/>
  </si>
  <si>
    <t>5BLH/S+5로이 스텝</t>
    <phoneticPr fontId="3" type="noConversion"/>
  </si>
  <si>
    <t>5BLH/S+5로이H/S 스텝</t>
    <phoneticPr fontId="3" type="noConversion"/>
  </si>
  <si>
    <t>26-0756</t>
    <phoneticPr fontId="3" type="noConversion"/>
  </si>
  <si>
    <t>26-0790</t>
    <phoneticPr fontId="3" type="noConversion"/>
  </si>
  <si>
    <t>현엔-용인</t>
    <phoneticPr fontId="3" type="noConversion"/>
  </si>
  <si>
    <t>6PLTdura++6CL</t>
    <phoneticPr fontId="3" type="noConversion"/>
  </si>
  <si>
    <t>6PLTDURA+</t>
    <phoneticPr fontId="3" type="noConversion"/>
  </si>
  <si>
    <t>6CL</t>
    <phoneticPr fontId="3" type="noConversion"/>
  </si>
  <si>
    <t>26-0640</t>
    <phoneticPr fontId="3" type="noConversion"/>
  </si>
  <si>
    <t>우미-남원주</t>
    <phoneticPr fontId="3" type="noConversion"/>
  </si>
  <si>
    <t>5newGN+5로이</t>
    <phoneticPr fontId="3" type="noConversion"/>
  </si>
  <si>
    <t>5NX</t>
    <phoneticPr fontId="3" type="noConversion"/>
  </si>
  <si>
    <t>5DURA MAX(비강화용)</t>
    <phoneticPr fontId="3" type="noConversion"/>
  </si>
  <si>
    <t>26-0771</t>
    <phoneticPr fontId="3" type="noConversion"/>
  </si>
  <si>
    <t>태영-부산</t>
    <phoneticPr fontId="3" type="noConversion"/>
  </si>
  <si>
    <t>오도시</t>
    <phoneticPr fontId="3" type="noConversion"/>
  </si>
  <si>
    <t>26-0633</t>
    <phoneticPr fontId="3" type="noConversion"/>
  </si>
  <si>
    <t>26-0598</t>
    <phoneticPr fontId="3" type="noConversion"/>
  </si>
  <si>
    <t>블루재단 - 강화불량</t>
    <phoneticPr fontId="3" type="noConversion"/>
  </si>
  <si>
    <t>26-0391</t>
    <phoneticPr fontId="3" type="noConversion"/>
  </si>
  <si>
    <t>로이재단 - 강화 불량 - 26-0633, 0598 같이재단</t>
    <phoneticPr fontId="3" type="noConversion"/>
  </si>
  <si>
    <t>로이재단 - 엣지불량 - 26-0633, 0598 같이재단</t>
    <phoneticPr fontId="3" type="noConversion"/>
  </si>
  <si>
    <t>5CLH/S+5로이</t>
    <phoneticPr fontId="3" type="noConversion"/>
  </si>
  <si>
    <t>26-0719</t>
    <phoneticPr fontId="3" type="noConversion"/>
  </si>
  <si>
    <t>케이씨씨-여의도</t>
    <phoneticPr fontId="3" type="noConversion"/>
  </si>
  <si>
    <t>5FH이+5CLH/S+5CL</t>
    <phoneticPr fontId="3" type="noConversion"/>
  </si>
  <si>
    <t>26-0718</t>
    <phoneticPr fontId="3" type="noConversion"/>
  </si>
  <si>
    <t>투명재단 - 강화불량 - 26-0391, 0719, 0718 같이재단</t>
    <phoneticPr fontId="3" type="noConversion"/>
  </si>
  <si>
    <t>26-0639</t>
    <phoneticPr fontId="3" type="noConversion"/>
  </si>
  <si>
    <t>그린재단</t>
    <phoneticPr fontId="3" type="noConversion"/>
  </si>
  <si>
    <t>야간</t>
    <phoneticPr fontId="3" type="noConversion"/>
  </si>
  <si>
    <t>26-0766</t>
    <phoneticPr fontId="3" type="noConversion"/>
  </si>
  <si>
    <t>계룡-오뚜기</t>
    <phoneticPr fontId="3" type="noConversion"/>
  </si>
  <si>
    <t>5SKG149TH/S+5CLH/S</t>
    <phoneticPr fontId="3" type="noConversion"/>
  </si>
  <si>
    <t>5SKG149T</t>
    <phoneticPr fontId="3" type="noConversion"/>
  </si>
  <si>
    <t>투명 오도시 재단</t>
    <phoneticPr fontId="3" type="noConversion"/>
  </si>
  <si>
    <t>26-0451</t>
    <phoneticPr fontId="3" type="noConversion"/>
  </si>
  <si>
    <t>계룡-증산도</t>
    <phoneticPr fontId="3" type="noConversion"/>
  </si>
  <si>
    <t>6SKG149TH/S+6CL</t>
    <phoneticPr fontId="3" type="noConversion"/>
  </si>
  <si>
    <t>6SKG149T</t>
    <phoneticPr fontId="3" type="noConversion"/>
  </si>
  <si>
    <t>26-0450</t>
    <phoneticPr fontId="3" type="noConversion"/>
  </si>
  <si>
    <t>로이재단 - 강화불량 - 26-0451, 0450 같이재단</t>
    <phoneticPr fontId="3" type="noConversion"/>
  </si>
  <si>
    <t>26-0394</t>
    <phoneticPr fontId="3" type="noConversion"/>
  </si>
  <si>
    <t>26-0396</t>
    <phoneticPr fontId="3" type="noConversion"/>
  </si>
  <si>
    <t>26-0678</t>
    <phoneticPr fontId="3" type="noConversion"/>
  </si>
  <si>
    <t>신동아-건강보험</t>
    <phoneticPr fontId="3" type="noConversion"/>
  </si>
  <si>
    <t>5MZT135H/S+5CLH/S</t>
    <phoneticPr fontId="3" type="noConversion"/>
  </si>
  <si>
    <t>5MZT135</t>
    <phoneticPr fontId="3" type="noConversion"/>
  </si>
  <si>
    <t>6MZT135H/S+6CLH/S</t>
    <phoneticPr fontId="3" type="noConversion"/>
  </si>
  <si>
    <t>6MZT135</t>
    <phoneticPr fontId="3" type="noConversion"/>
  </si>
  <si>
    <t>로이재단</t>
    <phoneticPr fontId="3" type="noConversion"/>
  </si>
  <si>
    <t>26-0678</t>
    <phoneticPr fontId="3" type="noConversion"/>
  </si>
  <si>
    <t>6CL</t>
    <phoneticPr fontId="3" type="noConversion"/>
  </si>
  <si>
    <t>26-0679</t>
    <phoneticPr fontId="3" type="noConversion"/>
  </si>
  <si>
    <t>6MZT135H/S+6CL</t>
    <phoneticPr fontId="3" type="noConversion"/>
  </si>
  <si>
    <t>로이재단</t>
    <phoneticPr fontId="3" type="noConversion"/>
  </si>
  <si>
    <t>26-0768</t>
    <phoneticPr fontId="3" type="noConversion"/>
  </si>
  <si>
    <t>현대-신월2</t>
    <phoneticPr fontId="3" type="noConversion"/>
  </si>
  <si>
    <t>5투명</t>
    <phoneticPr fontId="3" type="noConversion"/>
  </si>
  <si>
    <t>5CL</t>
    <phoneticPr fontId="3" type="noConversion"/>
  </si>
  <si>
    <t>단판 재단 및 포장</t>
    <phoneticPr fontId="3" type="noConversion"/>
  </si>
  <si>
    <t>8투명강화</t>
    <phoneticPr fontId="3" type="noConversion"/>
  </si>
  <si>
    <t>26-0767</t>
    <phoneticPr fontId="3" type="noConversion"/>
  </si>
  <si>
    <t>대광-평택</t>
    <phoneticPr fontId="3" type="noConversion"/>
  </si>
  <si>
    <t>8투명강화에칭</t>
    <phoneticPr fontId="3" type="noConversion"/>
  </si>
  <si>
    <t>8CL</t>
    <phoneticPr fontId="3" type="noConversion"/>
  </si>
  <si>
    <t>26-0777</t>
    <phoneticPr fontId="3" type="noConversion"/>
  </si>
  <si>
    <t>한라-군산</t>
    <phoneticPr fontId="3" type="noConversion"/>
  </si>
  <si>
    <t>5CLH/S+5로이H/S</t>
    <phoneticPr fontId="3" type="noConversion"/>
  </si>
  <si>
    <t>5투명H/S+5로이</t>
    <phoneticPr fontId="3" type="noConversion"/>
  </si>
  <si>
    <t>5CL+5로이</t>
    <phoneticPr fontId="3" type="noConversion"/>
  </si>
  <si>
    <t>5CL+5CL</t>
    <phoneticPr fontId="3" type="noConversion"/>
  </si>
  <si>
    <t>5CL</t>
    <phoneticPr fontId="3" type="noConversion"/>
  </si>
  <si>
    <t>5PLTDURA+</t>
    <phoneticPr fontId="3" type="noConversion"/>
  </si>
  <si>
    <t>투명재단</t>
    <phoneticPr fontId="3" type="noConversion"/>
  </si>
  <si>
    <t>오도시같이</t>
    <phoneticPr fontId="3" type="noConversion"/>
  </si>
  <si>
    <t>오도시같이</t>
    <phoneticPr fontId="3" type="noConversion"/>
  </si>
  <si>
    <t>오도시같이</t>
    <phoneticPr fontId="3" type="noConversion"/>
  </si>
  <si>
    <t>26-0642</t>
    <phoneticPr fontId="3" type="noConversion"/>
  </si>
  <si>
    <t>5CL</t>
    <phoneticPr fontId="3" type="noConversion"/>
  </si>
  <si>
    <t>오도시 같이</t>
    <phoneticPr fontId="3" type="noConversion"/>
  </si>
  <si>
    <t>오도시 같이</t>
    <phoneticPr fontId="3" type="noConversion"/>
  </si>
  <si>
    <t>26-0787</t>
    <phoneticPr fontId="3" type="noConversion"/>
  </si>
  <si>
    <t>엘엑스-청주지북</t>
    <phoneticPr fontId="3" type="noConversion"/>
  </si>
  <si>
    <t>5CL+5로이</t>
    <phoneticPr fontId="3" type="noConversion"/>
  </si>
  <si>
    <t>26-0641</t>
    <phoneticPr fontId="3" type="noConversion"/>
  </si>
  <si>
    <t>5슈퍼플러스2.0</t>
    <phoneticPr fontId="3" type="noConversion"/>
  </si>
  <si>
    <t>26-0789</t>
    <phoneticPr fontId="3" type="noConversion"/>
  </si>
  <si>
    <t>한우창호</t>
    <phoneticPr fontId="3" type="noConversion"/>
  </si>
  <si>
    <t>5ONEIIH/S+5CLH/S+5ONEH/S</t>
    <phoneticPr fontId="3" type="noConversion"/>
  </si>
  <si>
    <t>26-0717</t>
    <phoneticPr fontId="3" type="noConversion"/>
  </si>
  <si>
    <t>동양유리.샷시</t>
    <phoneticPr fontId="3" type="noConversion"/>
  </si>
  <si>
    <t>6블루반사JJA+6CL</t>
    <phoneticPr fontId="3" type="noConversion"/>
  </si>
  <si>
    <t>26-0788</t>
    <phoneticPr fontId="3" type="noConversion"/>
  </si>
  <si>
    <t>생산파손 로이재단</t>
    <phoneticPr fontId="3" type="noConversion"/>
  </si>
  <si>
    <t>26-0643</t>
    <phoneticPr fontId="3" type="noConversion"/>
  </si>
  <si>
    <t>* 정석개발 원판정리 *</t>
    <phoneticPr fontId="3" type="noConversion"/>
  </si>
  <si>
    <t>* 빅토리아노 16:00 같이 *</t>
    <phoneticPr fontId="3" type="noConversion"/>
  </si>
  <si>
    <t>6CL</t>
    <phoneticPr fontId="3" type="noConversion"/>
  </si>
  <si>
    <t>투명재단</t>
    <phoneticPr fontId="3" type="noConversion"/>
  </si>
  <si>
    <t>26-0805</t>
    <phoneticPr fontId="3" type="noConversion"/>
  </si>
  <si>
    <t>5그린강화</t>
    <phoneticPr fontId="3" type="noConversion"/>
  </si>
  <si>
    <t>26-0645</t>
    <phoneticPr fontId="3" type="noConversion"/>
  </si>
  <si>
    <t>26-0644</t>
    <phoneticPr fontId="3" type="noConversion"/>
  </si>
  <si>
    <t>26-0688</t>
    <phoneticPr fontId="3" type="noConversion"/>
  </si>
  <si>
    <t>5ONEIIH/S+5CLH/S+5OENIIH/S</t>
    <phoneticPr fontId="3" type="noConversion"/>
  </si>
  <si>
    <t>오도시 - 마감파손</t>
    <phoneticPr fontId="3" type="noConversion"/>
  </si>
  <si>
    <t>오도시 - 생산파손</t>
    <phoneticPr fontId="3" type="noConversion"/>
  </si>
  <si>
    <t>26-0687</t>
    <phoneticPr fontId="3" type="noConversion"/>
  </si>
  <si>
    <t>26-0804</t>
    <phoneticPr fontId="3" type="noConversion"/>
  </si>
  <si>
    <t>5SKN154+5CL+5CL</t>
    <phoneticPr fontId="3" type="noConversion"/>
  </si>
  <si>
    <t>26-0688</t>
    <phoneticPr fontId="3" type="noConversion"/>
  </si>
  <si>
    <t>정석-청주테크노</t>
    <phoneticPr fontId="3" type="noConversion"/>
  </si>
  <si>
    <t>26-0689</t>
    <phoneticPr fontId="3" type="noConversion"/>
  </si>
  <si>
    <t>그린재단 - 162조 중 82조 재단 - 정석개발 원판사용</t>
    <phoneticPr fontId="3" type="noConversion"/>
  </si>
  <si>
    <t>26-0803</t>
    <phoneticPr fontId="3" type="noConversion"/>
  </si>
  <si>
    <t>케이씨씨-여의도</t>
    <phoneticPr fontId="3" type="noConversion"/>
  </si>
  <si>
    <t>5마스터원</t>
    <phoneticPr fontId="3" type="noConversion"/>
  </si>
  <si>
    <t>5CL</t>
    <phoneticPr fontId="3" type="noConversion"/>
  </si>
  <si>
    <t>5로이+5CLH/S+5CL</t>
    <phoneticPr fontId="3" type="noConversion"/>
  </si>
  <si>
    <t>26-0784</t>
    <phoneticPr fontId="3" type="noConversion"/>
  </si>
  <si>
    <t>5MVT172H/S+5CLH/S</t>
    <phoneticPr fontId="3" type="noConversion"/>
  </si>
  <si>
    <t>5MVT172+5CL</t>
    <phoneticPr fontId="3" type="noConversion"/>
  </si>
  <si>
    <t>5MVT172</t>
    <phoneticPr fontId="3" type="noConversion"/>
  </si>
  <si>
    <t>26-0778</t>
    <phoneticPr fontId="3" type="noConversion"/>
  </si>
  <si>
    <t>26-0776</t>
    <phoneticPr fontId="3" type="noConversion"/>
  </si>
  <si>
    <t>26-0778, 0776 같이 재단</t>
    <phoneticPr fontId="3" type="noConversion"/>
  </si>
  <si>
    <t>26-0785</t>
    <phoneticPr fontId="3" type="noConversion"/>
  </si>
  <si>
    <t>26-0779</t>
    <phoneticPr fontId="3" type="noConversion"/>
  </si>
  <si>
    <t>26-0780</t>
    <phoneticPr fontId="3" type="noConversion"/>
  </si>
  <si>
    <t>26-0836</t>
    <phoneticPr fontId="3" type="noConversion"/>
  </si>
  <si>
    <t>그린재단 - 162조 중 80조 재단 - 정석개발 원판사용</t>
    <phoneticPr fontId="3" type="noConversion"/>
  </si>
  <si>
    <t>로이재단 - 강화 마감파손</t>
    <phoneticPr fontId="3" type="noConversion"/>
  </si>
  <si>
    <t>26-0397</t>
    <phoneticPr fontId="3" type="noConversion"/>
  </si>
  <si>
    <t>26-0399</t>
    <phoneticPr fontId="3" type="noConversion"/>
  </si>
  <si>
    <t>26-0400</t>
    <phoneticPr fontId="3" type="noConversion"/>
  </si>
  <si>
    <t>26-0397, 0399, 0400 같이재단</t>
    <phoneticPr fontId="3" type="noConversion"/>
  </si>
  <si>
    <t>26-0398</t>
    <phoneticPr fontId="3" type="noConversion"/>
  </si>
  <si>
    <t>26-0397, 0398 같이재단</t>
    <phoneticPr fontId="3" type="noConversion"/>
  </si>
  <si>
    <t>26-0397, 0398, 0399, 0400 같이재단</t>
    <phoneticPr fontId="3" type="noConversion"/>
  </si>
  <si>
    <t>26-0723</t>
    <phoneticPr fontId="3" type="noConversion"/>
  </si>
  <si>
    <t>강화용 투명 재단</t>
    <phoneticPr fontId="3" type="noConversion"/>
  </si>
  <si>
    <t>26-0724</t>
    <phoneticPr fontId="3" type="noConversion"/>
  </si>
  <si>
    <t>26-0692</t>
    <phoneticPr fontId="3" type="noConversion"/>
  </si>
  <si>
    <t>5NX</t>
    <phoneticPr fontId="3" type="noConversion"/>
  </si>
  <si>
    <t>26-0398</t>
    <phoneticPr fontId="3" type="noConversion"/>
  </si>
  <si>
    <t>5CL</t>
    <phoneticPr fontId="3" type="noConversion"/>
  </si>
  <si>
    <t>투명재단</t>
    <phoneticPr fontId="3" type="noConversion"/>
  </si>
  <si>
    <t>26-0806</t>
    <phoneticPr fontId="3" type="noConversion"/>
  </si>
  <si>
    <t>계룡-양주</t>
    <phoneticPr fontId="3" type="noConversion"/>
  </si>
  <si>
    <t>5newGN+5로이</t>
    <phoneticPr fontId="3" type="noConversion"/>
  </si>
  <si>
    <t>5마스터원</t>
    <phoneticPr fontId="3" type="noConversion"/>
  </si>
  <si>
    <t>5NX</t>
    <phoneticPr fontId="3" type="noConversion"/>
  </si>
  <si>
    <t>26-0815</t>
    <phoneticPr fontId="3" type="noConversion"/>
  </si>
  <si>
    <t>인성-오창</t>
    <phoneticPr fontId="3" type="noConversion"/>
  </si>
  <si>
    <t>12투명강화</t>
    <phoneticPr fontId="3" type="noConversion"/>
  </si>
  <si>
    <t>12CL</t>
    <phoneticPr fontId="3" type="noConversion"/>
  </si>
  <si>
    <t>26-0830</t>
    <phoneticPr fontId="3" type="noConversion"/>
  </si>
  <si>
    <t>미도사</t>
    <phoneticPr fontId="3" type="noConversion"/>
  </si>
  <si>
    <t>5newGN+5CL</t>
    <phoneticPr fontId="3" type="noConversion"/>
  </si>
  <si>
    <t>오도시</t>
    <phoneticPr fontId="3" type="noConversion"/>
  </si>
  <si>
    <t>26-0829</t>
    <phoneticPr fontId="3" type="noConversion"/>
  </si>
  <si>
    <t>두두</t>
    <phoneticPr fontId="3" type="noConversion"/>
  </si>
  <si>
    <t>5CL+5CL</t>
    <phoneticPr fontId="3" type="noConversion"/>
  </si>
  <si>
    <t>5CL</t>
    <phoneticPr fontId="3" type="noConversion"/>
  </si>
  <si>
    <t>26-0693</t>
    <phoneticPr fontId="3" type="noConversion"/>
  </si>
  <si>
    <t>정석-청주테크노</t>
    <phoneticPr fontId="3" type="noConversion"/>
  </si>
  <si>
    <t>5newGN+5DURA MAX</t>
    <phoneticPr fontId="3" type="noConversion"/>
  </si>
  <si>
    <t>5CL+5DURA MAX</t>
    <phoneticPr fontId="3" type="noConversion"/>
  </si>
  <si>
    <t>5DURA MAX</t>
    <phoneticPr fontId="3" type="noConversion"/>
  </si>
  <si>
    <t>정석개발 원판 사용</t>
    <phoneticPr fontId="3" type="noConversion"/>
  </si>
  <si>
    <t>26-0692</t>
    <phoneticPr fontId="3" type="noConversion"/>
  </si>
  <si>
    <t>26-0851</t>
    <phoneticPr fontId="3" type="noConversion"/>
  </si>
  <si>
    <t>제일-의왕</t>
    <phoneticPr fontId="3" type="noConversion"/>
  </si>
  <si>
    <t>5CL+5로이</t>
    <phoneticPr fontId="3" type="noConversion"/>
  </si>
  <si>
    <t>5newGNH/S+5로이</t>
    <phoneticPr fontId="3" type="noConversion"/>
  </si>
  <si>
    <t>5DURA MAX(비강화용)</t>
    <phoneticPr fontId="3" type="noConversion"/>
  </si>
  <si>
    <t>26-0694</t>
    <phoneticPr fontId="3" type="noConversion"/>
  </si>
  <si>
    <t>로이재단 - 정석개발 원판 사용</t>
    <phoneticPr fontId="3" type="noConversion"/>
  </si>
  <si>
    <t>야간</t>
    <phoneticPr fontId="3" type="noConversion"/>
  </si>
  <si>
    <t>26-0751</t>
    <phoneticPr fontId="3" type="noConversion"/>
  </si>
  <si>
    <t>대화-충주</t>
    <phoneticPr fontId="3" type="noConversion"/>
  </si>
  <si>
    <t>5SKN154IIH/S+5CLH/S+5SKN154IIH/S</t>
    <phoneticPr fontId="3" type="noConversion"/>
  </si>
  <si>
    <t>26-0394</t>
    <phoneticPr fontId="3" type="noConversion"/>
  </si>
  <si>
    <t>태명-부산</t>
    <phoneticPr fontId="3" type="noConversion"/>
  </si>
  <si>
    <t>5CLH/S+5로이</t>
    <phoneticPr fontId="3" type="noConversion"/>
  </si>
  <si>
    <t>투명재단 - 오도시 강화불량 - 26-0751, 0394 같이재단</t>
    <phoneticPr fontId="3" type="noConversion"/>
  </si>
  <si>
    <t>로이재단 - 오도시 강화불량</t>
    <phoneticPr fontId="3" type="noConversion"/>
  </si>
  <si>
    <t>26-0031</t>
    <phoneticPr fontId="3" type="noConversion"/>
  </si>
  <si>
    <t>제일-인천</t>
    <phoneticPr fontId="3" type="noConversion"/>
  </si>
  <si>
    <t>5newGNH/S+5로이H/S</t>
    <phoneticPr fontId="3" type="noConversion"/>
  </si>
  <si>
    <t>그린재단 - 강화불량</t>
    <phoneticPr fontId="3" type="noConversion"/>
  </si>
  <si>
    <t>26-0679</t>
    <phoneticPr fontId="3" type="noConversion"/>
  </si>
  <si>
    <t>신동아-건강보험</t>
    <phoneticPr fontId="3" type="noConversion"/>
  </si>
  <si>
    <t>6MZT135H/S+6CLH/S</t>
    <phoneticPr fontId="3" type="noConversion"/>
  </si>
  <si>
    <t>6CL</t>
    <phoneticPr fontId="3" type="noConversion"/>
  </si>
  <si>
    <t>로이 오도시 재단 - 강화불량</t>
    <phoneticPr fontId="3" type="noConversion"/>
  </si>
  <si>
    <t>26-0400</t>
    <phoneticPr fontId="3" type="noConversion"/>
  </si>
  <si>
    <t>태영-부산</t>
    <phoneticPr fontId="3" type="noConversion"/>
  </si>
  <si>
    <t>26-0399</t>
    <phoneticPr fontId="3" type="noConversion"/>
  </si>
  <si>
    <t>26-0724</t>
    <phoneticPr fontId="3" type="noConversion"/>
  </si>
  <si>
    <t>5로이+5CLH/S+5CL</t>
    <phoneticPr fontId="3" type="noConversion"/>
  </si>
  <si>
    <t>비강화용 투명 재단</t>
    <phoneticPr fontId="3" type="noConversion"/>
  </si>
  <si>
    <t>케이씨씨-여의도</t>
    <phoneticPr fontId="3" type="noConversion"/>
  </si>
  <si>
    <t>26-0723</t>
    <phoneticPr fontId="3" type="noConversion"/>
  </si>
  <si>
    <t>5CL</t>
    <phoneticPr fontId="3" type="noConversion"/>
  </si>
  <si>
    <t>투명재단 - 정석개발 원판 사용</t>
    <phoneticPr fontId="3" type="noConversion"/>
  </si>
  <si>
    <t>26-0695</t>
    <phoneticPr fontId="3" type="noConversion"/>
  </si>
  <si>
    <t>26-0833</t>
    <phoneticPr fontId="3" type="noConversion"/>
  </si>
  <si>
    <t>인성-드림신협</t>
    <phoneticPr fontId="3" type="noConversion"/>
  </si>
  <si>
    <t>5SKN154+5CLH/S</t>
    <phoneticPr fontId="3" type="noConversion"/>
  </si>
  <si>
    <t>5SKN154+5CL</t>
    <phoneticPr fontId="3" type="noConversion"/>
  </si>
  <si>
    <t>5SKN154</t>
    <phoneticPr fontId="3" type="noConversion"/>
  </si>
  <si>
    <t>26-0714</t>
    <phoneticPr fontId="3" type="noConversion"/>
  </si>
  <si>
    <t>신동아-건강보험</t>
    <phoneticPr fontId="3" type="noConversion"/>
  </si>
  <si>
    <t>5MZT135H/S+5CLH/S</t>
    <phoneticPr fontId="3" type="noConversion"/>
  </si>
  <si>
    <t>5MZT135</t>
  </si>
  <si>
    <t>26-0713, 0714 같이재단</t>
    <phoneticPr fontId="3" type="noConversion"/>
  </si>
  <si>
    <t>26-0713</t>
    <phoneticPr fontId="3" type="noConversion"/>
  </si>
  <si>
    <t>6MZT135H/S+6CL</t>
    <phoneticPr fontId="3" type="noConversion"/>
  </si>
  <si>
    <t>6MZT135H/S+6CLH/S</t>
    <phoneticPr fontId="3" type="noConversion"/>
  </si>
  <si>
    <t>6CL</t>
    <phoneticPr fontId="3" type="noConversion"/>
  </si>
  <si>
    <t>투명재단</t>
    <phoneticPr fontId="3" type="noConversion"/>
  </si>
  <si>
    <t>6MZT135</t>
  </si>
  <si>
    <t>로이재단 - 60조 중 45조 재단</t>
    <phoneticPr fontId="3" type="noConversion"/>
  </si>
  <si>
    <t>로이재단 - 30조 중 24조 재단</t>
    <phoneticPr fontId="3" type="noConversion"/>
  </si>
  <si>
    <t>26-0708</t>
    <phoneticPr fontId="3" type="noConversion"/>
  </si>
  <si>
    <t>신동아-하나은행</t>
    <phoneticPr fontId="3" type="noConversion"/>
  </si>
  <si>
    <t>6SKN176IIH/S+6CL(곡)</t>
    <phoneticPr fontId="3" type="noConversion"/>
  </si>
  <si>
    <t>6SKN176II</t>
    <phoneticPr fontId="3" type="noConversion"/>
  </si>
  <si>
    <t>로이재단</t>
    <phoneticPr fontId="3" type="noConversion"/>
  </si>
  <si>
    <t>26-0644</t>
    <phoneticPr fontId="3" type="noConversion"/>
  </si>
  <si>
    <t>26-0871</t>
    <phoneticPr fontId="3" type="noConversion"/>
  </si>
  <si>
    <t>현대샷시</t>
    <phoneticPr fontId="3" type="noConversion"/>
  </si>
  <si>
    <t>5미스트+5DURA MAX</t>
    <phoneticPr fontId="3" type="noConversion"/>
  </si>
  <si>
    <t>5미스트</t>
    <phoneticPr fontId="3" type="noConversion"/>
  </si>
  <si>
    <t>5DURA MAX(비강화)</t>
    <phoneticPr fontId="3" type="noConversion"/>
  </si>
  <si>
    <t>26-0646</t>
    <phoneticPr fontId="3" type="noConversion"/>
  </si>
  <si>
    <t>우미-남원주</t>
    <phoneticPr fontId="3" type="noConversion"/>
  </si>
  <si>
    <t>5newGN+5로이</t>
    <phoneticPr fontId="3" type="noConversion"/>
  </si>
  <si>
    <t>5newGN</t>
    <phoneticPr fontId="3" type="noConversion"/>
  </si>
  <si>
    <t>5newGN+5로이</t>
    <phoneticPr fontId="3" type="noConversion"/>
  </si>
  <si>
    <t>1~6, 13~14 같이 재단</t>
    <phoneticPr fontId="3" type="noConversion"/>
  </si>
  <si>
    <t>5CL+5로이</t>
    <phoneticPr fontId="3" type="noConversion"/>
  </si>
  <si>
    <t>5CL</t>
    <phoneticPr fontId="3" type="noConversion"/>
  </si>
  <si>
    <t>26-0696</t>
    <phoneticPr fontId="3" type="noConversion"/>
  </si>
  <si>
    <t>5newGN+5DURA MAX</t>
    <phoneticPr fontId="3" type="noConversion"/>
  </si>
  <si>
    <t>정석개발 원판 사용</t>
    <phoneticPr fontId="3" type="noConversion"/>
  </si>
  <si>
    <t>5CL</t>
    <phoneticPr fontId="3" type="noConversion"/>
  </si>
  <si>
    <t>26-0755</t>
    <phoneticPr fontId="3" type="noConversion"/>
  </si>
  <si>
    <t>현.엔-화성기아</t>
    <phoneticPr fontId="3" type="noConversion"/>
  </si>
  <si>
    <t>5BLh/s+5로이h/s스텝</t>
    <phoneticPr fontId="3" type="noConversion"/>
  </si>
  <si>
    <t>5마스터원</t>
    <phoneticPr fontId="3" type="noConversion"/>
  </si>
  <si>
    <t>오도시</t>
    <phoneticPr fontId="3" type="noConversion"/>
  </si>
  <si>
    <t>26-0695</t>
    <phoneticPr fontId="3" type="noConversion"/>
  </si>
  <si>
    <t>26-0832</t>
    <phoneticPr fontId="3" type="noConversion"/>
  </si>
  <si>
    <t>인성-청주드림</t>
    <phoneticPr fontId="3" type="noConversion"/>
  </si>
  <si>
    <t>5SKN154+5CLh/s</t>
    <phoneticPr fontId="3" type="noConversion"/>
  </si>
  <si>
    <t>5SKN154</t>
    <phoneticPr fontId="3" type="noConversion"/>
  </si>
  <si>
    <t>5SKN154+5CL</t>
    <phoneticPr fontId="3" type="noConversion"/>
  </si>
  <si>
    <t>26-0850</t>
    <phoneticPr fontId="3" type="noConversion"/>
  </si>
  <si>
    <t>현대샷시</t>
    <phoneticPr fontId="3" type="noConversion"/>
  </si>
  <si>
    <t>5미스트+5DURA MAX</t>
    <phoneticPr fontId="3" type="noConversion"/>
  </si>
  <si>
    <t>5미스트</t>
    <phoneticPr fontId="3" type="noConversion"/>
  </si>
  <si>
    <t>5DURA MAX(비강화)</t>
    <phoneticPr fontId="3" type="noConversion"/>
  </si>
  <si>
    <t>오도시</t>
    <phoneticPr fontId="3" type="noConversion"/>
  </si>
  <si>
    <t>26-0830</t>
    <phoneticPr fontId="3" type="noConversion"/>
  </si>
  <si>
    <t>미도사</t>
    <phoneticPr fontId="3" type="noConversion"/>
  </si>
  <si>
    <t>5newGN</t>
    <phoneticPr fontId="3" type="noConversion"/>
  </si>
  <si>
    <t>26-0831</t>
    <phoneticPr fontId="3" type="noConversion"/>
  </si>
  <si>
    <t>5SKN154+5CLh/s</t>
    <phoneticPr fontId="3" type="noConversion"/>
  </si>
  <si>
    <t>5CL</t>
    <phoneticPr fontId="3" type="noConversion"/>
  </si>
  <si>
    <t>5SKN154+5CLh/s에칭</t>
    <phoneticPr fontId="3" type="noConversion"/>
  </si>
  <si>
    <t>1~20, 25~34 투명 같이 재단</t>
    <phoneticPr fontId="3" type="noConversion"/>
  </si>
  <si>
    <t>1~7, 8~16 로이 같이재단</t>
    <phoneticPr fontId="3" type="noConversion"/>
  </si>
  <si>
    <t>1~7, 8~16 투명 같이재단</t>
    <phoneticPr fontId="3" type="noConversion"/>
  </si>
  <si>
    <t>5SKN154+5CL</t>
    <phoneticPr fontId="3" type="noConversion"/>
  </si>
  <si>
    <t>5CL</t>
    <phoneticPr fontId="3" type="noConversion"/>
  </si>
  <si>
    <t>26-0647</t>
    <phoneticPr fontId="3" type="noConversion"/>
  </si>
  <si>
    <t>우미-남원주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</si>
  <si>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</si>
  <si>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</si>
  <si>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</si>
  <si>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5CL</t>
    <phoneticPr fontId="3" type="noConversion"/>
  </si>
  <si>
    <t>5DURA MAX(비강화용)</t>
    <phoneticPr fontId="3" type="noConversion"/>
  </si>
  <si>
    <t>26-0648</t>
    <phoneticPr fontId="3" type="noConversion"/>
  </si>
  <si>
    <t>로이재단</t>
    <phoneticPr fontId="3" type="noConversion"/>
  </si>
  <si>
    <t>26-0723</t>
    <phoneticPr fontId="3" type="noConversion"/>
  </si>
  <si>
    <t>케이씨씨-여의도</t>
    <phoneticPr fontId="3" type="noConversion"/>
  </si>
  <si>
    <t>5로이+5CL</t>
    <phoneticPr fontId="3" type="noConversion"/>
  </si>
  <si>
    <t>5로이+5CLH/S+5CL</t>
    <phoneticPr fontId="3" type="noConversion"/>
  </si>
  <si>
    <t>5마스터원</t>
    <phoneticPr fontId="3" type="noConversion"/>
  </si>
  <si>
    <t>투명, 로이 재단</t>
    <phoneticPr fontId="3" type="noConversion"/>
  </si>
  <si>
    <t>26-0724</t>
    <phoneticPr fontId="3" type="noConversion"/>
  </si>
  <si>
    <t>26-0650</t>
    <phoneticPr fontId="3" type="noConversion"/>
  </si>
  <si>
    <t>26-0649</t>
    <phoneticPr fontId="3" type="noConversion"/>
  </si>
  <si>
    <t>그린, 로이재단</t>
    <phoneticPr fontId="3" type="noConversion"/>
  </si>
  <si>
    <t>26-0651</t>
    <phoneticPr fontId="3" type="noConversion"/>
  </si>
  <si>
    <t>26-0759</t>
    <phoneticPr fontId="3" type="noConversion"/>
  </si>
  <si>
    <t>로이재단 - 60조 중 15조 재단</t>
    <phoneticPr fontId="3" type="noConversion"/>
  </si>
  <si>
    <t>로이재단 - 30조 중 6조 재단</t>
    <phoneticPr fontId="3" type="noConversion"/>
  </si>
  <si>
    <t>26-0852</t>
    <phoneticPr fontId="3" type="noConversion"/>
  </si>
  <si>
    <t>활림-아산</t>
    <phoneticPr fontId="3" type="noConversion"/>
  </si>
  <si>
    <t>10투명강화</t>
    <phoneticPr fontId="3" type="noConversion"/>
  </si>
  <si>
    <t>10CL</t>
    <phoneticPr fontId="3" type="noConversion"/>
  </si>
  <si>
    <t>26-0832</t>
    <phoneticPr fontId="3" type="noConversion"/>
  </si>
  <si>
    <t>인성-청주신협</t>
    <phoneticPr fontId="3" type="noConversion"/>
  </si>
  <si>
    <t>26-0652</t>
    <phoneticPr fontId="3" type="noConversion"/>
  </si>
  <si>
    <t>그린재단</t>
    <phoneticPr fontId="3" type="noConversion"/>
  </si>
  <si>
    <t>26-0675</t>
    <phoneticPr fontId="3" type="noConversion"/>
  </si>
  <si>
    <t>신동아-건강보험</t>
    <phoneticPr fontId="3" type="noConversion"/>
  </si>
  <si>
    <t>6MZT128H/S+6CLH/S</t>
    <phoneticPr fontId="3" type="noConversion"/>
  </si>
  <si>
    <t>6CL</t>
    <phoneticPr fontId="3" type="noConversion"/>
  </si>
  <si>
    <t>투명재단</t>
    <phoneticPr fontId="3" type="noConversion"/>
  </si>
  <si>
    <t>26-0834</t>
    <phoneticPr fontId="3" type="noConversion"/>
  </si>
  <si>
    <t>5SKN154+5CL</t>
    <phoneticPr fontId="3" type="noConversion"/>
  </si>
  <si>
    <t>5SKN154+5CLH/S</t>
    <phoneticPr fontId="3" type="noConversion"/>
  </si>
  <si>
    <t>5CL</t>
    <phoneticPr fontId="3" type="noConversion"/>
  </si>
  <si>
    <t>5SKN154</t>
    <phoneticPr fontId="3" type="noConversion"/>
  </si>
  <si>
    <t>로이재단</t>
    <phoneticPr fontId="3" type="noConversion"/>
  </si>
  <si>
    <t>26-0654</t>
    <phoneticPr fontId="3" type="noConversion"/>
  </si>
  <si>
    <t>5CL</t>
    <phoneticPr fontId="3" type="noConversion"/>
  </si>
  <si>
    <t>26-0653</t>
    <phoneticPr fontId="3" type="noConversion"/>
  </si>
  <si>
    <t>26-0655</t>
    <phoneticPr fontId="3" type="noConversion"/>
  </si>
  <si>
    <t>26-0847</t>
    <phoneticPr fontId="3" type="noConversion"/>
  </si>
  <si>
    <t>26-0676</t>
    <phoneticPr fontId="3" type="noConversion"/>
  </si>
  <si>
    <t>26-0848</t>
    <phoneticPr fontId="3" type="noConversion"/>
  </si>
  <si>
    <t>26-0885</t>
    <phoneticPr fontId="3" type="noConversion"/>
  </si>
  <si>
    <t>5BL+5로이</t>
    <phoneticPr fontId="3" type="noConversion"/>
  </si>
  <si>
    <t>26-0657</t>
    <phoneticPr fontId="3" type="noConversion"/>
  </si>
  <si>
    <t>26-0869</t>
    <phoneticPr fontId="3" type="noConversion"/>
  </si>
  <si>
    <t>26-0656</t>
    <phoneticPr fontId="3" type="noConversion"/>
  </si>
  <si>
    <t>26-0658</t>
    <phoneticPr fontId="3" type="noConversion"/>
  </si>
  <si>
    <t>26-0895</t>
    <phoneticPr fontId="3" type="noConversion"/>
  </si>
  <si>
    <t>인종합-이노레스</t>
    <phoneticPr fontId="3" type="noConversion"/>
  </si>
  <si>
    <t>26-0843</t>
    <phoneticPr fontId="3" type="noConversion"/>
  </si>
  <si>
    <t>6SKG149TH/S+13.52투명강화접합</t>
    <phoneticPr fontId="3" type="noConversion"/>
  </si>
  <si>
    <t>26-0835</t>
    <phoneticPr fontId="3" type="noConversion"/>
  </si>
  <si>
    <t>5ECT173</t>
    <phoneticPr fontId="3" type="noConversion"/>
  </si>
  <si>
    <t>26-0896</t>
    <phoneticPr fontId="3" type="noConversion"/>
  </si>
  <si>
    <t>5백페인트글라스</t>
    <phoneticPr fontId="3" type="noConversion"/>
  </si>
  <si>
    <t>26-0849</t>
    <phoneticPr fontId="3" type="noConversion"/>
  </si>
  <si>
    <t>26-0849, 0852 같이재단</t>
    <phoneticPr fontId="3" type="noConversion"/>
  </si>
  <si>
    <t>1~13, 27~32 같이 투명재단</t>
    <phoneticPr fontId="3" type="noConversion"/>
  </si>
  <si>
    <t>26-0658</t>
    <phoneticPr fontId="3" type="noConversion"/>
  </si>
  <si>
    <t>26-0814</t>
    <phoneticPr fontId="3" type="noConversion"/>
  </si>
  <si>
    <t>우미-울산</t>
    <phoneticPr fontId="3" type="noConversion"/>
  </si>
  <si>
    <t>5투명</t>
    <phoneticPr fontId="3" type="noConversion"/>
  </si>
  <si>
    <t>5CL</t>
    <phoneticPr fontId="3" type="noConversion"/>
  </si>
  <si>
    <t>1~4번 재단</t>
    <phoneticPr fontId="3" type="noConversion"/>
  </si>
  <si>
    <t>26-0772</t>
    <phoneticPr fontId="3" type="noConversion"/>
  </si>
  <si>
    <t>26-0773</t>
    <phoneticPr fontId="3" type="noConversion"/>
  </si>
  <si>
    <t>26-0774</t>
    <phoneticPr fontId="3" type="noConversion"/>
  </si>
  <si>
    <t>26-0775</t>
    <phoneticPr fontId="3" type="noConversion"/>
  </si>
  <si>
    <t>우미-세종</t>
    <phoneticPr fontId="3" type="noConversion"/>
  </si>
  <si>
    <t>6CL+6로이</t>
    <phoneticPr fontId="3" type="noConversion"/>
  </si>
  <si>
    <t>6CL</t>
    <phoneticPr fontId="3" type="noConversion"/>
  </si>
  <si>
    <t>6newGN+6로이</t>
    <phoneticPr fontId="3" type="noConversion"/>
  </si>
  <si>
    <t>6NX</t>
    <phoneticPr fontId="3" type="noConversion"/>
  </si>
  <si>
    <t>6DURA MAX</t>
    <phoneticPr fontId="3" type="noConversion"/>
  </si>
  <si>
    <t>26-0772, 0773, 0774, 0775 같이재단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</si>
  <si>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</si>
  <si>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</si>
  <si>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</si>
  <si>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26-0910</t>
    <phoneticPr fontId="3" type="noConversion"/>
  </si>
  <si>
    <t>5~6번 재단</t>
    <phoneticPr fontId="3" type="noConversion"/>
  </si>
  <si>
    <t>26-0506</t>
    <phoneticPr fontId="3" type="noConversion"/>
  </si>
  <si>
    <t>26-0786</t>
    <phoneticPr fontId="3" type="noConversion"/>
  </si>
  <si>
    <t>블루재단 - 1번 재단</t>
    <phoneticPr fontId="3" type="noConversion"/>
  </si>
  <si>
    <t>26-0846</t>
    <phoneticPr fontId="3" type="noConversion"/>
  </si>
  <si>
    <t>26-0922</t>
    <phoneticPr fontId="3" type="noConversion"/>
  </si>
  <si>
    <t>인종합-청주신협</t>
    <phoneticPr fontId="3" type="noConversion"/>
  </si>
  <si>
    <t>26-0902</t>
    <phoneticPr fontId="3" type="noConversion"/>
  </si>
  <si>
    <t>5SKN154+5CLH/S에칭</t>
    <phoneticPr fontId="3" type="noConversion"/>
  </si>
  <si>
    <t>투명 오도시 재단 - 강화불량</t>
    <phoneticPr fontId="3" type="noConversion"/>
  </si>
  <si>
    <t>26-0553</t>
    <phoneticPr fontId="3" type="noConversion"/>
  </si>
  <si>
    <t>26-0554</t>
    <phoneticPr fontId="3" type="noConversion"/>
  </si>
  <si>
    <t>26-0555</t>
    <phoneticPr fontId="3" type="noConversion"/>
  </si>
  <si>
    <t>26-0553, 0554, 0555 같이재단</t>
    <phoneticPr fontId="3" type="noConversion"/>
  </si>
  <si>
    <t>26-0844</t>
    <phoneticPr fontId="3" type="noConversion"/>
  </si>
  <si>
    <t>26-0844</t>
    <phoneticPr fontId="3" type="noConversion"/>
  </si>
  <si>
    <t>활림-아산</t>
    <phoneticPr fontId="3" type="noConversion"/>
  </si>
  <si>
    <t>로이재단</t>
    <phoneticPr fontId="3" type="noConversion"/>
  </si>
  <si>
    <t>26-0847</t>
    <phoneticPr fontId="3" type="noConversion"/>
  </si>
  <si>
    <t>5CL</t>
    <phoneticPr fontId="3" type="noConversion"/>
  </si>
  <si>
    <t>2호기 생산불량</t>
    <phoneticPr fontId="3" type="noConversion"/>
  </si>
  <si>
    <t>5마스터원</t>
    <phoneticPr fontId="3" type="noConversion"/>
  </si>
  <si>
    <t>로이재단 - 1번 재단</t>
    <phoneticPr fontId="3" type="noConversion"/>
  </si>
  <si>
    <t>블루재단 - 2,3번 재단</t>
    <phoneticPr fontId="3" type="noConversion"/>
  </si>
  <si>
    <t>26-0891</t>
    <phoneticPr fontId="3" type="noConversion"/>
  </si>
  <si>
    <t>류진종합건축</t>
    <phoneticPr fontId="3" type="noConversion"/>
  </si>
  <si>
    <t>5미스트+5DURA MAX</t>
    <phoneticPr fontId="3" type="noConversion"/>
  </si>
  <si>
    <t>5ML+5DURA MAX</t>
    <phoneticPr fontId="3" type="noConversion"/>
  </si>
  <si>
    <t>5newGN+5DURA MAX</t>
    <phoneticPr fontId="3" type="noConversion"/>
  </si>
  <si>
    <t>5미스트</t>
    <phoneticPr fontId="3" type="noConversion"/>
  </si>
  <si>
    <t>5NX</t>
    <phoneticPr fontId="3" type="noConversion"/>
  </si>
  <si>
    <t>5DURA MAX(비강화용)</t>
    <phoneticPr fontId="3" type="noConversion"/>
  </si>
  <si>
    <t>로이재단 - 2,3번 재단</t>
    <phoneticPr fontId="3" type="noConversion"/>
  </si>
  <si>
    <t>26-0911</t>
    <phoneticPr fontId="3" type="noConversion"/>
  </si>
  <si>
    <t>다솔산업</t>
    <phoneticPr fontId="3" type="noConversion"/>
  </si>
  <si>
    <t>8투명강화+5DURA MAX</t>
    <phoneticPr fontId="3" type="noConversion"/>
  </si>
  <si>
    <t>8CL</t>
    <phoneticPr fontId="3" type="noConversion"/>
  </si>
  <si>
    <t>26-0507</t>
    <phoneticPr fontId="3" type="noConversion"/>
  </si>
  <si>
    <t>계룡-KT인재개발원</t>
    <phoneticPr fontId="3" type="noConversion"/>
  </si>
  <si>
    <t>5CL+5로이</t>
    <phoneticPr fontId="3" type="noConversion"/>
  </si>
  <si>
    <t>5CL</t>
    <phoneticPr fontId="3" type="noConversion"/>
  </si>
  <si>
    <t>야간</t>
    <phoneticPr fontId="3" type="noConversion"/>
  </si>
  <si>
    <t>26-0929</t>
    <phoneticPr fontId="3" type="noConversion"/>
  </si>
  <si>
    <t>신동아-하나은행</t>
    <phoneticPr fontId="3" type="noConversion"/>
  </si>
  <si>
    <t>6SKN176IIH/S+6CL</t>
    <phoneticPr fontId="3" type="noConversion"/>
  </si>
  <si>
    <t>6SKN176II</t>
    <phoneticPr fontId="3" type="noConversion"/>
  </si>
  <si>
    <t>6CL</t>
    <phoneticPr fontId="3" type="noConversion"/>
  </si>
  <si>
    <t>26-0593</t>
    <phoneticPr fontId="3" type="noConversion"/>
  </si>
  <si>
    <t>5newGNH/S+5로이H/S</t>
    <phoneticPr fontId="3" type="noConversion"/>
  </si>
  <si>
    <t>5newGN+5로이</t>
    <phoneticPr fontId="3" type="noConversion"/>
  </si>
  <si>
    <t>5마스터원</t>
    <phoneticPr fontId="3" type="noConversion"/>
  </si>
  <si>
    <t>26-0892</t>
    <phoneticPr fontId="3" type="noConversion"/>
  </si>
  <si>
    <t>제일-장성지구</t>
    <phoneticPr fontId="3" type="noConversion"/>
  </si>
  <si>
    <t>26-0893</t>
    <phoneticPr fontId="3" type="noConversion"/>
  </si>
  <si>
    <t>26-0845</t>
    <phoneticPr fontId="3" type="noConversion"/>
  </si>
  <si>
    <t>5SKN154</t>
    <phoneticPr fontId="3" type="noConversion"/>
  </si>
  <si>
    <t>26-0554</t>
    <phoneticPr fontId="3" type="noConversion"/>
  </si>
  <si>
    <t>태영-부산</t>
    <phoneticPr fontId="3" type="noConversion"/>
  </si>
  <si>
    <t>투명재단</t>
    <phoneticPr fontId="3" type="noConversion"/>
  </si>
  <si>
    <t>26-0594</t>
    <phoneticPr fontId="3" type="noConversion"/>
  </si>
  <si>
    <t>제일-인천</t>
    <phoneticPr fontId="3" type="noConversion"/>
  </si>
  <si>
    <t>26-0508</t>
    <phoneticPr fontId="3" type="noConversion"/>
  </si>
  <si>
    <t>26-0594</t>
    <phoneticPr fontId="3" type="noConversion"/>
  </si>
  <si>
    <t>제일-인천</t>
    <phoneticPr fontId="3" type="noConversion"/>
  </si>
  <si>
    <t>5DURA MAX(비강화용)</t>
    <phoneticPr fontId="3" type="noConversion"/>
  </si>
  <si>
    <t>로이재단</t>
    <phoneticPr fontId="3" type="noConversion"/>
  </si>
  <si>
    <t>로이재단 - 재단기스</t>
    <phoneticPr fontId="3" type="noConversion"/>
  </si>
  <si>
    <t>26-0509</t>
    <phoneticPr fontId="3" type="noConversion"/>
  </si>
  <si>
    <t>26-0510</t>
    <phoneticPr fontId="3" type="noConversion"/>
  </si>
  <si>
    <t>26-0924</t>
    <phoneticPr fontId="3" type="noConversion"/>
  </si>
  <si>
    <t>26-0510</t>
    <phoneticPr fontId="3" type="noConversion"/>
  </si>
  <si>
    <t>로이재단</t>
    <phoneticPr fontId="3" type="noConversion"/>
  </si>
  <si>
    <t>26-0556</t>
    <phoneticPr fontId="3" type="noConversion"/>
  </si>
  <si>
    <t>태영-부산</t>
    <phoneticPr fontId="3" type="noConversion"/>
  </si>
  <si>
    <t>8.76(4cl+0.76+4cl)접합+5로이</t>
    <phoneticPr fontId="3" type="noConversion"/>
  </si>
  <si>
    <t>26-0557</t>
    <phoneticPr fontId="3" type="noConversion"/>
  </si>
  <si>
    <t>26-0558</t>
    <phoneticPr fontId="3" type="noConversion"/>
  </si>
  <si>
    <t>26-0559</t>
    <phoneticPr fontId="3" type="noConversion"/>
  </si>
  <si>
    <t>26-0556</t>
    <phoneticPr fontId="3" type="noConversion"/>
  </si>
  <si>
    <t>태영-부산</t>
    <phoneticPr fontId="3" type="noConversion"/>
  </si>
  <si>
    <t>5CLh/s+5로이</t>
    <phoneticPr fontId="3" type="noConversion"/>
  </si>
  <si>
    <t>8.76투명접합+5로이h/s+5로이</t>
    <phoneticPr fontId="3" type="noConversion"/>
  </si>
  <si>
    <t>26-0557</t>
    <phoneticPr fontId="3" type="noConversion"/>
  </si>
  <si>
    <t>26-0558</t>
    <phoneticPr fontId="3" type="noConversion"/>
  </si>
  <si>
    <t>26-0559</t>
    <phoneticPr fontId="3" type="noConversion"/>
  </si>
  <si>
    <t>5마스터원</t>
    <phoneticPr fontId="3" type="noConversion"/>
  </si>
  <si>
    <r>
      <t>26-0556, 0557, 0558, 0559 [</t>
    </r>
    <r>
      <rPr>
        <b/>
        <sz val="10"/>
        <color theme="1"/>
        <rFont val="맑은 고딕"/>
        <family val="3"/>
        <charset val="129"/>
        <scheme val="minor"/>
      </rPr>
      <t>5로이</t>
    </r>
    <r>
      <rPr>
        <sz val="10"/>
        <color theme="1"/>
        <rFont val="맑은 고딕"/>
        <family val="3"/>
        <charset val="129"/>
        <scheme val="minor"/>
      </rPr>
      <t>] 같이 재단</t>
    </r>
    <phoneticPr fontId="3" type="noConversion"/>
  </si>
  <si>
    <r>
      <t>26-0556, 0557, 0558, 0559 [</t>
    </r>
    <r>
      <rPr>
        <b/>
        <sz val="10"/>
        <color theme="1"/>
        <rFont val="맑은 고딕"/>
        <family val="3"/>
        <charset val="129"/>
        <scheme val="minor"/>
      </rPr>
      <t>5로이h/s]</t>
    </r>
    <r>
      <rPr>
        <sz val="10"/>
        <color theme="1"/>
        <rFont val="맑은 고딕"/>
        <family val="3"/>
        <charset val="129"/>
        <scheme val="minor"/>
      </rPr>
      <t xml:space="preserve"> 같이 재단</t>
    </r>
    <phoneticPr fontId="3" type="noConversion"/>
  </si>
  <si>
    <t>5CL</t>
    <phoneticPr fontId="3" type="noConversion"/>
  </si>
  <si>
    <r>
      <t>26-0556, 0557, 0558, 0559 [</t>
    </r>
    <r>
      <rPr>
        <b/>
        <sz val="10"/>
        <color theme="1"/>
        <rFont val="맑은 고딕"/>
        <family val="3"/>
        <charset val="129"/>
        <scheme val="minor"/>
      </rPr>
      <t>5CLh/s</t>
    </r>
    <r>
      <rPr>
        <sz val="10"/>
        <color theme="1"/>
        <rFont val="맑은 고딕"/>
        <family val="3"/>
        <charset val="129"/>
        <scheme val="minor"/>
      </rPr>
      <t>] 같이 재단</t>
    </r>
    <phoneticPr fontId="3" type="noConversion"/>
  </si>
  <si>
    <t>26-0538</t>
    <phoneticPr fontId="3" type="noConversion"/>
  </si>
  <si>
    <t>이랜드-수원남문</t>
    <phoneticPr fontId="3" type="noConversion"/>
  </si>
  <si>
    <t>5CL+5로이</t>
    <phoneticPr fontId="3" type="noConversion"/>
  </si>
  <si>
    <t>26-0701</t>
    <phoneticPr fontId="3" type="noConversion"/>
  </si>
  <si>
    <t>동일유리</t>
    <phoneticPr fontId="3" type="noConversion"/>
  </si>
  <si>
    <t>5CL+5Dura max</t>
    <phoneticPr fontId="3" type="noConversion"/>
  </si>
  <si>
    <t>오도시</t>
    <phoneticPr fontId="3" type="noConversion"/>
  </si>
  <si>
    <t>5DURA MAX(비강화용)</t>
    <phoneticPr fontId="3" type="noConversion"/>
  </si>
  <si>
    <t>1번, 2번 같이재단</t>
    <phoneticPr fontId="3" type="noConversion"/>
  </si>
  <si>
    <t>8T 투명강화</t>
    <phoneticPr fontId="3" type="noConversion"/>
  </si>
  <si>
    <t>8CL</t>
    <phoneticPr fontId="3" type="noConversion"/>
  </si>
  <si>
    <t>10T 투명강화</t>
    <phoneticPr fontId="3" type="noConversion"/>
  </si>
  <si>
    <t>10CL</t>
    <phoneticPr fontId="3" type="noConversion"/>
  </si>
  <si>
    <t>12T 투명강화</t>
    <phoneticPr fontId="3" type="noConversion"/>
  </si>
  <si>
    <t>12CL</t>
    <phoneticPr fontId="3" type="noConversion"/>
  </si>
  <si>
    <t>5T 투명배강도</t>
    <phoneticPr fontId="3" type="noConversion"/>
  </si>
  <si>
    <t>오도시</t>
    <phoneticPr fontId="3" type="noConversion"/>
  </si>
  <si>
    <t>6T 투명배강도</t>
    <phoneticPr fontId="3" type="noConversion"/>
  </si>
  <si>
    <t>26-0931</t>
    <phoneticPr fontId="3" type="noConversion"/>
  </si>
  <si>
    <t>현.산-신월2</t>
    <phoneticPr fontId="3" type="noConversion"/>
  </si>
  <si>
    <t>8T 투명강화</t>
    <phoneticPr fontId="3" type="noConversion"/>
  </si>
  <si>
    <t>8CL</t>
    <phoneticPr fontId="3" type="noConversion"/>
  </si>
  <si>
    <t>26-0940</t>
    <phoneticPr fontId="3" type="noConversion"/>
  </si>
  <si>
    <t>이랜드-수원남문</t>
    <phoneticPr fontId="3" type="noConversion"/>
  </si>
  <si>
    <t>5T 투명</t>
    <phoneticPr fontId="3" type="noConversion"/>
  </si>
  <si>
    <t>26-0930</t>
    <phoneticPr fontId="3" type="noConversion"/>
  </si>
  <si>
    <t>현.엔-아산모종</t>
    <phoneticPr fontId="3" type="noConversion"/>
  </si>
  <si>
    <t>5CL+5로이</t>
    <phoneticPr fontId="3" type="noConversion"/>
  </si>
  <si>
    <t>5마스터원</t>
    <phoneticPr fontId="3" type="noConversion"/>
  </si>
  <si>
    <t>26-0930 투명 같이 재단</t>
    <phoneticPr fontId="3" type="noConversion"/>
  </si>
  <si>
    <t>26-0940 투명 같이 재단</t>
    <phoneticPr fontId="3" type="noConversion"/>
  </si>
  <si>
    <t>계룡-KT인재</t>
    <phoneticPr fontId="3" type="noConversion"/>
  </si>
  <si>
    <t>6CL+6로이</t>
    <phoneticPr fontId="3" type="noConversion"/>
  </si>
  <si>
    <t>26-0511</t>
    <phoneticPr fontId="3" type="noConversion"/>
  </si>
  <si>
    <t>5CL+5로이</t>
    <phoneticPr fontId="3" type="noConversion"/>
  </si>
  <si>
    <t>5CL</t>
    <phoneticPr fontId="3" type="noConversion"/>
  </si>
  <si>
    <t>5DURA MAX(비강화용)</t>
    <phoneticPr fontId="3" type="noConversion"/>
  </si>
  <si>
    <t>6CL+6로이</t>
    <phoneticPr fontId="3" type="noConversion"/>
  </si>
  <si>
    <t>6DURA MAX(비강화용)</t>
    <phoneticPr fontId="3" type="noConversion"/>
  </si>
  <si>
    <t>투명재단</t>
    <phoneticPr fontId="3" type="noConversion"/>
  </si>
  <si>
    <t>26-0498</t>
    <phoneticPr fontId="3" type="noConversion"/>
  </si>
  <si>
    <t>대우-청주테크노</t>
    <phoneticPr fontId="3" type="noConversion"/>
  </si>
  <si>
    <t>5CL+5로이</t>
    <phoneticPr fontId="3" type="noConversion"/>
  </si>
  <si>
    <t>5CL</t>
    <phoneticPr fontId="3" type="noConversion"/>
  </si>
  <si>
    <t>투명재단</t>
    <phoneticPr fontId="3" type="noConversion"/>
  </si>
  <si>
    <t>26-0941</t>
    <phoneticPr fontId="3" type="noConversion"/>
  </si>
  <si>
    <t>6SKN154+6BL</t>
    <phoneticPr fontId="3" type="noConversion"/>
  </si>
  <si>
    <t>오도시</t>
    <phoneticPr fontId="3" type="noConversion"/>
  </si>
  <si>
    <t>26-0931</t>
    <phoneticPr fontId="3" type="noConversion"/>
  </si>
  <si>
    <t>현.산-신월2</t>
    <phoneticPr fontId="3" type="noConversion"/>
  </si>
  <si>
    <t>6ONE+6CL</t>
    <phoneticPr fontId="3" type="noConversion"/>
  </si>
  <si>
    <t>6ONE</t>
    <phoneticPr fontId="3" type="noConversion"/>
  </si>
  <si>
    <t>26-0938</t>
    <phoneticPr fontId="3" type="noConversion"/>
  </si>
  <si>
    <t>7T 투명망입</t>
    <phoneticPr fontId="3" type="noConversion"/>
  </si>
  <si>
    <t>5ONE</t>
    <phoneticPr fontId="3" type="noConversion"/>
  </si>
  <si>
    <t>5T CLh/s</t>
    <phoneticPr fontId="3" type="noConversion"/>
  </si>
  <si>
    <t>2번, 3번 투명 같이 재단</t>
    <phoneticPr fontId="3" type="noConversion"/>
  </si>
  <si>
    <t>26-0942</t>
    <phoneticPr fontId="3" type="noConversion"/>
  </si>
  <si>
    <t>한우창호</t>
    <phoneticPr fontId="3" type="noConversion"/>
  </si>
  <si>
    <t>5ONEIIh/s+5CLh/s+5ONEIIh/s</t>
    <phoneticPr fontId="3" type="noConversion"/>
  </si>
  <si>
    <t>5ONEII</t>
    <phoneticPr fontId="3" type="noConversion"/>
  </si>
  <si>
    <t>26-0943</t>
    <phoneticPr fontId="3" type="noConversion"/>
  </si>
  <si>
    <t>26-0538</t>
    <phoneticPr fontId="3" type="noConversion"/>
  </si>
  <si>
    <t>이랜드-수원남문</t>
    <phoneticPr fontId="3" type="noConversion"/>
  </si>
  <si>
    <t>5CL+5로이</t>
    <phoneticPr fontId="3" type="noConversion"/>
  </si>
  <si>
    <t>5CL</t>
    <phoneticPr fontId="3" type="noConversion"/>
  </si>
  <si>
    <t>26-0498</t>
    <phoneticPr fontId="3" type="noConversion"/>
  </si>
  <si>
    <t>대우-청주테크노</t>
    <phoneticPr fontId="3" type="noConversion"/>
  </si>
  <si>
    <t>5CL+5로이</t>
    <phoneticPr fontId="3" type="noConversion"/>
  </si>
  <si>
    <t>파워소프트</t>
    <phoneticPr fontId="3" type="noConversion"/>
  </si>
  <si>
    <t>로이 재단</t>
    <phoneticPr fontId="3" type="noConversion"/>
  </si>
  <si>
    <t>26-0956</t>
    <phoneticPr fontId="3" type="noConversion"/>
  </si>
  <si>
    <t>현대샷시</t>
    <phoneticPr fontId="3" type="noConversion"/>
  </si>
  <si>
    <t>5ML+5DURA MAX</t>
    <phoneticPr fontId="3" type="noConversion"/>
  </si>
  <si>
    <t>5DURA MAX(비강화용)</t>
    <phoneticPr fontId="3" type="noConversion"/>
  </si>
  <si>
    <t>5CL</t>
    <phoneticPr fontId="3" type="noConversion"/>
  </si>
  <si>
    <t>1번, 2번 DURA MAX(비강화용) 같이 재단</t>
    <phoneticPr fontId="3" type="noConversion"/>
  </si>
  <si>
    <t>2번 투명 재단</t>
    <phoneticPr fontId="3" type="noConversion"/>
  </si>
  <si>
    <t>26-0538</t>
    <phoneticPr fontId="3" type="noConversion"/>
  </si>
  <si>
    <t>이랜드-수원남문</t>
    <phoneticPr fontId="3" type="noConversion"/>
  </si>
  <si>
    <t>5CL+5로이</t>
    <phoneticPr fontId="3" type="noConversion"/>
  </si>
  <si>
    <t>26-0539</t>
    <phoneticPr fontId="3" type="noConversion"/>
  </si>
  <si>
    <t>26-0556</t>
    <phoneticPr fontId="3" type="noConversion"/>
  </si>
  <si>
    <t>태영-부산</t>
    <phoneticPr fontId="3" type="noConversion"/>
  </si>
  <si>
    <t>5DURA MAX(비강화용)</t>
    <phoneticPr fontId="3" type="noConversion"/>
  </si>
  <si>
    <t>5ML</t>
    <phoneticPr fontId="3" type="noConversion"/>
  </si>
  <si>
    <t>오도시</t>
    <phoneticPr fontId="3" type="noConversion"/>
  </si>
  <si>
    <t>투명재단 - 1번재단</t>
    <phoneticPr fontId="3" type="noConversion"/>
  </si>
  <si>
    <t>투명재단 - 2~4번 재단</t>
    <phoneticPr fontId="3" type="noConversion"/>
  </si>
  <si>
    <t>로이재단 - 1번 88조 중 40조 재단</t>
    <phoneticPr fontId="3" type="noConversion"/>
  </si>
  <si>
    <t>로이재단 - 1번 88조 중 48조, 2~4번 재단</t>
    <phoneticPr fontId="3" type="noConversion"/>
  </si>
  <si>
    <t>5DURA MAX(비강화용)</t>
    <phoneticPr fontId="3" type="noConversion"/>
  </si>
  <si>
    <t>로이재단</t>
    <phoneticPr fontId="3" type="noConversion"/>
  </si>
  <si>
    <t>26-0786</t>
    <phoneticPr fontId="3" type="noConversion"/>
  </si>
  <si>
    <t>현엔-화성기아</t>
    <phoneticPr fontId="3" type="noConversion"/>
  </si>
  <si>
    <t>5BLH/S+5로이H/S</t>
    <phoneticPr fontId="3" type="noConversion"/>
  </si>
  <si>
    <t>5마스터원</t>
    <phoneticPr fontId="3" type="noConversion"/>
  </si>
  <si>
    <t>로이재단 - 강화불량</t>
    <phoneticPr fontId="3" type="noConversion"/>
  </si>
  <si>
    <t>5BL</t>
    <phoneticPr fontId="3" type="noConversion"/>
  </si>
  <si>
    <t>블루재단 - 강화불량</t>
    <phoneticPr fontId="3" type="noConversion"/>
  </si>
  <si>
    <t>26-0732</t>
    <phoneticPr fontId="3" type="noConversion"/>
  </si>
  <si>
    <t>우미-남원주</t>
    <phoneticPr fontId="3" type="noConversion"/>
  </si>
  <si>
    <t>5newGN+5로이</t>
    <phoneticPr fontId="3" type="noConversion"/>
  </si>
  <si>
    <t>5NX</t>
    <phoneticPr fontId="3" type="noConversion"/>
  </si>
  <si>
    <t>5CL+5로이</t>
    <phoneticPr fontId="3" type="noConversion"/>
  </si>
  <si>
    <t>야간</t>
    <phoneticPr fontId="3" type="noConversion"/>
  </si>
  <si>
    <t>26-0558</t>
    <phoneticPr fontId="3" type="noConversion"/>
  </si>
  <si>
    <t>태영-부산</t>
    <phoneticPr fontId="3" type="noConversion"/>
  </si>
  <si>
    <t>5CL</t>
    <phoneticPr fontId="3" type="noConversion"/>
  </si>
  <si>
    <t>26-0557</t>
    <phoneticPr fontId="3" type="noConversion"/>
  </si>
  <si>
    <t>26-0957</t>
    <phoneticPr fontId="3" type="noConversion"/>
  </si>
  <si>
    <t>케이씨씨-여의도</t>
    <phoneticPr fontId="3" type="noConversion"/>
  </si>
  <si>
    <t>5MVT172+5CL</t>
    <phoneticPr fontId="3" type="noConversion"/>
  </si>
  <si>
    <t>5MVT172</t>
    <phoneticPr fontId="3" type="noConversion"/>
  </si>
  <si>
    <t>26-0912</t>
    <phoneticPr fontId="3" type="noConversion"/>
  </si>
  <si>
    <t>5MVT172H/S+5CLH/S</t>
    <phoneticPr fontId="3" type="noConversion"/>
  </si>
  <si>
    <t>26-0943</t>
    <phoneticPr fontId="3" type="noConversion"/>
  </si>
  <si>
    <t>한우창호</t>
    <phoneticPr fontId="3" type="noConversion"/>
  </si>
  <si>
    <t>5ONEIIH/S+5CLH/S+5ONEIIH/S</t>
    <phoneticPr fontId="3" type="noConversion"/>
  </si>
  <si>
    <t>5PLAONEII</t>
    <phoneticPr fontId="3" type="noConversion"/>
  </si>
  <si>
    <t>강화불량</t>
    <phoneticPr fontId="3" type="noConversion"/>
  </si>
  <si>
    <t>26-0914</t>
    <phoneticPr fontId="3" type="noConversion"/>
  </si>
  <si>
    <t>5로이+5CLH/S+5CL</t>
    <phoneticPr fontId="3" type="noConversion"/>
  </si>
  <si>
    <t>강화용 투명재단</t>
    <phoneticPr fontId="3" type="noConversion"/>
  </si>
  <si>
    <t>26-0913</t>
    <phoneticPr fontId="3" type="noConversion"/>
  </si>
  <si>
    <t>26-0559</t>
    <phoneticPr fontId="3" type="noConversion"/>
  </si>
  <si>
    <t>투명재단</t>
    <phoneticPr fontId="3" type="noConversion"/>
  </si>
  <si>
    <t>5CL</t>
    <phoneticPr fontId="3" type="noConversion"/>
  </si>
  <si>
    <t>투명재단</t>
    <phoneticPr fontId="3" type="noConversion"/>
  </si>
  <si>
    <t>26-0734</t>
    <phoneticPr fontId="3" type="noConversion"/>
  </si>
  <si>
    <t>26-0559</t>
    <phoneticPr fontId="3" type="noConversion"/>
  </si>
  <si>
    <t>태영-부산</t>
    <phoneticPr fontId="3" type="noConversion"/>
  </si>
  <si>
    <t>로이재단</t>
    <phoneticPr fontId="3" type="noConversion"/>
  </si>
  <si>
    <t>26-0711</t>
    <phoneticPr fontId="3" type="noConversion"/>
  </si>
  <si>
    <t>신동아-건강보험</t>
    <phoneticPr fontId="3" type="noConversion"/>
  </si>
  <si>
    <t>6MZT128H/S+6CLH/S</t>
    <phoneticPr fontId="3" type="noConversion"/>
  </si>
  <si>
    <t>6MZT128H/S+6CL</t>
    <phoneticPr fontId="3" type="noConversion"/>
  </si>
  <si>
    <t>6CL</t>
    <phoneticPr fontId="3" type="noConversion"/>
  </si>
  <si>
    <t>26-0733</t>
    <phoneticPr fontId="3" type="noConversion"/>
  </si>
  <si>
    <t>26-0965</t>
    <phoneticPr fontId="3" type="noConversion"/>
  </si>
  <si>
    <t>5브론즈</t>
    <phoneticPr fontId="3" type="noConversion"/>
  </si>
  <si>
    <t>5BZ+5CL</t>
    <phoneticPr fontId="3" type="noConversion"/>
  </si>
  <si>
    <t>26-0958</t>
    <phoneticPr fontId="3" type="noConversion"/>
  </si>
  <si>
    <t>26-0966</t>
    <phoneticPr fontId="3" type="noConversion"/>
  </si>
  <si>
    <t>26-0964</t>
    <phoneticPr fontId="3" type="noConversion"/>
  </si>
  <si>
    <t>26-0966, 0964 같이재단</t>
    <phoneticPr fontId="3" type="noConversion"/>
  </si>
  <si>
    <t>26-0735</t>
    <phoneticPr fontId="3" type="noConversion"/>
  </si>
  <si>
    <t>로이, 비강화용 투명재단</t>
    <phoneticPr fontId="3" type="noConversion"/>
  </si>
  <si>
    <t>26-0712</t>
    <phoneticPr fontId="3" type="noConversion"/>
  </si>
  <si>
    <t>26-0955</t>
    <phoneticPr fontId="3" type="noConversion"/>
  </si>
  <si>
    <t>현엔-화성기아</t>
    <phoneticPr fontId="3" type="noConversion"/>
  </si>
  <si>
    <t>5BLH/S+5로이</t>
    <phoneticPr fontId="3" type="noConversion"/>
  </si>
  <si>
    <t>5BLH/S+5로이스텝</t>
    <phoneticPr fontId="3" type="noConversion"/>
  </si>
  <si>
    <t>5BLH/S+5로이H/S이형</t>
    <phoneticPr fontId="3" type="noConversion"/>
  </si>
  <si>
    <t>5BLH/S+5로이H/S</t>
    <phoneticPr fontId="3" type="noConversion"/>
  </si>
  <si>
    <t>5BL</t>
    <phoneticPr fontId="3" type="noConversion"/>
  </si>
  <si>
    <t>5마스터원</t>
    <phoneticPr fontId="3" type="noConversion"/>
  </si>
  <si>
    <t>26-0706</t>
    <phoneticPr fontId="3" type="noConversion"/>
  </si>
  <si>
    <t>동부-삼성메디슨</t>
    <phoneticPr fontId="3" type="noConversion"/>
  </si>
  <si>
    <t>5MZT128H/S+5CL</t>
    <phoneticPr fontId="3" type="noConversion"/>
  </si>
  <si>
    <t>5CL</t>
    <phoneticPr fontId="3" type="noConversion"/>
  </si>
  <si>
    <t>투명재단</t>
    <phoneticPr fontId="3" type="noConversion"/>
  </si>
  <si>
    <t>26-0705</t>
    <phoneticPr fontId="3" type="noConversion"/>
  </si>
  <si>
    <t>5MZT128H/S+5CLH/S</t>
    <phoneticPr fontId="3" type="noConversion"/>
  </si>
  <si>
    <t>26-0675</t>
    <phoneticPr fontId="3" type="noConversion"/>
  </si>
  <si>
    <t>신동아-건강보험</t>
    <phoneticPr fontId="3" type="noConversion"/>
  </si>
  <si>
    <t>6MZT128H/S+6CLH/S</t>
    <phoneticPr fontId="3" type="noConversion"/>
  </si>
  <si>
    <t>6MZT128H/S+6CL</t>
    <phoneticPr fontId="3" type="noConversion"/>
  </si>
  <si>
    <t>6MZT128</t>
  </si>
  <si>
    <t>로이재단</t>
    <phoneticPr fontId="3" type="noConversion"/>
  </si>
  <si>
    <t>26-0738</t>
    <phoneticPr fontId="3" type="noConversion"/>
  </si>
  <si>
    <t>26-0737</t>
    <phoneticPr fontId="3" type="noConversion"/>
  </si>
  <si>
    <t>26-0736</t>
    <phoneticPr fontId="3" type="noConversion"/>
  </si>
  <si>
    <t>26-0944</t>
    <phoneticPr fontId="3" type="noConversion"/>
  </si>
  <si>
    <t>재일-인천</t>
    <phoneticPr fontId="3" type="noConversion"/>
  </si>
  <si>
    <t>26-0945</t>
    <phoneticPr fontId="3" type="noConversion"/>
  </si>
  <si>
    <t>26-0739</t>
    <phoneticPr fontId="3" type="noConversion"/>
  </si>
  <si>
    <t>26-0740</t>
    <phoneticPr fontId="3" type="noConversion"/>
  </si>
  <si>
    <t>로이재단</t>
    <phoneticPr fontId="3" type="noConversion"/>
  </si>
  <si>
    <t>26-0945</t>
    <phoneticPr fontId="3" type="noConversion"/>
  </si>
  <si>
    <t>5CL</t>
    <phoneticPr fontId="3" type="noConversion"/>
  </si>
  <si>
    <t>26-0954</t>
    <phoneticPr fontId="3" type="noConversion"/>
  </si>
  <si>
    <t>세지-음성</t>
    <phoneticPr fontId="3" type="noConversion"/>
  </si>
  <si>
    <t>5SKN154IIH/S+5CL</t>
    <phoneticPr fontId="3" type="noConversion"/>
  </si>
  <si>
    <t>5SKN154II</t>
    <phoneticPr fontId="3" type="noConversion"/>
  </si>
  <si>
    <t>5CL</t>
    <phoneticPr fontId="3" type="noConversion"/>
  </si>
  <si>
    <t>26-0953</t>
    <phoneticPr fontId="3" type="noConversion"/>
  </si>
  <si>
    <t>26-0741</t>
    <phoneticPr fontId="3" type="noConversion"/>
  </si>
  <si>
    <t>그린재단</t>
    <phoneticPr fontId="3" type="noConversion"/>
  </si>
  <si>
    <t>26-0952</t>
    <phoneticPr fontId="3" type="noConversion"/>
  </si>
  <si>
    <t>투면재단</t>
    <phoneticPr fontId="3" type="noConversion"/>
  </si>
  <si>
    <t>26-0969</t>
    <phoneticPr fontId="3" type="noConversion"/>
  </si>
  <si>
    <t>현대샷시</t>
    <phoneticPr fontId="3" type="noConversion"/>
  </si>
  <si>
    <t>5newGN+5CL</t>
    <phoneticPr fontId="3" type="noConversion"/>
  </si>
  <si>
    <t>5NX</t>
    <phoneticPr fontId="3" type="noConversion"/>
  </si>
  <si>
    <t>6CL</t>
    <phoneticPr fontId="3" type="noConversion"/>
  </si>
  <si>
    <t>투명재단</t>
    <phoneticPr fontId="3" type="noConversion"/>
  </si>
  <si>
    <t>26-0757</t>
    <phoneticPr fontId="3" type="noConversion"/>
  </si>
  <si>
    <t>26-0424</t>
    <phoneticPr fontId="3" type="noConversion"/>
  </si>
  <si>
    <t>대원-용인</t>
    <phoneticPr fontId="3" type="noConversion"/>
  </si>
  <si>
    <t>5CL+5로이</t>
    <phoneticPr fontId="3" type="noConversion"/>
  </si>
  <si>
    <t>26-0758</t>
    <phoneticPr fontId="3" type="noConversion"/>
  </si>
  <si>
    <t>5MZT128</t>
    <phoneticPr fontId="3" type="noConversion"/>
  </si>
  <si>
    <t>동부-삼성</t>
    <phoneticPr fontId="3" type="noConversion"/>
  </si>
  <si>
    <t>26-0707</t>
    <phoneticPr fontId="3" type="noConversion"/>
  </si>
  <si>
    <t>26-0923</t>
    <phoneticPr fontId="3" type="noConversion"/>
  </si>
  <si>
    <t>5MZT128H/S+5CLH/S(스텝)</t>
    <phoneticPr fontId="3" type="noConversion"/>
  </si>
  <si>
    <t>26-0707, 0923 같이재단</t>
    <phoneticPr fontId="3" type="noConversion"/>
  </si>
  <si>
    <t>26-0841</t>
    <phoneticPr fontId="3" type="noConversion"/>
  </si>
  <si>
    <t>26-0980</t>
    <phoneticPr fontId="3" type="noConversion"/>
  </si>
  <si>
    <t>남북공업사</t>
    <phoneticPr fontId="3" type="noConversion"/>
  </si>
  <si>
    <t>5newGN+5CL</t>
    <phoneticPr fontId="3" type="noConversion"/>
  </si>
  <si>
    <t>오도시</t>
    <phoneticPr fontId="3" type="noConversion"/>
  </si>
  <si>
    <t>26-0971</t>
    <phoneticPr fontId="3" type="noConversion"/>
  </si>
  <si>
    <t>활림-아산</t>
    <phoneticPr fontId="3" type="noConversion"/>
  </si>
  <si>
    <t>10투명강화</t>
    <phoneticPr fontId="3" type="noConversion"/>
  </si>
  <si>
    <t>26-0979</t>
    <phoneticPr fontId="3" type="noConversion"/>
  </si>
  <si>
    <t>인성-청주신협</t>
    <phoneticPr fontId="3" type="noConversion"/>
  </si>
  <si>
    <t>26-0968</t>
    <phoneticPr fontId="3" type="noConversion"/>
  </si>
  <si>
    <t>게룡-원주의료원</t>
    <phoneticPr fontId="3" type="noConversion"/>
  </si>
  <si>
    <t>8투명강화</t>
    <phoneticPr fontId="3" type="noConversion"/>
  </si>
  <si>
    <t>8CL</t>
    <phoneticPr fontId="3" type="noConversion"/>
  </si>
  <si>
    <t>26-0972</t>
    <phoneticPr fontId="3" type="noConversion"/>
  </si>
  <si>
    <t>인종합-이노레스</t>
    <phoneticPr fontId="3" type="noConversion"/>
  </si>
  <si>
    <t>12투명강화</t>
    <phoneticPr fontId="3" type="noConversion"/>
  </si>
  <si>
    <t>12CL</t>
    <phoneticPr fontId="3" type="noConversion"/>
  </si>
  <si>
    <t>26-0841</t>
    <phoneticPr fontId="3" type="noConversion"/>
  </si>
  <si>
    <t>정석-청주테크노</t>
    <phoneticPr fontId="3" type="noConversion"/>
  </si>
  <si>
    <t>5CL+5DURA MAX</t>
    <phoneticPr fontId="3" type="noConversion"/>
  </si>
  <si>
    <t>5CL</t>
    <phoneticPr fontId="3" type="noConversion"/>
  </si>
  <si>
    <t>5DURA MAX</t>
    <phoneticPr fontId="3" type="noConversion"/>
  </si>
  <si>
    <t>정석개발 원판 사용</t>
    <phoneticPr fontId="3" type="noConversion"/>
  </si>
  <si>
    <t>26-0842</t>
    <phoneticPr fontId="3" type="noConversion"/>
  </si>
  <si>
    <t>야간</t>
    <phoneticPr fontId="3" type="noConversion"/>
  </si>
  <si>
    <t>5SKN154+5CL이형</t>
    <phoneticPr fontId="3" type="noConversion"/>
  </si>
  <si>
    <t>5SKN154+5CL</t>
    <phoneticPr fontId="3" type="noConversion"/>
  </si>
  <si>
    <t>5SKN154</t>
    <phoneticPr fontId="3" type="noConversion"/>
  </si>
  <si>
    <t>6SKN154IIH/S+6CL</t>
    <phoneticPr fontId="3" type="noConversion"/>
  </si>
  <si>
    <t>계룡-원주의료원</t>
    <phoneticPr fontId="3" type="noConversion"/>
  </si>
  <si>
    <t>5SKN154IIH/S+5CL</t>
    <phoneticPr fontId="3" type="noConversion"/>
  </si>
  <si>
    <t>26-0981</t>
    <phoneticPr fontId="3" type="noConversion"/>
  </si>
  <si>
    <t>신동아-하나은행</t>
    <phoneticPr fontId="3" type="noConversion"/>
  </si>
  <si>
    <t>6SKN176IIH/S+6CL</t>
    <phoneticPr fontId="3" type="noConversion"/>
  </si>
  <si>
    <t>6SKN176II</t>
    <phoneticPr fontId="3" type="noConversion"/>
  </si>
  <si>
    <t>6CL</t>
    <phoneticPr fontId="3" type="noConversion"/>
  </si>
  <si>
    <t>26-0982</t>
    <phoneticPr fontId="3" type="noConversion"/>
  </si>
  <si>
    <t>5SKN176IIH/S+5CLH/S+5ONEIIH/S</t>
    <phoneticPr fontId="3" type="noConversion"/>
  </si>
  <si>
    <t>5SKN176IIH/S+9.52투명배강도접합+5ONEIIH/S</t>
    <phoneticPr fontId="3" type="noConversion"/>
  </si>
  <si>
    <t>5SKN176II</t>
    <phoneticPr fontId="3" type="noConversion"/>
  </si>
  <si>
    <t>5PLAONEII</t>
    <phoneticPr fontId="3" type="noConversion"/>
  </si>
  <si>
    <t>26-0946</t>
    <phoneticPr fontId="3" type="noConversion"/>
  </si>
  <si>
    <t>6SKN176IIH/S+9.52투명배강도접합</t>
    <phoneticPr fontId="3" type="noConversion"/>
  </si>
  <si>
    <t>26-0914</t>
    <phoneticPr fontId="3" type="noConversion"/>
  </si>
  <si>
    <t>케이씨씨-여의도</t>
    <phoneticPr fontId="3" type="noConversion"/>
  </si>
  <si>
    <t>5로이+5CLH/S+5CL</t>
    <phoneticPr fontId="3" type="noConversion"/>
  </si>
  <si>
    <t>강화용 투명재단 - 오도시 강화불량</t>
    <phoneticPr fontId="3" type="noConversion"/>
  </si>
  <si>
    <t>26-0913</t>
    <phoneticPr fontId="3" type="noConversion"/>
  </si>
  <si>
    <t>26-0762</t>
    <phoneticPr fontId="3" type="noConversion"/>
  </si>
  <si>
    <t>신동아-건강보험</t>
    <phoneticPr fontId="3" type="noConversion"/>
  </si>
  <si>
    <t>6MZT128H/S+6CLH/S</t>
    <phoneticPr fontId="3" type="noConversion"/>
  </si>
  <si>
    <t>6MZT128H/S+6CL</t>
    <phoneticPr fontId="3" type="noConversion"/>
  </si>
  <si>
    <t>투명재단</t>
    <phoneticPr fontId="3" type="noConversion"/>
  </si>
  <si>
    <t>26-0763</t>
    <phoneticPr fontId="3" type="noConversion"/>
  </si>
  <si>
    <t>인종합-이노레스</t>
    <phoneticPr fontId="3" type="noConversion"/>
  </si>
  <si>
    <t>26-0947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</si>
  <si>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</si>
  <si>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</si>
  <si>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</si>
  <si>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5CL</t>
    <phoneticPr fontId="3" type="noConversion"/>
  </si>
  <si>
    <t>5DURA MAX(비강화용)</t>
    <phoneticPr fontId="3" type="noConversion"/>
  </si>
  <si>
    <t>투명재단</t>
    <phoneticPr fontId="3" type="noConversion"/>
  </si>
  <si>
    <t>26-0711</t>
    <phoneticPr fontId="3" type="noConversion"/>
  </si>
  <si>
    <t>신동아-건강보험</t>
    <phoneticPr fontId="3" type="noConversion"/>
  </si>
  <si>
    <t>로이재단</t>
    <phoneticPr fontId="3" type="noConversion"/>
  </si>
  <si>
    <t>26-0561</t>
    <phoneticPr fontId="3" type="noConversion"/>
  </si>
  <si>
    <t>태영-부산</t>
    <phoneticPr fontId="3" type="noConversion"/>
  </si>
  <si>
    <t>(4CL+4CL)+5로이</t>
    <phoneticPr fontId="3" type="noConversion"/>
  </si>
  <si>
    <t>5CLH/S+5로이</t>
    <phoneticPr fontId="3" type="noConversion"/>
  </si>
  <si>
    <t>8.76투명접합+5로이H/S+5로이</t>
    <phoneticPr fontId="3" type="noConversion"/>
  </si>
  <si>
    <t>26-0560</t>
    <phoneticPr fontId="3" type="noConversion"/>
  </si>
  <si>
    <t>26-0561, 0560 같이재단</t>
    <phoneticPr fontId="3" type="noConversion"/>
  </si>
  <si>
    <t>5마스터원</t>
    <phoneticPr fontId="3" type="noConversion"/>
  </si>
  <si>
    <t>26-0949</t>
    <phoneticPr fontId="3" type="noConversion"/>
  </si>
  <si>
    <t>금호-서울대방</t>
    <phoneticPr fontId="3" type="noConversion"/>
  </si>
  <si>
    <t>26-0948</t>
    <phoneticPr fontId="3" type="noConversion"/>
  </si>
  <si>
    <t>26-0950</t>
    <phoneticPr fontId="3" type="noConversion"/>
  </si>
  <si>
    <t>26-0995</t>
    <phoneticPr fontId="3" type="noConversion"/>
  </si>
  <si>
    <t>동일유리</t>
    <phoneticPr fontId="3" type="noConversion"/>
  </si>
  <si>
    <t>5newGN+5CL</t>
    <phoneticPr fontId="3" type="noConversion"/>
  </si>
  <si>
    <t>5NX</t>
    <phoneticPr fontId="3" type="noConversion"/>
  </si>
  <si>
    <t>5CL</t>
    <phoneticPr fontId="3" type="noConversion"/>
  </si>
  <si>
    <t>26-0950</t>
    <phoneticPr fontId="3" type="noConversion"/>
  </si>
  <si>
    <t>금호-서울대방</t>
    <phoneticPr fontId="3" type="noConversion"/>
  </si>
  <si>
    <t>그린재단</t>
    <phoneticPr fontId="3" type="noConversion"/>
  </si>
  <si>
    <t>26-0951</t>
    <phoneticPr fontId="3" type="noConversion"/>
  </si>
  <si>
    <t>26-0562</t>
    <phoneticPr fontId="3" type="noConversion"/>
  </si>
  <si>
    <t>태영-부산</t>
    <phoneticPr fontId="3" type="noConversion"/>
  </si>
  <si>
    <t>26-0563</t>
    <phoneticPr fontId="3" type="noConversion"/>
  </si>
  <si>
    <t>5마스터원</t>
    <phoneticPr fontId="3" type="noConversion"/>
  </si>
  <si>
    <t>26-0562, 0563 같이재단</t>
    <phoneticPr fontId="3" type="noConversion"/>
  </si>
  <si>
    <t>26-0967</t>
    <phoneticPr fontId="3" type="noConversion"/>
  </si>
  <si>
    <t>26-1004</t>
    <phoneticPr fontId="3" type="noConversion"/>
  </si>
  <si>
    <t>26-1002</t>
    <phoneticPr fontId="3" type="noConversion"/>
  </si>
  <si>
    <t>26-0983</t>
    <phoneticPr fontId="3" type="noConversion"/>
  </si>
  <si>
    <t>5SUPER PLUS2.0</t>
    <phoneticPr fontId="3" type="noConversion"/>
  </si>
  <si>
    <t>26-0853</t>
    <phoneticPr fontId="3" type="noConversion"/>
  </si>
  <si>
    <t>그린재단 - 정석개발 원판 상용</t>
    <phoneticPr fontId="3" type="noConversion"/>
  </si>
  <si>
    <t>26-1003</t>
    <phoneticPr fontId="3" type="noConversion"/>
  </si>
  <si>
    <t>26-0564</t>
    <phoneticPr fontId="3" type="noConversion"/>
  </si>
  <si>
    <t>26-0927</t>
    <phoneticPr fontId="3" type="noConversion"/>
  </si>
  <si>
    <t>26-0926</t>
    <phoneticPr fontId="3" type="noConversion"/>
  </si>
  <si>
    <t>26-0925</t>
    <phoneticPr fontId="3" type="noConversion"/>
  </si>
  <si>
    <t>26-0564</t>
    <phoneticPr fontId="3" type="noConversion"/>
  </si>
  <si>
    <t>26-1012</t>
    <phoneticPr fontId="3" type="noConversion"/>
  </si>
  <si>
    <t>26-0861</t>
    <phoneticPr fontId="3" type="noConversion"/>
  </si>
  <si>
    <t>26-0862</t>
    <phoneticPr fontId="3" type="noConversion"/>
  </si>
  <si>
    <t>26-0928</t>
    <phoneticPr fontId="3" type="noConversion"/>
  </si>
  <si>
    <t>26-1013</t>
    <phoneticPr fontId="3" type="noConversion"/>
  </si>
  <si>
    <t>26-1014</t>
    <phoneticPr fontId="3" type="noConversion"/>
  </si>
  <si>
    <t>5MZT128</t>
  </si>
  <si>
    <t>로이재단 -강화불량 26-0705, 0706 같이 재단</t>
    <phoneticPr fontId="3" type="noConversion"/>
  </si>
  <si>
    <t>26-1049</t>
    <phoneticPr fontId="3" type="noConversion"/>
  </si>
  <si>
    <t>현대샷시</t>
    <phoneticPr fontId="3" type="noConversion"/>
  </si>
  <si>
    <t>5newGN+5CL</t>
    <phoneticPr fontId="3" type="noConversion"/>
  </si>
  <si>
    <t>26-1048</t>
    <phoneticPr fontId="3" type="noConversion"/>
  </si>
  <si>
    <t>26-1056</t>
    <phoneticPr fontId="3" type="noConversion"/>
  </si>
  <si>
    <t>1048,1056 같이재단</t>
    <phoneticPr fontId="3" type="noConversion"/>
  </si>
  <si>
    <t>26-0952</t>
    <phoneticPr fontId="3" type="noConversion"/>
  </si>
  <si>
    <t>세지-음성교육청</t>
    <phoneticPr fontId="3" type="noConversion"/>
  </si>
  <si>
    <t>5SKN154IIh/s+5CL</t>
    <phoneticPr fontId="3" type="noConversion"/>
  </si>
  <si>
    <t>26-0983</t>
    <phoneticPr fontId="3" type="noConversion"/>
  </si>
  <si>
    <t>엘엑스-DL지북</t>
    <phoneticPr fontId="3" type="noConversion"/>
  </si>
  <si>
    <t>5newGN+SuperPlus 2.0</t>
    <phoneticPr fontId="3" type="noConversion"/>
  </si>
  <si>
    <t>오도시</t>
    <phoneticPr fontId="3" type="noConversion"/>
  </si>
  <si>
    <t>26-1041</t>
    <phoneticPr fontId="3" type="noConversion"/>
  </si>
  <si>
    <t>5CLh/s+5로이</t>
    <phoneticPr fontId="3" type="noConversion"/>
  </si>
  <si>
    <t>26-1042</t>
    <phoneticPr fontId="3" type="noConversion"/>
  </si>
  <si>
    <t>현.엔-고속터미널</t>
    <phoneticPr fontId="3" type="noConversion"/>
  </si>
  <si>
    <t>5CL+5로이</t>
    <phoneticPr fontId="3" type="noConversion"/>
  </si>
  <si>
    <t>같이재단</t>
    <phoneticPr fontId="3" type="noConversion"/>
  </si>
  <si>
    <t>5마스터원</t>
    <phoneticPr fontId="3" type="noConversion"/>
  </si>
  <si>
    <t>정석-테크노</t>
    <phoneticPr fontId="3" type="noConversion"/>
  </si>
  <si>
    <t>26-0865</t>
    <phoneticPr fontId="3" type="noConversion"/>
  </si>
  <si>
    <t>5DURA MAX</t>
    <phoneticPr fontId="3" type="noConversion"/>
  </si>
  <si>
    <t>26-0866</t>
    <phoneticPr fontId="3" type="noConversion"/>
  </si>
  <si>
    <t>정석-테크노</t>
    <phoneticPr fontId="3" type="noConversion"/>
  </si>
  <si>
    <t>5CL+5DURA MAX</t>
    <phoneticPr fontId="3" type="noConversion"/>
  </si>
  <si>
    <t>26-0866</t>
    <phoneticPr fontId="3" type="noConversion"/>
  </si>
  <si>
    <t>5newGN+5DURA MAX</t>
    <phoneticPr fontId="3" type="noConversion"/>
  </si>
  <si>
    <t>5DURA MAX</t>
    <phoneticPr fontId="3" type="noConversion"/>
  </si>
  <si>
    <t>26-0854</t>
    <phoneticPr fontId="3" type="noConversion"/>
  </si>
  <si>
    <t>정석-테크노</t>
    <phoneticPr fontId="3" type="noConversion"/>
  </si>
  <si>
    <t>5CL+5DURA MAX</t>
    <phoneticPr fontId="3" type="noConversion"/>
  </si>
  <si>
    <t>26-1047</t>
    <phoneticPr fontId="3" type="noConversion"/>
  </si>
  <si>
    <t>경동-부산대</t>
    <phoneticPr fontId="3" type="noConversion"/>
  </si>
  <si>
    <t>5SKN154+5CL</t>
    <phoneticPr fontId="3" type="noConversion"/>
  </si>
  <si>
    <t>5newGN+5ONE</t>
    <phoneticPr fontId="3" type="noConversion"/>
  </si>
  <si>
    <t>오도시</t>
    <phoneticPr fontId="3" type="noConversion"/>
  </si>
  <si>
    <t>오도시, 5ONE -&gt; 5마스터원</t>
    <phoneticPr fontId="3" type="noConversion"/>
  </si>
  <si>
    <t>26-0912</t>
    <phoneticPr fontId="3" type="noConversion"/>
  </si>
  <si>
    <t>5MVT172+5CL</t>
    <phoneticPr fontId="3" type="noConversion"/>
  </si>
  <si>
    <t>신동아-건강보험</t>
    <phoneticPr fontId="3" type="noConversion"/>
  </si>
  <si>
    <t>6MZT128h/s+6CLh/s</t>
    <phoneticPr fontId="3" type="noConversion"/>
  </si>
  <si>
    <t>6MZT128h/s+6CL</t>
    <phoneticPr fontId="3" type="noConversion"/>
  </si>
  <si>
    <t>6MZT128h/s+6CLh/s</t>
    <phoneticPr fontId="3" type="noConversion"/>
  </si>
  <si>
    <t>6MZT128</t>
    <phoneticPr fontId="3" type="noConversion"/>
  </si>
  <si>
    <t>26-0758</t>
    <phoneticPr fontId="3" type="noConversion"/>
  </si>
  <si>
    <t>신동아-건강보험</t>
    <phoneticPr fontId="3" type="noConversion"/>
  </si>
  <si>
    <t>26-0757</t>
    <phoneticPr fontId="3" type="noConversion"/>
  </si>
  <si>
    <t>신동아-건강보험</t>
    <phoneticPr fontId="3" type="noConversion"/>
  </si>
  <si>
    <t>로이 같이 재단</t>
    <phoneticPr fontId="3" type="noConversion"/>
  </si>
  <si>
    <t>로이 같이 재단 - 정석개발 원판 사용</t>
    <phoneticPr fontId="3" type="noConversion"/>
  </si>
  <si>
    <t>투명 재단 - 정석개발 원판 사용</t>
    <phoneticPr fontId="3" type="noConversion"/>
  </si>
  <si>
    <t>로이재단 - 정석개발 원판 사용</t>
    <phoneticPr fontId="3" type="noConversion"/>
  </si>
  <si>
    <t>로이 - 같이 재단</t>
    <phoneticPr fontId="3" type="noConversion"/>
  </si>
  <si>
    <t>로이 - 같이 재단</t>
    <phoneticPr fontId="3" type="noConversion"/>
  </si>
  <si>
    <t>26-1006</t>
    <phoneticPr fontId="3" type="noConversion"/>
  </si>
  <si>
    <t>극동-성남금토</t>
    <phoneticPr fontId="3" type="noConversion"/>
  </si>
  <si>
    <t>5NX+5로이</t>
    <phoneticPr fontId="3" type="noConversion"/>
  </si>
  <si>
    <t>5NX</t>
    <phoneticPr fontId="3" type="noConversion"/>
  </si>
  <si>
    <t>5CL+5로이</t>
    <phoneticPr fontId="3" type="noConversion"/>
  </si>
  <si>
    <t>5CL</t>
    <phoneticPr fontId="3" type="noConversion"/>
  </si>
  <si>
    <t>오도시같이</t>
    <phoneticPr fontId="3" type="noConversion"/>
  </si>
  <si>
    <t>26-1007</t>
    <phoneticPr fontId="3" type="noConversion"/>
  </si>
  <si>
    <t>5NX+5로이</t>
    <phoneticPr fontId="3" type="noConversion"/>
  </si>
  <si>
    <t>오도시같이</t>
    <phoneticPr fontId="3" type="noConversion"/>
  </si>
  <si>
    <t>5CL+5로이</t>
    <phoneticPr fontId="3" type="noConversion"/>
  </si>
  <si>
    <t>26-1005</t>
    <phoneticPr fontId="3" type="noConversion"/>
  </si>
  <si>
    <t>26-0926</t>
    <phoneticPr fontId="3" type="noConversion"/>
  </si>
  <si>
    <t>케이씨씨-여의도</t>
    <phoneticPr fontId="3" type="noConversion"/>
  </si>
  <si>
    <t>5MVT172+5CL</t>
    <phoneticPr fontId="3" type="noConversion"/>
  </si>
  <si>
    <t>5MVT172</t>
    <phoneticPr fontId="3" type="noConversion"/>
  </si>
  <si>
    <t>5로이+5CL</t>
    <phoneticPr fontId="3" type="noConversion"/>
  </si>
  <si>
    <t>26-0927</t>
    <phoneticPr fontId="3" type="noConversion"/>
  </si>
  <si>
    <t>5마스터원</t>
    <phoneticPr fontId="3" type="noConversion"/>
  </si>
  <si>
    <t>26-0925</t>
    <phoneticPr fontId="3" type="noConversion"/>
  </si>
  <si>
    <t>야간</t>
    <phoneticPr fontId="3" type="noConversion"/>
  </si>
  <si>
    <t>26-0705</t>
    <phoneticPr fontId="3" type="noConversion"/>
  </si>
  <si>
    <t>동부-삼성메디슨</t>
    <phoneticPr fontId="3" type="noConversion"/>
  </si>
  <si>
    <t>5MZT128H/S+5CL</t>
    <phoneticPr fontId="3" type="noConversion"/>
  </si>
  <si>
    <t>투명재단 - 생산불량</t>
    <phoneticPr fontId="3" type="noConversion"/>
  </si>
  <si>
    <t>웨이표엉 -&gt; 생산1호기 지원</t>
    <phoneticPr fontId="3" type="noConversion"/>
  </si>
  <si>
    <t>헴난 -&gt; 생산2호기 지원</t>
    <phoneticPr fontId="3" type="noConversion"/>
  </si>
  <si>
    <t>케이씨씨-여의도</t>
    <phoneticPr fontId="3" type="noConversion"/>
  </si>
  <si>
    <t>5MVT172+5CL</t>
    <phoneticPr fontId="3" type="noConversion"/>
  </si>
  <si>
    <t>5CL</t>
    <phoneticPr fontId="3" type="noConversion"/>
  </si>
  <si>
    <t>26-0763</t>
    <phoneticPr fontId="3" type="noConversion"/>
  </si>
  <si>
    <t>6MZT128H/S+6CLH/S</t>
    <phoneticPr fontId="3" type="noConversion"/>
  </si>
  <si>
    <t>6MZT128H/S+6CL</t>
    <phoneticPr fontId="3" type="noConversion"/>
  </si>
  <si>
    <t>26-0978</t>
    <phoneticPr fontId="3" type="noConversion"/>
  </si>
  <si>
    <t>6CL+6ONE</t>
    <phoneticPr fontId="3" type="noConversion"/>
  </si>
  <si>
    <t>26-0976</t>
    <phoneticPr fontId="3" type="noConversion"/>
  </si>
  <si>
    <t>26-0973</t>
    <phoneticPr fontId="3" type="noConversion"/>
  </si>
  <si>
    <t>부뜨리 =&gt; 10시 재단시작</t>
    <phoneticPr fontId="3" type="noConversion"/>
  </si>
  <si>
    <t>호네스토 =&gt; 9:30 재단시작</t>
    <phoneticPr fontId="3" type="noConversion"/>
  </si>
  <si>
    <t>26-1054</t>
    <phoneticPr fontId="3" type="noConversion"/>
  </si>
  <si>
    <t>5BLH/S+5로이H/S 이형</t>
    <phoneticPr fontId="3" type="noConversion"/>
  </si>
  <si>
    <t>5XN</t>
    <phoneticPr fontId="3" type="noConversion"/>
  </si>
  <si>
    <t>26-1025</t>
    <phoneticPr fontId="3" type="noConversion"/>
  </si>
  <si>
    <t>대원-과학자마을</t>
    <phoneticPr fontId="3" type="noConversion"/>
  </si>
  <si>
    <t>5CL+5로이H/S</t>
    <phoneticPr fontId="3" type="noConversion"/>
  </si>
  <si>
    <t>26-1026</t>
    <phoneticPr fontId="3" type="noConversion"/>
  </si>
  <si>
    <t>26-1025, 1026 같이재단</t>
    <phoneticPr fontId="3" type="noConversion"/>
  </si>
  <si>
    <t>26-1020</t>
    <phoneticPr fontId="3" type="noConversion"/>
  </si>
  <si>
    <t>5SKN154IIH/S+5CL+5ONE</t>
    <phoneticPr fontId="3" type="noConversion"/>
  </si>
  <si>
    <t>일면로이재단</t>
    <phoneticPr fontId="3" type="noConversion"/>
  </si>
  <si>
    <t>26-1018</t>
    <phoneticPr fontId="3" type="noConversion"/>
  </si>
  <si>
    <t>26-1019</t>
    <phoneticPr fontId="3" type="noConversion"/>
  </si>
  <si>
    <t>26-1018, 1019 같이재단 - 일면로이재단</t>
    <phoneticPr fontId="3" type="noConversion"/>
  </si>
  <si>
    <t>26-0975</t>
    <phoneticPr fontId="3" type="noConversion"/>
  </si>
  <si>
    <t>26-1053</t>
    <phoneticPr fontId="3" type="noConversion"/>
  </si>
  <si>
    <t>26-0977</t>
    <phoneticPr fontId="3" type="noConversion"/>
  </si>
  <si>
    <t>26-1015</t>
    <phoneticPr fontId="3" type="noConversion"/>
  </si>
  <si>
    <t>26-1016</t>
    <phoneticPr fontId="3" type="noConversion"/>
  </si>
  <si>
    <t>26-1017</t>
    <phoneticPr fontId="3" type="noConversion"/>
  </si>
  <si>
    <t>극동-성남</t>
    <phoneticPr fontId="3" type="noConversion"/>
  </si>
  <si>
    <t>6enwGN+6로이</t>
    <phoneticPr fontId="3" type="noConversion"/>
  </si>
  <si>
    <t>그린재단 - 26-1015, 1016, 1017 같이재단</t>
    <phoneticPr fontId="3" type="noConversion"/>
  </si>
  <si>
    <t>26-0858</t>
    <phoneticPr fontId="3" type="noConversion"/>
  </si>
  <si>
    <t>그린,로이재단 - 정석개발 원판 사용</t>
    <phoneticPr fontId="3" type="noConversion"/>
  </si>
  <si>
    <t>5DURA MAX</t>
    <phoneticPr fontId="3" type="noConversion"/>
  </si>
  <si>
    <t>26-1065</t>
    <phoneticPr fontId="3" type="noConversion"/>
  </si>
  <si>
    <t>26-0959</t>
    <phoneticPr fontId="3" type="noConversion"/>
  </si>
  <si>
    <t>로이재단-강화불량 26-0953, 0954 같이재단</t>
    <phoneticPr fontId="3" type="noConversion"/>
  </si>
  <si>
    <t>26-0860</t>
    <phoneticPr fontId="3" type="noConversion"/>
  </si>
  <si>
    <t>26-0984</t>
    <phoneticPr fontId="3" type="noConversion"/>
  </si>
  <si>
    <t>26-0985</t>
    <phoneticPr fontId="3" type="noConversion"/>
  </si>
  <si>
    <t>26-0986</t>
    <phoneticPr fontId="3" type="noConversion"/>
  </si>
  <si>
    <t>그린재단 - 26-0984, 0985, 0986 같이재단</t>
    <phoneticPr fontId="3" type="noConversion"/>
  </si>
  <si>
    <t>26-0974</t>
    <phoneticPr fontId="3" type="noConversion"/>
  </si>
  <si>
    <t>로이재단 - 6ONE -&gt; 6DURA MAX로 재단</t>
    <phoneticPr fontId="3" type="noConversion"/>
  </si>
  <si>
    <t>로이재단 - 26-1015, 1016, 1017 같이재단</t>
    <phoneticPr fontId="3" type="noConversion"/>
  </si>
  <si>
    <t>26-1052</t>
    <phoneticPr fontId="3" type="noConversion"/>
  </si>
  <si>
    <t>태영-부산</t>
    <phoneticPr fontId="3" type="noConversion"/>
  </si>
  <si>
    <t>10투명강화</t>
    <phoneticPr fontId="3" type="noConversion"/>
  </si>
  <si>
    <t>10CL</t>
    <phoneticPr fontId="3" type="noConversion"/>
  </si>
  <si>
    <t>26-1051</t>
    <phoneticPr fontId="3" type="noConversion"/>
  </si>
  <si>
    <t>26-1052, 1051 같이재단</t>
    <phoneticPr fontId="3" type="noConversion"/>
  </si>
  <si>
    <t>26-0860</t>
    <phoneticPr fontId="3" type="noConversion"/>
  </si>
  <si>
    <t>정석-청주테크노</t>
    <phoneticPr fontId="3" type="noConversion"/>
  </si>
  <si>
    <t>5newGN+5DURA MAX</t>
    <phoneticPr fontId="3" type="noConversion"/>
  </si>
  <si>
    <t>5DURA MAX</t>
    <phoneticPr fontId="3" type="noConversion"/>
  </si>
  <si>
    <t>로이재단 - 정석개발 원판 사용</t>
    <phoneticPr fontId="3" type="noConversion"/>
  </si>
  <si>
    <t>26-0599</t>
    <phoneticPr fontId="3" type="noConversion"/>
  </si>
  <si>
    <t>금성백조-이천</t>
    <phoneticPr fontId="3" type="noConversion"/>
  </si>
  <si>
    <t>26-0600</t>
    <phoneticPr fontId="3" type="noConversion"/>
  </si>
  <si>
    <t>26-0601</t>
    <phoneticPr fontId="3" type="noConversion"/>
  </si>
  <si>
    <t>5CL에칭+5로이</t>
    <phoneticPr fontId="3" type="noConversion"/>
  </si>
  <si>
    <t>5CL</t>
    <phoneticPr fontId="3" type="noConversion"/>
  </si>
  <si>
    <t>투명재단 - 26-0599, 0600, 0601 같이재단</t>
    <phoneticPr fontId="3" type="noConversion"/>
  </si>
  <si>
    <t>26-1050</t>
    <phoneticPr fontId="3" type="noConversion"/>
  </si>
  <si>
    <t>포스코-아산</t>
    <phoneticPr fontId="3" type="noConversion"/>
  </si>
  <si>
    <t>5SKN154+5CL</t>
    <phoneticPr fontId="3" type="noConversion"/>
  </si>
  <si>
    <t>5SKN154</t>
    <phoneticPr fontId="3" type="noConversion"/>
  </si>
  <si>
    <t>26-1084</t>
    <phoneticPr fontId="3" type="noConversion"/>
  </si>
  <si>
    <t>한우창호</t>
    <phoneticPr fontId="3" type="noConversion"/>
  </si>
  <si>
    <t>5SKN176IIH/S+5CLH/S+5ONEIH/S</t>
    <phoneticPr fontId="3" type="noConversion"/>
  </si>
  <si>
    <t>5SKN176IIH/S+5CL+5SKN176II</t>
    <phoneticPr fontId="3" type="noConversion"/>
  </si>
  <si>
    <t>5SKN176II</t>
    <phoneticPr fontId="3" type="noConversion"/>
  </si>
  <si>
    <t>투명, ONEII  오도시 재단</t>
    <phoneticPr fontId="3" type="noConversion"/>
  </si>
  <si>
    <t>투명 오도시 재단</t>
    <phoneticPr fontId="3" type="noConversion"/>
  </si>
  <si>
    <t>26-0714</t>
    <phoneticPr fontId="3" type="noConversion"/>
  </si>
  <si>
    <t>신동아-건강보험</t>
    <phoneticPr fontId="3" type="noConversion"/>
  </si>
  <si>
    <t>6MZT135H/S+6CL</t>
    <phoneticPr fontId="3" type="noConversion"/>
  </si>
  <si>
    <t>6MZT135H/S+6CLH/S</t>
    <phoneticPr fontId="3" type="noConversion"/>
  </si>
  <si>
    <t>로이재단 - 오도시 강화불량</t>
    <phoneticPr fontId="3" type="noConversion"/>
  </si>
  <si>
    <t>투명재단 - 오도시 강화불량</t>
    <phoneticPr fontId="3" type="noConversion"/>
  </si>
  <si>
    <t>26-0712</t>
    <phoneticPr fontId="3" type="noConversion"/>
  </si>
  <si>
    <t>6CL</t>
    <phoneticPr fontId="3" type="noConversion"/>
  </si>
  <si>
    <t>투명재단 - 강화불량</t>
    <phoneticPr fontId="3" type="noConversion"/>
  </si>
  <si>
    <t>26-0757</t>
    <phoneticPr fontId="3" type="noConversion"/>
  </si>
  <si>
    <t>6MZT128</t>
    <phoneticPr fontId="3" type="noConversion"/>
  </si>
  <si>
    <t>로이재단 - 강화불량</t>
    <phoneticPr fontId="3" type="noConversion"/>
  </si>
  <si>
    <t>26-0626</t>
    <phoneticPr fontId="3" type="noConversion"/>
  </si>
  <si>
    <t>엘엑스-지북</t>
    <phoneticPr fontId="3" type="noConversion"/>
  </si>
  <si>
    <t>5CLH/S+5로이H/S</t>
    <phoneticPr fontId="3" type="noConversion"/>
  </si>
  <si>
    <t>26-0604</t>
    <phoneticPr fontId="3" type="noConversion"/>
  </si>
  <si>
    <t>투명재단</t>
    <phoneticPr fontId="3" type="noConversion"/>
  </si>
  <si>
    <t>26-0927</t>
    <phoneticPr fontId="3" type="noConversion"/>
  </si>
  <si>
    <t>케이씨시-여의도</t>
    <phoneticPr fontId="3" type="noConversion"/>
  </si>
  <si>
    <t>5MZT172H/S+5CLH/S</t>
    <phoneticPr fontId="3" type="noConversion"/>
  </si>
  <si>
    <t>5MZT172+5CL</t>
    <phoneticPr fontId="3" type="noConversion"/>
  </si>
  <si>
    <t>생산불량 - 오도시</t>
    <phoneticPr fontId="3" type="noConversion"/>
  </si>
  <si>
    <t>26-1082</t>
    <phoneticPr fontId="3" type="noConversion"/>
  </si>
  <si>
    <t>계룡-원주의료원</t>
    <phoneticPr fontId="3" type="noConversion"/>
  </si>
  <si>
    <t>8투명강화</t>
    <phoneticPr fontId="3" type="noConversion"/>
  </si>
  <si>
    <t>오도시</t>
    <phoneticPr fontId="3" type="noConversion"/>
  </si>
  <si>
    <t>5NX</t>
    <phoneticPr fontId="3" type="noConversion"/>
  </si>
  <si>
    <t>그린재단 - 정석개발원판사용</t>
    <phoneticPr fontId="3" type="noConversion"/>
  </si>
  <si>
    <t>26-0863</t>
    <phoneticPr fontId="3" type="noConversion"/>
  </si>
  <si>
    <t>5DURA MAX</t>
    <phoneticPr fontId="3" type="noConversion"/>
  </si>
  <si>
    <t>그린, 로이재단 - 정석개발 원판 사용</t>
    <phoneticPr fontId="3" type="noConversion"/>
  </si>
  <si>
    <t>로이재단 - 정석개발원판사용</t>
    <phoneticPr fontId="3" type="noConversion"/>
  </si>
  <si>
    <t>로이재단 - 26-0984, 0985, 0986 같이재단</t>
    <phoneticPr fontId="3" type="noConversion"/>
  </si>
  <si>
    <t>야간</t>
    <phoneticPr fontId="3" type="noConversion"/>
  </si>
  <si>
    <t>세지-음성</t>
    <phoneticPr fontId="3" type="noConversion"/>
  </si>
  <si>
    <t>5SKN154IIH/S+5CL</t>
    <phoneticPr fontId="3" type="noConversion"/>
  </si>
  <si>
    <t>5SKN154II</t>
    <phoneticPr fontId="3" type="noConversion"/>
  </si>
  <si>
    <t>5CL</t>
    <phoneticPr fontId="3" type="noConversion"/>
  </si>
  <si>
    <t>26-0602</t>
    <phoneticPr fontId="3" type="noConversion"/>
  </si>
  <si>
    <t>26-0603</t>
    <phoneticPr fontId="3" type="noConversion"/>
  </si>
  <si>
    <t>투명재단 - 26-0602, 0603 같이재단</t>
    <phoneticPr fontId="3" type="noConversion"/>
  </si>
  <si>
    <t>26-0927</t>
    <phoneticPr fontId="3" type="noConversion"/>
  </si>
  <si>
    <t>케이씨씨-여의도</t>
    <phoneticPr fontId="3" type="noConversion"/>
  </si>
  <si>
    <t>5로이+5CL</t>
    <phoneticPr fontId="3" type="noConversion"/>
  </si>
  <si>
    <t>5마스터원</t>
    <phoneticPr fontId="3" type="noConversion"/>
  </si>
  <si>
    <t>26-1018</t>
    <phoneticPr fontId="3" type="noConversion"/>
  </si>
  <si>
    <t>5SKN154IIH/S+5CL+5ONE</t>
    <phoneticPr fontId="3" type="noConversion"/>
  </si>
  <si>
    <t>투명재단 - 26-1018, 1019 같이재단</t>
    <phoneticPr fontId="3" type="noConversion"/>
  </si>
  <si>
    <t>26-1019</t>
    <phoneticPr fontId="3" type="noConversion"/>
  </si>
  <si>
    <t>대원-과학자마을</t>
    <phoneticPr fontId="3" type="noConversion"/>
  </si>
  <si>
    <t>26-0760</t>
    <phoneticPr fontId="3" type="noConversion"/>
  </si>
  <si>
    <t>신동아-건강보험</t>
    <phoneticPr fontId="3" type="noConversion"/>
  </si>
  <si>
    <t>6CL</t>
    <phoneticPr fontId="3" type="noConversion"/>
  </si>
  <si>
    <t>6MZT135H/S+6CLH/S</t>
    <phoneticPr fontId="3" type="noConversion"/>
  </si>
  <si>
    <t>6MZT135H/S+6CL</t>
    <phoneticPr fontId="3" type="noConversion"/>
  </si>
  <si>
    <t>투명재단</t>
    <phoneticPr fontId="3" type="noConversion"/>
  </si>
  <si>
    <t>26-0759</t>
    <phoneticPr fontId="3" type="noConversion"/>
  </si>
  <si>
    <t>26-1085</t>
    <phoneticPr fontId="3" type="noConversion"/>
  </si>
  <si>
    <t>26-0985</t>
    <phoneticPr fontId="3" type="noConversion"/>
  </si>
  <si>
    <t>엘엑스-지북</t>
    <phoneticPr fontId="3" type="noConversion"/>
  </si>
  <si>
    <t>5NX</t>
    <phoneticPr fontId="3" type="noConversion"/>
  </si>
  <si>
    <t>5SUPER PLUS2.0N(비강화용)</t>
    <phoneticPr fontId="3" type="noConversion"/>
  </si>
  <si>
    <t>26-0984</t>
    <phoneticPr fontId="3" type="noConversion"/>
  </si>
  <si>
    <t>26-0863</t>
    <phoneticPr fontId="3" type="noConversion"/>
  </si>
  <si>
    <t>투명재단 - 정석개발 원판 사용</t>
    <phoneticPr fontId="3" type="noConversion"/>
  </si>
  <si>
    <t>야간</t>
    <phoneticPr fontId="3" type="noConversion"/>
  </si>
  <si>
    <t>5마스터원</t>
    <phoneticPr fontId="3" type="noConversion"/>
  </si>
  <si>
    <t>26-1020</t>
    <phoneticPr fontId="3" type="noConversion"/>
  </si>
  <si>
    <t>3면 로이재단 - 26-1018, 1019 같이재단 - 5ONE -&gt; 5마스터원으로 재단</t>
    <phoneticPr fontId="3" type="noConversion"/>
  </si>
  <si>
    <t>5CL</t>
    <phoneticPr fontId="3" type="noConversion"/>
  </si>
  <si>
    <t>투명, 3면로이재단 - 5ONE -&gt; 5마스터원으로 재단</t>
    <phoneticPr fontId="3" type="noConversion"/>
  </si>
  <si>
    <t>26-1050</t>
    <phoneticPr fontId="3" type="noConversion"/>
  </si>
  <si>
    <t>포스코-아산</t>
    <phoneticPr fontId="3" type="noConversion"/>
  </si>
  <si>
    <t>5투명</t>
    <phoneticPr fontId="3" type="noConversion"/>
  </si>
  <si>
    <t>5CL</t>
    <phoneticPr fontId="3" type="noConversion"/>
  </si>
  <si>
    <t>26-1131</t>
    <phoneticPr fontId="3" type="noConversion"/>
  </si>
  <si>
    <t>정석-청주테크노</t>
    <phoneticPr fontId="3" type="noConversion"/>
  </si>
  <si>
    <t>26-1044</t>
    <phoneticPr fontId="3" type="noConversion"/>
  </si>
  <si>
    <t>현엔-아산</t>
    <phoneticPr fontId="3" type="noConversion"/>
  </si>
  <si>
    <t>5CL+5로이</t>
    <phoneticPr fontId="3" type="noConversion"/>
  </si>
  <si>
    <t>5마스터원</t>
    <phoneticPr fontId="3" type="noConversion"/>
  </si>
  <si>
    <t>26-1046</t>
    <phoneticPr fontId="3" type="noConversion"/>
  </si>
  <si>
    <t>포스코-구룡공원</t>
    <phoneticPr fontId="3" type="noConversion"/>
  </si>
  <si>
    <t>26-1083</t>
    <phoneticPr fontId="3" type="noConversion"/>
  </si>
  <si>
    <t>한양-인천</t>
    <phoneticPr fontId="3" type="noConversion"/>
  </si>
  <si>
    <t>5CL+5CL</t>
    <phoneticPr fontId="3" type="noConversion"/>
  </si>
  <si>
    <t>26-1121</t>
    <phoneticPr fontId="3" type="noConversion"/>
  </si>
  <si>
    <t>26-1083, 1121 같이재단</t>
    <phoneticPr fontId="3" type="noConversion"/>
  </si>
  <si>
    <t>26-0986</t>
    <phoneticPr fontId="3" type="noConversion"/>
  </si>
  <si>
    <t>엘엑스-지북</t>
    <phoneticPr fontId="3" type="noConversion"/>
  </si>
  <si>
    <t>5newGN+5로이</t>
    <phoneticPr fontId="3" type="noConversion"/>
  </si>
  <si>
    <t>5NX</t>
    <phoneticPr fontId="3" type="noConversion"/>
  </si>
  <si>
    <t>5SUPERPLUS2.0N(비강화용)</t>
    <phoneticPr fontId="3" type="noConversion"/>
  </si>
  <si>
    <t>세지-음성</t>
    <phoneticPr fontId="3" type="noConversion"/>
  </si>
  <si>
    <t>5투명강화</t>
    <phoneticPr fontId="3" type="noConversion"/>
  </si>
  <si>
    <t>로이재단 - 정석개발원판사용</t>
    <phoneticPr fontId="3" type="noConversion"/>
  </si>
  <si>
    <t>투명재단 - 정석개발원판사용</t>
    <phoneticPr fontId="3" type="noConversion"/>
  </si>
  <si>
    <t>26-0864</t>
    <phoneticPr fontId="3" type="noConversion"/>
  </si>
  <si>
    <t>로이재단 8~9번 재단 - 정석개발원판사용</t>
    <phoneticPr fontId="3" type="noConversion"/>
  </si>
  <si>
    <t>야간</t>
    <phoneticPr fontId="3" type="noConversion"/>
  </si>
  <si>
    <t>26-0765</t>
    <phoneticPr fontId="3" type="noConversion"/>
  </si>
  <si>
    <t>신동아-건강보험</t>
    <phoneticPr fontId="3" type="noConversion"/>
  </si>
  <si>
    <t>6CL</t>
    <phoneticPr fontId="3" type="noConversion"/>
  </si>
  <si>
    <t>투명재단</t>
    <phoneticPr fontId="3" type="noConversion"/>
  </si>
  <si>
    <t>26-0764</t>
    <phoneticPr fontId="3" type="noConversion"/>
  </si>
  <si>
    <t>26-1086</t>
    <phoneticPr fontId="3" type="noConversion"/>
  </si>
  <si>
    <t>26-1120</t>
    <phoneticPr fontId="3" type="noConversion"/>
  </si>
  <si>
    <t>디엘-대전</t>
    <phoneticPr fontId="3" type="noConversion"/>
  </si>
  <si>
    <t>8투명강화</t>
    <phoneticPr fontId="3" type="noConversion"/>
  </si>
  <si>
    <t>5투명</t>
    <phoneticPr fontId="3" type="noConversion"/>
  </si>
  <si>
    <t>6로이+6CL</t>
    <phoneticPr fontId="3" type="noConversion"/>
  </si>
  <si>
    <t>8CL</t>
    <phoneticPr fontId="3" type="noConversion"/>
  </si>
  <si>
    <t>오도시</t>
    <phoneticPr fontId="3" type="noConversion"/>
  </si>
  <si>
    <t>26-0996</t>
    <phoneticPr fontId="3" type="noConversion"/>
  </si>
  <si>
    <t>엘엑스-지북</t>
    <phoneticPr fontId="3" type="noConversion"/>
  </si>
  <si>
    <t>5newGN+5로이</t>
    <phoneticPr fontId="3" type="noConversion"/>
  </si>
  <si>
    <t>5NX</t>
    <phoneticPr fontId="3" type="noConversion"/>
  </si>
  <si>
    <t>그린재단</t>
    <phoneticPr fontId="3" type="noConversion"/>
  </si>
  <si>
    <t>26-1057</t>
    <phoneticPr fontId="3" type="noConversion"/>
  </si>
  <si>
    <t>케이씨씨-오송</t>
    <phoneticPr fontId="3" type="noConversion"/>
  </si>
  <si>
    <t>5MVT172H/S+5CL</t>
    <phoneticPr fontId="3" type="noConversion"/>
  </si>
  <si>
    <t>26-1055</t>
    <phoneticPr fontId="3" type="noConversion"/>
  </si>
  <si>
    <t>26-1124</t>
    <phoneticPr fontId="3" type="noConversion"/>
  </si>
  <si>
    <t>5MVT172H/S+5CLH/S</t>
    <phoneticPr fontId="3" type="noConversion"/>
  </si>
  <si>
    <t>5MVT172+5CL</t>
    <phoneticPr fontId="3" type="noConversion"/>
  </si>
  <si>
    <t>26-1057, 1055, 1124 같이재단</t>
    <phoneticPr fontId="3" type="noConversion"/>
  </si>
  <si>
    <t>5CL</t>
    <phoneticPr fontId="3" type="noConversion"/>
  </si>
  <si>
    <t>5로이+5CLH/S+5CL</t>
    <phoneticPr fontId="3" type="noConversion"/>
  </si>
  <si>
    <t>26-1123</t>
    <phoneticPr fontId="3" type="noConversion"/>
  </si>
  <si>
    <t>동부-삼성</t>
    <phoneticPr fontId="3" type="noConversion"/>
  </si>
  <si>
    <t>5MZT128H/S+5CL</t>
    <phoneticPr fontId="3" type="noConversion"/>
  </si>
  <si>
    <t>5MZT128</t>
    <phoneticPr fontId="3" type="noConversion"/>
  </si>
  <si>
    <t>26-1132</t>
    <phoneticPr fontId="3" type="noConversion"/>
  </si>
  <si>
    <t>현산-신월</t>
    <phoneticPr fontId="3" type="noConversion"/>
  </si>
  <si>
    <t>5ONE+5ONE</t>
    <phoneticPr fontId="3" type="noConversion"/>
  </si>
  <si>
    <t>5PLAONE</t>
    <phoneticPr fontId="3" type="noConversion"/>
  </si>
  <si>
    <t>26-1122</t>
    <phoneticPr fontId="3" type="noConversion"/>
  </si>
  <si>
    <t>인종합-이노레스</t>
    <phoneticPr fontId="3" type="noConversion"/>
  </si>
  <si>
    <t>5SKN154IIH/S+5CL</t>
    <phoneticPr fontId="3" type="noConversion"/>
  </si>
  <si>
    <t>26-0927</t>
    <phoneticPr fontId="3" type="noConversion"/>
  </si>
  <si>
    <t>케이씨씨-여의도</t>
    <phoneticPr fontId="3" type="noConversion"/>
  </si>
  <si>
    <t>로이재단 - 오도시 강화 불량</t>
    <phoneticPr fontId="3" type="noConversion"/>
  </si>
  <si>
    <t>투명재단 - 오도시 강화 불량</t>
    <phoneticPr fontId="3" type="noConversion"/>
  </si>
  <si>
    <t>케이씨씨-여의도</t>
    <phoneticPr fontId="3" type="noConversion"/>
  </si>
  <si>
    <t>케이씨씨-여의도</t>
    <phoneticPr fontId="3" type="noConversion"/>
  </si>
  <si>
    <t>26-0926</t>
    <phoneticPr fontId="3" type="noConversion"/>
  </si>
  <si>
    <t>26-0996</t>
    <phoneticPr fontId="3" type="noConversion"/>
  </si>
  <si>
    <t>로이재단</t>
    <phoneticPr fontId="3" type="noConversion"/>
  </si>
  <si>
    <t>5CL+5로이</t>
    <phoneticPr fontId="3" type="noConversion"/>
  </si>
  <si>
    <t>5NX</t>
    <phoneticPr fontId="3" type="noConversion"/>
  </si>
  <si>
    <t>그린재단</t>
    <phoneticPr fontId="3" type="noConversion"/>
  </si>
  <si>
    <t>5CL</t>
    <phoneticPr fontId="3" type="noConversion"/>
  </si>
  <si>
    <t>5SUPER PLUS2.0(강화용)</t>
    <phoneticPr fontId="3" type="noConversion"/>
  </si>
  <si>
    <t>26-0997</t>
    <phoneticPr fontId="3" type="noConversion"/>
  </si>
  <si>
    <t>로이재단 - 26-0984, 0985, 0986, 0996, 0997 같이재단 - 
비강화용으로 오재단 분</t>
    <phoneticPr fontId="3" type="noConversion"/>
  </si>
  <si>
    <t>로이재단 - 26-0984, 0985, 0986, 0996, 0997 같이재단</t>
  </si>
  <si>
    <t>26-0855</t>
    <phoneticPr fontId="3" type="noConversion"/>
  </si>
  <si>
    <t>정석-청주테크노</t>
    <phoneticPr fontId="3" type="noConversion"/>
  </si>
  <si>
    <t>5CL+5DURA MAX</t>
    <phoneticPr fontId="3" type="noConversion"/>
  </si>
  <si>
    <t>투명재단 - 정석개발 원판사용</t>
    <phoneticPr fontId="3" type="noConversion"/>
  </si>
  <si>
    <t>야간</t>
    <phoneticPr fontId="3" type="noConversion"/>
  </si>
  <si>
    <t>26-0760</t>
    <phoneticPr fontId="3" type="noConversion"/>
  </si>
  <si>
    <t>신동아-건강보험</t>
    <phoneticPr fontId="3" type="noConversion"/>
  </si>
  <si>
    <t>6MZT128</t>
    <phoneticPr fontId="3" type="noConversion"/>
  </si>
  <si>
    <t>26-1023</t>
    <phoneticPr fontId="3" type="noConversion"/>
  </si>
  <si>
    <t>대원-과학자마을</t>
    <phoneticPr fontId="3" type="noConversion"/>
  </si>
  <si>
    <t>5CL+5로이H/S</t>
    <phoneticPr fontId="3" type="noConversion"/>
  </si>
  <si>
    <t>5DURA MAX</t>
    <phoneticPr fontId="3" type="noConversion"/>
  </si>
  <si>
    <t>26-1021</t>
    <phoneticPr fontId="3" type="noConversion"/>
  </si>
  <si>
    <t>26-1022</t>
    <phoneticPr fontId="3" type="noConversion"/>
  </si>
  <si>
    <t>26-1024</t>
    <phoneticPr fontId="3" type="noConversion"/>
  </si>
  <si>
    <t>26-1021, 1022, 1024 같이재단</t>
    <phoneticPr fontId="3" type="noConversion"/>
  </si>
  <si>
    <t>26-1134</t>
    <phoneticPr fontId="3" type="noConversion"/>
  </si>
  <si>
    <t>한우창호</t>
    <phoneticPr fontId="3" type="noConversion"/>
  </si>
  <si>
    <t>5ONEIIH/S+5CLH/S+5ONEIIH/S</t>
    <phoneticPr fontId="3" type="noConversion"/>
  </si>
  <si>
    <t>5PLAONEII</t>
    <phoneticPr fontId="3" type="noConversion"/>
  </si>
  <si>
    <t>26-0759</t>
    <phoneticPr fontId="3" type="noConversion"/>
  </si>
  <si>
    <t>6MZT135H/S+6CLH/S</t>
    <phoneticPr fontId="3" type="noConversion"/>
  </si>
  <si>
    <t>6MZT135</t>
    <phoneticPr fontId="3" type="noConversion"/>
  </si>
  <si>
    <t>26-0997</t>
    <phoneticPr fontId="3" type="noConversion"/>
  </si>
  <si>
    <t>5newGN+5로이</t>
    <phoneticPr fontId="3" type="noConversion"/>
  </si>
  <si>
    <t>5NX</t>
    <phoneticPr fontId="3" type="noConversion"/>
  </si>
  <si>
    <t>5newGNH/S+5로이</t>
    <phoneticPr fontId="3" type="noConversion"/>
  </si>
  <si>
    <t>로이재단</t>
    <phoneticPr fontId="3" type="noConversion"/>
  </si>
  <si>
    <t>26-0605</t>
    <phoneticPr fontId="3" type="noConversion"/>
  </si>
  <si>
    <t>26-0606</t>
    <phoneticPr fontId="3" type="noConversion"/>
  </si>
  <si>
    <t>26-0607</t>
    <phoneticPr fontId="3" type="noConversion"/>
  </si>
  <si>
    <t>5CL</t>
    <phoneticPr fontId="3" type="noConversion"/>
  </si>
  <si>
    <t>26-0855</t>
    <phoneticPr fontId="3" type="noConversion"/>
  </si>
  <si>
    <t>정석-청주테크노</t>
    <phoneticPr fontId="3" type="noConversion"/>
  </si>
  <si>
    <t>5NX</t>
    <phoneticPr fontId="3" type="noConversion"/>
  </si>
  <si>
    <t>5DUREA MAX</t>
    <phoneticPr fontId="3" type="noConversion"/>
  </si>
  <si>
    <t>로이재단 - 정석개발 원판 사용</t>
    <phoneticPr fontId="3" type="noConversion"/>
  </si>
  <si>
    <t>로이재단 10~14번 재단 - 정석개발원판사용</t>
    <phoneticPr fontId="3" type="noConversion"/>
  </si>
  <si>
    <t>그린재단 - 정석개발 원판 사용</t>
    <phoneticPr fontId="3" type="noConversion"/>
  </si>
  <si>
    <t>26-0867</t>
    <phoneticPr fontId="3" type="noConversion"/>
  </si>
  <si>
    <t>26-0611</t>
    <phoneticPr fontId="3" type="noConversion"/>
  </si>
  <si>
    <t>금성백조-이천</t>
    <phoneticPr fontId="3" type="noConversion"/>
  </si>
  <si>
    <t>26-0612</t>
    <phoneticPr fontId="3" type="noConversion"/>
  </si>
  <si>
    <t>5CL에칭+5로이</t>
    <phoneticPr fontId="3" type="noConversion"/>
  </si>
  <si>
    <t>5CL</t>
    <phoneticPr fontId="3" type="noConversion"/>
  </si>
  <si>
    <t>투명재단</t>
    <phoneticPr fontId="3" type="noConversion"/>
  </si>
  <si>
    <t>26-0608</t>
    <phoneticPr fontId="3" type="noConversion"/>
  </si>
  <si>
    <t>26-0609</t>
    <phoneticPr fontId="3" type="noConversion"/>
  </si>
  <si>
    <t>26-0610</t>
    <phoneticPr fontId="3" type="noConversion"/>
  </si>
  <si>
    <t>26-1086</t>
    <phoneticPr fontId="3" type="noConversion"/>
  </si>
  <si>
    <t>세지-음성</t>
    <phoneticPr fontId="3" type="noConversion"/>
  </si>
  <si>
    <t>5SKN154IIH/S+5CL</t>
    <phoneticPr fontId="3" type="noConversion"/>
  </si>
  <si>
    <t>로이재단 - 오도시 강화불량</t>
    <phoneticPr fontId="3" type="noConversion"/>
  </si>
  <si>
    <t>26-0868</t>
    <phoneticPr fontId="3" type="noConversion"/>
  </si>
  <si>
    <t>5NX</t>
    <phoneticPr fontId="3" type="noConversion"/>
  </si>
  <si>
    <t>5DURA MAX</t>
    <phoneticPr fontId="3" type="noConversion"/>
  </si>
  <si>
    <t>26-0867</t>
    <phoneticPr fontId="3" type="noConversion"/>
  </si>
  <si>
    <t>6MZT135h/s+6CLh/s</t>
    <phoneticPr fontId="3" type="noConversion"/>
  </si>
  <si>
    <t>6MZT135h/s+6CL</t>
    <phoneticPr fontId="3" type="noConversion"/>
  </si>
  <si>
    <t>2~17 같이재단</t>
    <phoneticPr fontId="3" type="noConversion"/>
  </si>
  <si>
    <t>2~25 같이재단</t>
    <phoneticPr fontId="3" type="noConversion"/>
  </si>
  <si>
    <t>26-0712</t>
    <phoneticPr fontId="3" type="noConversion"/>
  </si>
  <si>
    <t>신동아-건강보험</t>
    <phoneticPr fontId="3" type="noConversion"/>
  </si>
  <si>
    <t>6MZT128h/s+6CLh/s</t>
    <phoneticPr fontId="3" type="noConversion"/>
  </si>
  <si>
    <t>6CL</t>
    <phoneticPr fontId="3" type="noConversion"/>
  </si>
  <si>
    <t>6MZT128</t>
    <phoneticPr fontId="3" type="noConversion"/>
  </si>
  <si>
    <t>26-0763</t>
    <phoneticPr fontId="3" type="noConversion"/>
  </si>
  <si>
    <t>26-0758</t>
    <phoneticPr fontId="3" type="noConversion"/>
  </si>
  <si>
    <t>투명 강화불량, 0712,1762,1763,1758 같이재단</t>
    <phoneticPr fontId="3" type="noConversion"/>
  </si>
  <si>
    <t>로이 강화불량, 0712,1762,1763,1758 같이재단</t>
    <phoneticPr fontId="3" type="noConversion"/>
  </si>
  <si>
    <t>로이, 투명 강화불량, 0712,1762,1763,1758 같이재단</t>
    <phoneticPr fontId="3" type="noConversion"/>
  </si>
  <si>
    <t xml:space="preserve">            </t>
    <phoneticPr fontId="3" type="noConversion"/>
  </si>
  <si>
    <t>26-1123</t>
  </si>
  <si>
    <t>동부-삼성메디슨</t>
  </si>
  <si>
    <t>5MZT128H/S+5CL</t>
  </si>
  <si>
    <t>생산파손(열파손) - 로이재단</t>
  </si>
  <si>
    <t>26-1134</t>
    <phoneticPr fontId="3" type="noConversion"/>
  </si>
  <si>
    <t>5ONEIIH/S+5CLH/S+5ONEIIH/S</t>
    <phoneticPr fontId="3" type="noConversion"/>
  </si>
  <si>
    <t>5ONEII</t>
    <phoneticPr fontId="3" type="noConversion"/>
  </si>
  <si>
    <t>로이재단 - 오도시 활용</t>
    <phoneticPr fontId="3" type="noConversion"/>
  </si>
  <si>
    <t>투명재단 - 오도시 활용</t>
    <phoneticPr fontId="3" type="noConversion"/>
  </si>
  <si>
    <t>26-1125</t>
    <phoneticPr fontId="3" type="noConversion"/>
  </si>
  <si>
    <t>신라종합-충청북도</t>
    <phoneticPr fontId="3" type="noConversion"/>
  </si>
  <si>
    <t>26-1126</t>
    <phoneticPr fontId="3" type="noConversion"/>
  </si>
  <si>
    <t>26-1128</t>
    <phoneticPr fontId="3" type="noConversion"/>
  </si>
  <si>
    <t>26-1129</t>
    <phoneticPr fontId="3" type="noConversion"/>
  </si>
  <si>
    <t>26-1130</t>
    <phoneticPr fontId="3" type="noConversion"/>
  </si>
  <si>
    <t>26-0493</t>
    <phoneticPr fontId="3" type="noConversion"/>
  </si>
  <si>
    <t>계룡-증산도</t>
    <phoneticPr fontId="3" type="noConversion"/>
  </si>
  <si>
    <t>6SKG149TH/S+6CL(이형)</t>
    <phoneticPr fontId="3" type="noConversion"/>
  </si>
  <si>
    <t>26-0494</t>
    <phoneticPr fontId="3" type="noConversion"/>
  </si>
  <si>
    <t>26-0856</t>
    <phoneticPr fontId="3" type="noConversion"/>
  </si>
  <si>
    <t>그린재단 - 정석개발 원판사용</t>
    <phoneticPr fontId="3" type="noConversion"/>
  </si>
  <si>
    <t>26-1169</t>
    <phoneticPr fontId="3" type="noConversion"/>
  </si>
  <si>
    <t>엘엑스-DL건설</t>
    <phoneticPr fontId="3" type="noConversion"/>
  </si>
  <si>
    <t>5CL+5로이</t>
    <phoneticPr fontId="3" type="noConversion"/>
  </si>
  <si>
    <t>5슈퍼플러스2.0N</t>
    <phoneticPr fontId="3" type="noConversion"/>
  </si>
  <si>
    <t>26-1000</t>
    <phoneticPr fontId="3" type="noConversion"/>
  </si>
  <si>
    <t>5NXH/S+5로이H/S</t>
    <phoneticPr fontId="3" type="noConversion"/>
  </si>
  <si>
    <t>5NXH/S+5로이</t>
    <phoneticPr fontId="3" type="noConversion"/>
  </si>
  <si>
    <t>26-0988</t>
    <phoneticPr fontId="3" type="noConversion"/>
  </si>
  <si>
    <t>26-0992</t>
    <phoneticPr fontId="3" type="noConversion"/>
  </si>
  <si>
    <t>26-0990</t>
    <phoneticPr fontId="3" type="noConversion"/>
  </si>
  <si>
    <t>5슈퍼플러스2.0</t>
    <phoneticPr fontId="3" type="noConversion"/>
  </si>
  <si>
    <t>26-1078</t>
    <phoneticPr fontId="3" type="noConversion"/>
  </si>
  <si>
    <t>6MZT128H/S+6CL</t>
    <phoneticPr fontId="3" type="noConversion"/>
  </si>
  <si>
    <t>6MZT128H/S+6CLH/S</t>
    <phoneticPr fontId="3" type="noConversion"/>
  </si>
  <si>
    <t>5CL+5DURA MAX</t>
    <phoneticPr fontId="3" type="noConversion"/>
  </si>
  <si>
    <t>5CL</t>
    <phoneticPr fontId="3" type="noConversion"/>
  </si>
  <si>
    <t>야간</t>
    <phoneticPr fontId="3" type="noConversion"/>
  </si>
  <si>
    <t>26-1000</t>
    <phoneticPr fontId="3" type="noConversion"/>
  </si>
  <si>
    <t>엘엑스-DL건설</t>
    <phoneticPr fontId="3" type="noConversion"/>
  </si>
  <si>
    <t>5newGN+5로이</t>
    <phoneticPr fontId="3" type="noConversion"/>
  </si>
  <si>
    <t>5newGN</t>
    <phoneticPr fontId="3" type="noConversion"/>
  </si>
  <si>
    <t>5CL+5로이</t>
    <phoneticPr fontId="3" type="noConversion"/>
  </si>
  <si>
    <t>5CL</t>
    <phoneticPr fontId="3" type="noConversion"/>
  </si>
  <si>
    <t>5newGN+5로이</t>
    <phoneticPr fontId="3" type="noConversion"/>
  </si>
  <si>
    <t>같이재단</t>
    <phoneticPr fontId="3" type="noConversion"/>
  </si>
  <si>
    <t>같이재단</t>
    <phoneticPr fontId="3" type="noConversion"/>
  </si>
  <si>
    <t>야간</t>
    <phoneticPr fontId="3" type="noConversion"/>
  </si>
  <si>
    <t>26-1167</t>
    <phoneticPr fontId="3" type="noConversion"/>
  </si>
  <si>
    <t>계룡-증산도</t>
    <phoneticPr fontId="3" type="noConversion"/>
  </si>
  <si>
    <t>6SKG149Th/s+6CL</t>
    <phoneticPr fontId="3" type="noConversion"/>
  </si>
  <si>
    <t>6SKG149T</t>
    <phoneticPr fontId="3" type="noConversion"/>
  </si>
  <si>
    <t>6CL</t>
    <phoneticPr fontId="3" type="noConversion"/>
  </si>
  <si>
    <t>6SKG149Th/s+6CLh/s</t>
    <phoneticPr fontId="3" type="noConversion"/>
  </si>
  <si>
    <t>6SKG149Th/s+6CLh/s이형</t>
    <phoneticPr fontId="3" type="noConversion"/>
  </si>
  <si>
    <t>같이재단</t>
    <phoneticPr fontId="3" type="noConversion"/>
  </si>
  <si>
    <t>같이재단</t>
    <phoneticPr fontId="3" type="noConversion"/>
  </si>
  <si>
    <t>같이재단</t>
    <phoneticPr fontId="3" type="noConversion"/>
  </si>
  <si>
    <t>26-1166</t>
    <phoneticPr fontId="3" type="noConversion"/>
  </si>
  <si>
    <t>투명 같이재단</t>
    <phoneticPr fontId="3" type="noConversion"/>
  </si>
  <si>
    <t>26-0992</t>
    <phoneticPr fontId="3" type="noConversion"/>
  </si>
  <si>
    <t>엘엑스-청주지북</t>
    <phoneticPr fontId="3" type="noConversion"/>
  </si>
  <si>
    <t>5newGN</t>
    <phoneticPr fontId="3" type="noConversion"/>
  </si>
  <si>
    <t>5newGN+5로이</t>
    <phoneticPr fontId="3" type="noConversion"/>
  </si>
  <si>
    <t>그린 같이재단</t>
    <phoneticPr fontId="3" type="noConversion"/>
  </si>
  <si>
    <t>5슈퍼플러스2.0N(비강화용)</t>
    <phoneticPr fontId="3" type="noConversion"/>
  </si>
  <si>
    <t>그린, 로이 같이재단</t>
    <phoneticPr fontId="3" type="noConversion"/>
  </si>
  <si>
    <t>5CL+5로이</t>
    <phoneticPr fontId="3" type="noConversion"/>
  </si>
  <si>
    <t>26-1170</t>
    <phoneticPr fontId="3" type="noConversion"/>
  </si>
  <si>
    <t>다솔산업</t>
    <phoneticPr fontId="3" type="noConversion"/>
  </si>
  <si>
    <t>5newGN</t>
    <phoneticPr fontId="3" type="noConversion"/>
  </si>
  <si>
    <t>5CL+5DURA MAX</t>
    <phoneticPr fontId="3" type="noConversion"/>
  </si>
  <si>
    <t>같이재단</t>
    <phoneticPr fontId="3" type="noConversion"/>
  </si>
  <si>
    <t>투명 같이재단</t>
    <phoneticPr fontId="3" type="noConversion"/>
  </si>
  <si>
    <t>투명 같이재단</t>
    <phoneticPr fontId="3" type="noConversion"/>
  </si>
  <si>
    <t>5ML+5DURA MAX</t>
    <phoneticPr fontId="3" type="noConversion"/>
  </si>
  <si>
    <t>5DURA MAX(비강화용)</t>
    <phoneticPr fontId="3" type="noConversion"/>
  </si>
  <si>
    <t>26-1165</t>
    <phoneticPr fontId="3" type="noConversion"/>
  </si>
  <si>
    <t>인텔-이천문경</t>
    <phoneticPr fontId="3" type="noConversion"/>
  </si>
  <si>
    <t>그린 1170, 1165, 1171 같이재단</t>
    <phoneticPr fontId="3" type="noConversion"/>
  </si>
  <si>
    <t>듀라맥스 1170, 1165 같이재단</t>
    <phoneticPr fontId="3" type="noConversion"/>
  </si>
  <si>
    <t>5newGN</t>
    <phoneticPr fontId="3" type="noConversion"/>
  </si>
  <si>
    <t>그린 1170, 1165, 1171 같이재단</t>
    <phoneticPr fontId="3" type="noConversion"/>
  </si>
  <si>
    <t>26-1171</t>
    <phoneticPr fontId="3" type="noConversion"/>
  </si>
  <si>
    <t>김성중</t>
    <phoneticPr fontId="3" type="noConversion"/>
  </si>
  <si>
    <t>5CL+5CL</t>
    <phoneticPr fontId="3" type="noConversion"/>
  </si>
  <si>
    <t>5CL</t>
    <phoneticPr fontId="3" type="noConversion"/>
  </si>
  <si>
    <t>투명 같이재단, 그린 1170, 1165, 1171 같이재단</t>
    <phoneticPr fontId="3" type="noConversion"/>
  </si>
  <si>
    <t>26-0960</t>
    <phoneticPr fontId="3" type="noConversion"/>
  </si>
  <si>
    <t>계룡-경기부천</t>
    <phoneticPr fontId="3" type="noConversion"/>
  </si>
  <si>
    <t>5CL</t>
    <phoneticPr fontId="3" type="noConversion"/>
  </si>
  <si>
    <t>26-1125</t>
    <phoneticPr fontId="3" type="noConversion"/>
  </si>
  <si>
    <t>신라-보건환경</t>
    <phoneticPr fontId="3" type="noConversion"/>
  </si>
  <si>
    <t>5MZT152h/s+5CL</t>
    <phoneticPr fontId="3" type="noConversion"/>
  </si>
  <si>
    <t>26-1126</t>
    <phoneticPr fontId="3" type="noConversion"/>
  </si>
  <si>
    <t>26-1128</t>
    <phoneticPr fontId="3" type="noConversion"/>
  </si>
  <si>
    <t>신라-보건환경</t>
    <phoneticPr fontId="3" type="noConversion"/>
  </si>
  <si>
    <t>26-1130</t>
    <phoneticPr fontId="3" type="noConversion"/>
  </si>
  <si>
    <t>26-1168</t>
    <phoneticPr fontId="3" type="noConversion"/>
  </si>
  <si>
    <t>케이씨씨-여의도</t>
    <phoneticPr fontId="3" type="noConversion"/>
  </si>
  <si>
    <t>5MVT172h/s+5CLh/s</t>
    <phoneticPr fontId="3" type="noConversion"/>
  </si>
  <si>
    <t>5MVT172+5CL</t>
    <phoneticPr fontId="3" type="noConversion"/>
  </si>
  <si>
    <t>5MVT172</t>
    <phoneticPr fontId="3" type="noConversion"/>
  </si>
  <si>
    <t>26-0760</t>
    <phoneticPr fontId="3" type="noConversion"/>
  </si>
  <si>
    <t>6MZT135h/s+6CLh/s</t>
    <phoneticPr fontId="3" type="noConversion"/>
  </si>
  <si>
    <t>6MZT135</t>
    <phoneticPr fontId="3" type="noConversion"/>
  </si>
  <si>
    <t>6MZT135h/s+6CL</t>
    <phoneticPr fontId="3" type="noConversion"/>
  </si>
  <si>
    <t>26-0764</t>
    <phoneticPr fontId="3" type="noConversion"/>
  </si>
  <si>
    <t>신동아-건강보험</t>
    <phoneticPr fontId="3" type="noConversion"/>
  </si>
  <si>
    <t>로이 같이재단 - 강화불량</t>
    <phoneticPr fontId="3" type="noConversion"/>
  </si>
  <si>
    <t>6CL</t>
    <phoneticPr fontId="3" type="noConversion"/>
  </si>
  <si>
    <t>오도시</t>
    <phoneticPr fontId="3" type="noConversion"/>
  </si>
  <si>
    <t>26-0762</t>
    <phoneticPr fontId="3" type="noConversion"/>
  </si>
  <si>
    <t>신동아-건강보험</t>
    <phoneticPr fontId="3" type="noConversion"/>
  </si>
  <si>
    <t>6MZT128h/s+6CLh/s</t>
    <phoneticPr fontId="3" type="noConversion"/>
  </si>
  <si>
    <t>6MZT128</t>
    <phoneticPr fontId="3" type="noConversion"/>
  </si>
  <si>
    <t>로이 강화불량</t>
    <phoneticPr fontId="3" type="noConversion"/>
  </si>
  <si>
    <t>26-1167</t>
    <phoneticPr fontId="3" type="noConversion"/>
  </si>
  <si>
    <t>계룡-증산도</t>
    <phoneticPr fontId="3" type="noConversion"/>
  </si>
  <si>
    <t>6SKG149Th/s+6CL(이형)</t>
    <phoneticPr fontId="3" type="noConversion"/>
  </si>
  <si>
    <t>6SKG149T</t>
    <phoneticPr fontId="3" type="noConversion"/>
  </si>
  <si>
    <t>6CL</t>
    <phoneticPr fontId="3" type="noConversion"/>
  </si>
  <si>
    <t>26-0988</t>
    <phoneticPr fontId="3" type="noConversion"/>
  </si>
  <si>
    <t>26-0992</t>
    <phoneticPr fontId="3" type="noConversion"/>
  </si>
  <si>
    <t>엘엑스-지북</t>
    <phoneticPr fontId="3" type="noConversion"/>
  </si>
  <si>
    <t>5CL+5로이</t>
    <phoneticPr fontId="3" type="noConversion"/>
  </si>
  <si>
    <t>5CL</t>
    <phoneticPr fontId="3" type="noConversion"/>
  </si>
  <si>
    <t>5SUPERPUUSN(비강화용)</t>
    <phoneticPr fontId="3" type="noConversion"/>
  </si>
  <si>
    <t>26-0990</t>
    <phoneticPr fontId="3" type="noConversion"/>
  </si>
  <si>
    <t>투명재단</t>
    <phoneticPr fontId="3" type="noConversion"/>
  </si>
  <si>
    <t>26-1129</t>
    <phoneticPr fontId="3" type="noConversion"/>
  </si>
  <si>
    <t>신라-보건환경연구원</t>
    <phoneticPr fontId="3" type="noConversion"/>
  </si>
  <si>
    <t>5MZT152H/S+5CL</t>
    <phoneticPr fontId="3" type="noConversion"/>
  </si>
  <si>
    <t>26-1127</t>
    <phoneticPr fontId="3" type="noConversion"/>
  </si>
  <si>
    <t>26-0961</t>
    <phoneticPr fontId="3" type="noConversion"/>
  </si>
  <si>
    <t>26-0857</t>
    <phoneticPr fontId="3" type="noConversion"/>
  </si>
  <si>
    <t>26-1237</t>
    <phoneticPr fontId="3" type="noConversion"/>
  </si>
  <si>
    <t>정석개발 원판 사용 - 마감 지게차 파손</t>
    <phoneticPr fontId="3" type="noConversion"/>
  </si>
  <si>
    <t>26-1232</t>
    <phoneticPr fontId="3" type="noConversion"/>
  </si>
  <si>
    <t>5SUPER PLUS20.N(비강화용)</t>
    <phoneticPr fontId="3" type="noConversion"/>
  </si>
  <si>
    <t>26-1184</t>
    <phoneticPr fontId="3" type="noConversion"/>
  </si>
  <si>
    <t>대륙산업개발</t>
    <phoneticPr fontId="3" type="noConversion"/>
  </si>
  <si>
    <t>로이재단 - 원판 핀홀</t>
    <phoneticPr fontId="3" type="noConversion"/>
  </si>
  <si>
    <t>로이재단 - 오도시 원판 핀홀</t>
    <phoneticPr fontId="3" type="noConversion"/>
  </si>
  <si>
    <t>투명재단 - 에칭파손 26-0609, 0599 같이재단</t>
    <phoneticPr fontId="3" type="noConversion"/>
  </si>
  <si>
    <t>26-1127</t>
    <phoneticPr fontId="3" type="noConversion"/>
  </si>
  <si>
    <t>26-0962</t>
    <phoneticPr fontId="3" type="noConversion"/>
  </si>
  <si>
    <t>계룡-부천</t>
    <phoneticPr fontId="3" type="noConversion"/>
  </si>
  <si>
    <t>5CL+5로이</t>
    <phoneticPr fontId="3" type="noConversion"/>
  </si>
  <si>
    <t>5CL</t>
    <phoneticPr fontId="3" type="noConversion"/>
  </si>
  <si>
    <t>26-0565</t>
    <phoneticPr fontId="3" type="noConversion"/>
  </si>
  <si>
    <t>태영-부산</t>
    <phoneticPr fontId="3" type="noConversion"/>
  </si>
  <si>
    <t>5CLH/S+5로이</t>
    <phoneticPr fontId="3" type="noConversion"/>
  </si>
  <si>
    <t>26-0566</t>
    <phoneticPr fontId="3" type="noConversion"/>
  </si>
  <si>
    <t>26-0567</t>
    <phoneticPr fontId="3" type="noConversion"/>
  </si>
  <si>
    <t>투명재단 - 26-0565, 0566, 0567 같이재단</t>
    <phoneticPr fontId="3" type="noConversion"/>
  </si>
  <si>
    <t>8.76투명접합+5로이H/S+5로이</t>
    <phoneticPr fontId="3" type="noConversion"/>
  </si>
  <si>
    <t>5DURA MAX</t>
    <phoneticPr fontId="3" type="noConversion"/>
  </si>
  <si>
    <t>26-0565, 0566, 0567 같이재단</t>
    <phoneticPr fontId="3" type="noConversion"/>
  </si>
  <si>
    <t>(4CL+4CL)+5로이</t>
    <phoneticPr fontId="3" type="noConversion"/>
  </si>
  <si>
    <t>로이재단</t>
    <phoneticPr fontId="3" type="noConversion"/>
  </si>
  <si>
    <t>26-1175</t>
    <phoneticPr fontId="3" type="noConversion"/>
  </si>
  <si>
    <t>한라-월명공원</t>
    <phoneticPr fontId="3" type="noConversion"/>
  </si>
  <si>
    <t>5CL+5로이</t>
    <phoneticPr fontId="3" type="noConversion"/>
  </si>
  <si>
    <t>5CLH/S+5로이</t>
    <phoneticPr fontId="3" type="noConversion"/>
  </si>
  <si>
    <t>5CL</t>
    <phoneticPr fontId="3" type="noConversion"/>
  </si>
  <si>
    <t>5마스터원</t>
    <phoneticPr fontId="3" type="noConversion"/>
  </si>
  <si>
    <t>26-1188</t>
    <phoneticPr fontId="3" type="noConversion"/>
  </si>
  <si>
    <t>태영-청주</t>
    <phoneticPr fontId="3" type="noConversion"/>
  </si>
  <si>
    <t>5CL+5스팬드럴</t>
    <phoneticPr fontId="3" type="noConversion"/>
  </si>
  <si>
    <t>오도시</t>
    <phoneticPr fontId="3" type="noConversion"/>
  </si>
  <si>
    <t>26-0963</t>
    <phoneticPr fontId="3" type="noConversion"/>
  </si>
  <si>
    <t>계룡-부천</t>
    <phoneticPr fontId="3" type="noConversion"/>
  </si>
  <si>
    <t>5DURA MAX</t>
    <phoneticPr fontId="3" type="noConversion"/>
  </si>
  <si>
    <t>5DURA MAX(비강화용)</t>
    <phoneticPr fontId="3" type="noConversion"/>
  </si>
  <si>
    <t>26-0590</t>
    <phoneticPr fontId="3" type="noConversion"/>
  </si>
  <si>
    <t>제일-인천</t>
    <phoneticPr fontId="3" type="noConversion"/>
  </si>
  <si>
    <t>5newGNH/S+5로이H/S</t>
    <phoneticPr fontId="3" type="noConversion"/>
  </si>
  <si>
    <t>로이재단 - 강화불량</t>
    <phoneticPr fontId="3" type="noConversion"/>
  </si>
  <si>
    <t>26-1185</t>
    <phoneticPr fontId="3" type="noConversion"/>
  </si>
  <si>
    <t>현엔-화성기아</t>
    <phoneticPr fontId="3" type="noConversion"/>
  </si>
  <si>
    <t>26-1186</t>
    <phoneticPr fontId="3" type="noConversion"/>
  </si>
  <si>
    <t>26-1187</t>
    <phoneticPr fontId="3" type="noConversion"/>
  </si>
  <si>
    <t>5BLH/S+5로이</t>
    <phoneticPr fontId="3" type="noConversion"/>
  </si>
  <si>
    <t>5BL</t>
    <phoneticPr fontId="3" type="noConversion"/>
  </si>
  <si>
    <t>26-1185, 1186, 1187 같이재단</t>
    <phoneticPr fontId="3" type="noConversion"/>
  </si>
  <si>
    <t>26-0993</t>
    <phoneticPr fontId="3" type="noConversion"/>
  </si>
  <si>
    <t>26-0991</t>
    <phoneticPr fontId="3" type="noConversion"/>
  </si>
  <si>
    <t>26-0989</t>
    <phoneticPr fontId="3" type="noConversion"/>
  </si>
  <si>
    <t>엘엑스-지북</t>
    <phoneticPr fontId="3" type="noConversion"/>
  </si>
  <si>
    <t>5NX</t>
    <phoneticPr fontId="3" type="noConversion"/>
  </si>
  <si>
    <t>5newGNH/S+5로이</t>
    <phoneticPr fontId="3" type="noConversion"/>
  </si>
  <si>
    <t>26-0993, 0991, 0989 같이재단</t>
    <phoneticPr fontId="3" type="noConversion"/>
  </si>
  <si>
    <t>야간</t>
    <phoneticPr fontId="3" type="noConversion"/>
  </si>
  <si>
    <t>5SUPER PLUS2.0(강화용)</t>
    <phoneticPr fontId="3" type="noConversion"/>
  </si>
  <si>
    <t>26-1023</t>
    <phoneticPr fontId="3" type="noConversion"/>
  </si>
  <si>
    <t>대원-과학자마을</t>
    <phoneticPr fontId="3" type="noConversion"/>
  </si>
  <si>
    <t>5CL+5로이H/S</t>
    <phoneticPr fontId="3" type="noConversion"/>
  </si>
  <si>
    <t>26-1021</t>
    <phoneticPr fontId="3" type="noConversion"/>
  </si>
  <si>
    <t>26-0679</t>
    <phoneticPr fontId="3" type="noConversion"/>
  </si>
  <si>
    <t>신동아-건강보험</t>
    <phoneticPr fontId="3" type="noConversion"/>
  </si>
  <si>
    <t>6MZT135H/S+6CL</t>
    <phoneticPr fontId="3" type="noConversion"/>
  </si>
  <si>
    <t>6MZT135H/S+6CLH/S</t>
    <phoneticPr fontId="3" type="noConversion"/>
  </si>
  <si>
    <t>6MZT135</t>
    <phoneticPr fontId="3" type="noConversion"/>
  </si>
  <si>
    <t>6CL</t>
    <phoneticPr fontId="3" type="noConversion"/>
  </si>
  <si>
    <t>투명재단 - 생산파손</t>
    <phoneticPr fontId="3" type="noConversion"/>
  </si>
  <si>
    <t>투명재단 - 강화불량</t>
    <phoneticPr fontId="3" type="noConversion"/>
  </si>
  <si>
    <t>태영-부산</t>
    <phoneticPr fontId="3" type="noConversion"/>
  </si>
  <si>
    <t>26-0566</t>
    <phoneticPr fontId="3" type="noConversion"/>
  </si>
  <si>
    <t>26-0567</t>
    <phoneticPr fontId="3" type="noConversion"/>
  </si>
  <si>
    <t>26-1079</t>
    <phoneticPr fontId="3" type="noConversion"/>
  </si>
  <si>
    <t>6MZT128H/S+6CL</t>
    <phoneticPr fontId="3" type="noConversion"/>
  </si>
  <si>
    <t>6MZT128H/S+6CLH/S</t>
    <phoneticPr fontId="3" type="noConversion"/>
  </si>
  <si>
    <t>6MZT128H/S+8.76투명강화접합</t>
    <phoneticPr fontId="3" type="noConversion"/>
  </si>
  <si>
    <t>6MZT128</t>
    <phoneticPr fontId="3" type="noConversion"/>
  </si>
  <si>
    <t>로이재단</t>
    <phoneticPr fontId="3" type="noConversion"/>
  </si>
  <si>
    <t>26-0993</t>
    <phoneticPr fontId="3" type="noConversion"/>
  </si>
  <si>
    <t>5CL+5로이</t>
    <phoneticPr fontId="3" type="noConversion"/>
  </si>
  <si>
    <t>5NX</t>
    <phoneticPr fontId="3" type="noConversion"/>
  </si>
  <si>
    <t>5CL</t>
    <phoneticPr fontId="3" type="noConversion"/>
  </si>
  <si>
    <t>26-0991</t>
    <phoneticPr fontId="3" type="noConversion"/>
  </si>
  <si>
    <t>26-0498</t>
    <phoneticPr fontId="3" type="noConversion"/>
  </si>
  <si>
    <t>대우-청주테크노</t>
    <phoneticPr fontId="3" type="noConversion"/>
  </si>
  <si>
    <t>5POWERSOFT</t>
    <phoneticPr fontId="3" type="noConversion"/>
  </si>
  <si>
    <t>5번 312조 중 120조 재단</t>
    <phoneticPr fontId="3" type="noConversion"/>
  </si>
  <si>
    <t>로이 같이재단</t>
    <phoneticPr fontId="3" type="noConversion"/>
  </si>
  <si>
    <t>26-0989</t>
    <phoneticPr fontId="3" type="noConversion"/>
  </si>
  <si>
    <t>엘엑스-청주지북</t>
    <phoneticPr fontId="3" type="noConversion"/>
  </si>
  <si>
    <t>5newGN+5로이</t>
    <phoneticPr fontId="3" type="noConversion"/>
  </si>
  <si>
    <t>5newGN</t>
    <phoneticPr fontId="3" type="noConversion"/>
  </si>
  <si>
    <t>5슈퍼플러스2.0(강화용)</t>
    <phoneticPr fontId="3" type="noConversion"/>
  </si>
  <si>
    <t>4-11, 21-22 같이재단</t>
    <phoneticPr fontId="3" type="noConversion"/>
  </si>
  <si>
    <t>26-0991</t>
    <phoneticPr fontId="3" type="noConversion"/>
  </si>
  <si>
    <t>5CL+5로이</t>
    <phoneticPr fontId="3" type="noConversion"/>
  </si>
  <si>
    <t>5newGN</t>
    <phoneticPr fontId="3" type="noConversion"/>
  </si>
  <si>
    <t>5newGNh/s+5로이</t>
    <phoneticPr fontId="3" type="noConversion"/>
  </si>
  <si>
    <t>5newGN</t>
    <phoneticPr fontId="3" type="noConversion"/>
  </si>
  <si>
    <t>5newGN+5로이</t>
    <phoneticPr fontId="3" type="noConversion"/>
  </si>
  <si>
    <t>5newGN+5로이</t>
    <phoneticPr fontId="3" type="noConversion"/>
  </si>
  <si>
    <t>26-0999</t>
    <phoneticPr fontId="3" type="noConversion"/>
  </si>
  <si>
    <t>26-0998</t>
    <phoneticPr fontId="3" type="noConversion"/>
  </si>
  <si>
    <t>26-1269</t>
    <phoneticPr fontId="3" type="noConversion"/>
  </si>
  <si>
    <t>세지-음성교육청</t>
    <phoneticPr fontId="3" type="noConversion"/>
  </si>
  <si>
    <t>5SKN154IIh/s+5CL</t>
    <phoneticPr fontId="3" type="noConversion"/>
  </si>
  <si>
    <t>오도시</t>
    <phoneticPr fontId="3" type="noConversion"/>
  </si>
  <si>
    <t>26-1226</t>
    <phoneticPr fontId="3" type="noConversion"/>
  </si>
  <si>
    <t>대원-K과학자</t>
    <phoneticPr fontId="3" type="noConversion"/>
  </si>
  <si>
    <t>5CL에칭+로이h/s이형</t>
    <phoneticPr fontId="3" type="noConversion"/>
  </si>
  <si>
    <t>5CL</t>
    <phoneticPr fontId="3" type="noConversion"/>
  </si>
  <si>
    <t>5듀라맥스(강화용)</t>
    <phoneticPr fontId="3" type="noConversion"/>
  </si>
  <si>
    <t>26-1079</t>
    <phoneticPr fontId="3" type="noConversion"/>
  </si>
  <si>
    <t>신동아-건강보험</t>
    <phoneticPr fontId="3" type="noConversion"/>
  </si>
  <si>
    <t>6MZT128h/s+6CL</t>
    <phoneticPr fontId="3" type="noConversion"/>
  </si>
  <si>
    <t>6MZT128h/s+6CLh/s</t>
    <phoneticPr fontId="3" type="noConversion"/>
  </si>
  <si>
    <t>6CL</t>
    <phoneticPr fontId="3" type="noConversion"/>
  </si>
  <si>
    <t>2-6, 13번 같이재단</t>
    <phoneticPr fontId="3" type="noConversion"/>
  </si>
  <si>
    <t>3-6, 13번 같이재단</t>
    <phoneticPr fontId="3" type="noConversion"/>
  </si>
  <si>
    <t>26-0760</t>
    <phoneticPr fontId="3" type="noConversion"/>
  </si>
  <si>
    <t>신동아-건강보험</t>
    <phoneticPr fontId="3" type="noConversion"/>
  </si>
  <si>
    <t>5MZT135h/s+5CLh/s</t>
    <phoneticPr fontId="3" type="noConversion"/>
  </si>
  <si>
    <t>5MZT135</t>
    <phoneticPr fontId="3" type="noConversion"/>
  </si>
  <si>
    <t>5CL</t>
    <phoneticPr fontId="3" type="noConversion"/>
  </si>
  <si>
    <t>26-0764</t>
    <phoneticPr fontId="3" type="noConversion"/>
  </si>
  <si>
    <t>26-0765</t>
    <phoneticPr fontId="3" type="noConversion"/>
  </si>
  <si>
    <t>0760, 0764, 0765 같이재단</t>
    <phoneticPr fontId="3" type="noConversion"/>
  </si>
  <si>
    <t>2-7, 9-17번 투명 같이재단</t>
    <phoneticPr fontId="3" type="noConversion"/>
  </si>
  <si>
    <t>7T 투명망입(다이아)</t>
    <phoneticPr fontId="3" type="noConversion"/>
  </si>
  <si>
    <t>26-1283</t>
    <phoneticPr fontId="3" type="noConversion"/>
  </si>
  <si>
    <t>현엔-아산</t>
    <phoneticPr fontId="3" type="noConversion"/>
  </si>
  <si>
    <t>5CL+5로이</t>
    <phoneticPr fontId="3" type="noConversion"/>
  </si>
  <si>
    <t>5CL</t>
    <phoneticPr fontId="3" type="noConversion"/>
  </si>
  <si>
    <t>5마스터원</t>
    <phoneticPr fontId="3" type="noConversion"/>
  </si>
  <si>
    <t>26-1285</t>
    <phoneticPr fontId="3" type="noConversion"/>
  </si>
  <si>
    <t>혜림-춘천</t>
    <phoneticPr fontId="3" type="noConversion"/>
  </si>
  <si>
    <t>5newGN+5로이</t>
    <phoneticPr fontId="3" type="noConversion"/>
  </si>
  <si>
    <t>오도시</t>
    <phoneticPr fontId="3" type="noConversion"/>
  </si>
  <si>
    <t>26-1282</t>
    <phoneticPr fontId="3" type="noConversion"/>
  </si>
  <si>
    <t>현산-신월</t>
    <phoneticPr fontId="3" type="noConversion"/>
  </si>
  <si>
    <t>8투명강화</t>
    <phoneticPr fontId="3" type="noConversion"/>
  </si>
  <si>
    <t>8CL</t>
    <phoneticPr fontId="3" type="noConversion"/>
  </si>
  <si>
    <t>26-0998</t>
    <phoneticPr fontId="3" type="noConversion"/>
  </si>
  <si>
    <t>엘엑스-지북</t>
    <phoneticPr fontId="3" type="noConversion"/>
  </si>
  <si>
    <t>5SUPERPLUS2.0(강화용)</t>
    <phoneticPr fontId="3" type="noConversion"/>
  </si>
  <si>
    <t>26-0999</t>
    <phoneticPr fontId="3" type="noConversion"/>
  </si>
  <si>
    <t>야간</t>
    <phoneticPr fontId="3" type="noConversion"/>
  </si>
  <si>
    <t>26-0565</t>
    <phoneticPr fontId="3" type="noConversion"/>
  </si>
  <si>
    <t>태영-부산</t>
    <phoneticPr fontId="3" type="noConversion"/>
  </si>
  <si>
    <t>5DURA MAX(비강화용)</t>
    <phoneticPr fontId="3" type="noConversion"/>
  </si>
  <si>
    <t>로이재단 - DURA+ 재단분</t>
    <phoneticPr fontId="3" type="noConversion"/>
  </si>
  <si>
    <t>26-0713</t>
    <phoneticPr fontId="3" type="noConversion"/>
  </si>
  <si>
    <t>신동아-건강보험</t>
    <phoneticPr fontId="3" type="noConversion"/>
  </si>
  <si>
    <t>6MZT135H/S+6CLH/S</t>
    <phoneticPr fontId="3" type="noConversion"/>
  </si>
  <si>
    <t>6CL</t>
    <phoneticPr fontId="3" type="noConversion"/>
  </si>
  <si>
    <t>6MZT135</t>
    <phoneticPr fontId="3" type="noConversion"/>
  </si>
  <si>
    <t>26-1228</t>
    <phoneticPr fontId="3" type="noConversion"/>
  </si>
  <si>
    <t>대원-과학자마을</t>
    <phoneticPr fontId="3" type="noConversion"/>
  </si>
  <si>
    <t>5CL+5로이H/S이형</t>
    <phoneticPr fontId="3" type="noConversion"/>
  </si>
  <si>
    <t>5CL+5로이H/S</t>
    <phoneticPr fontId="3" type="noConversion"/>
  </si>
  <si>
    <t>5DURA MAX</t>
    <phoneticPr fontId="3" type="noConversion"/>
  </si>
  <si>
    <t>26-1229</t>
    <phoneticPr fontId="3" type="noConversion"/>
  </si>
  <si>
    <t>26-1227</t>
    <phoneticPr fontId="3" type="noConversion"/>
  </si>
  <si>
    <t>26-1248</t>
    <phoneticPr fontId="3" type="noConversion"/>
  </si>
  <si>
    <t>한라-군산</t>
    <phoneticPr fontId="3" type="noConversion"/>
  </si>
  <si>
    <t>5CLH/S+5로이H/S</t>
    <phoneticPr fontId="3" type="noConversion"/>
  </si>
  <si>
    <t>5CL</t>
    <phoneticPr fontId="3" type="noConversion"/>
  </si>
  <si>
    <t>5PLTDURA+</t>
    <phoneticPr fontId="3" type="noConversion"/>
  </si>
  <si>
    <t>26-1284</t>
    <phoneticPr fontId="3" type="noConversion"/>
  </si>
  <si>
    <t>씨타-춘천</t>
    <phoneticPr fontId="3" type="noConversion"/>
  </si>
  <si>
    <t>5MZT152H/S+5CLH/S+5MZT152H/S</t>
    <phoneticPr fontId="3" type="noConversion"/>
  </si>
  <si>
    <t>5MZT152H/S+5CL</t>
    <phoneticPr fontId="3" type="noConversion"/>
  </si>
  <si>
    <t>5투명강화</t>
    <phoneticPr fontId="3" type="noConversion"/>
  </si>
  <si>
    <t>12투명강화</t>
    <phoneticPr fontId="3" type="noConversion"/>
  </si>
  <si>
    <t>5MZT152</t>
    <phoneticPr fontId="3" type="noConversion"/>
  </si>
  <si>
    <t>오도시</t>
    <phoneticPr fontId="3" type="noConversion"/>
  </si>
  <si>
    <t>26-1172</t>
    <phoneticPr fontId="3" type="noConversion"/>
  </si>
  <si>
    <t>계룡-KT인재개발원</t>
    <phoneticPr fontId="3" type="noConversion"/>
  </si>
  <si>
    <t>5투명</t>
    <phoneticPr fontId="3" type="noConversion"/>
  </si>
  <si>
    <t>658조 중 262조 재단</t>
    <phoneticPr fontId="3" type="noConversion"/>
  </si>
  <si>
    <t>26-0566</t>
    <phoneticPr fontId="3" type="noConversion"/>
  </si>
  <si>
    <t>26-0567</t>
    <phoneticPr fontId="3" type="noConversion"/>
  </si>
  <si>
    <t>26-1067</t>
    <phoneticPr fontId="3" type="noConversion"/>
  </si>
  <si>
    <t>26-1136</t>
    <phoneticPr fontId="3" type="noConversion"/>
  </si>
  <si>
    <t>26-1137</t>
    <phoneticPr fontId="3" type="noConversion"/>
  </si>
  <si>
    <t>26-1138</t>
    <phoneticPr fontId="3" type="noConversion"/>
  </si>
  <si>
    <t>26-1149</t>
    <phoneticPr fontId="3" type="noConversion"/>
  </si>
  <si>
    <t>5DURA MAX(강화용)</t>
    <phoneticPr fontId="3" type="noConversion"/>
  </si>
  <si>
    <t>강화용 로이 재단 - 26-1136, 1137, 1138, 1149 같이재단</t>
    <phoneticPr fontId="3" type="noConversion"/>
  </si>
  <si>
    <t>26-1136, 1137, 1138, 1149 같이재단</t>
  </si>
  <si>
    <t>26-1081</t>
    <phoneticPr fontId="3" type="noConversion"/>
  </si>
  <si>
    <t>26-1352</t>
    <phoneticPr fontId="3" type="noConversion"/>
  </si>
  <si>
    <t>미도사</t>
    <phoneticPr fontId="3" type="noConversion"/>
  </si>
  <si>
    <t>5newGN+5CL</t>
    <phoneticPr fontId="3" type="noConversion"/>
  </si>
  <si>
    <t>26-1335</t>
    <phoneticPr fontId="3" type="noConversion"/>
  </si>
  <si>
    <t>성신</t>
    <phoneticPr fontId="3" type="noConversion"/>
  </si>
  <si>
    <t>5newGN</t>
    <phoneticPr fontId="3" type="noConversion"/>
  </si>
  <si>
    <t>1352, 1335 같이재단</t>
    <phoneticPr fontId="3" type="noConversion"/>
  </si>
  <si>
    <t>26-1286</t>
    <phoneticPr fontId="3" type="noConversion"/>
  </si>
  <si>
    <t>계룡-KT인재개발원</t>
    <phoneticPr fontId="3" type="noConversion"/>
  </si>
  <si>
    <t>5CL+5CL</t>
    <phoneticPr fontId="3" type="noConversion"/>
  </si>
  <si>
    <t>5CL에칭+5로이</t>
    <phoneticPr fontId="3" type="noConversion"/>
  </si>
  <si>
    <t>5CL</t>
    <phoneticPr fontId="3" type="noConversion"/>
  </si>
  <si>
    <t>5CL</t>
    <phoneticPr fontId="3" type="noConversion"/>
  </si>
  <si>
    <t>5DURA MAX</t>
    <phoneticPr fontId="3" type="noConversion"/>
  </si>
  <si>
    <t>26-1172</t>
    <phoneticPr fontId="3" type="noConversion"/>
  </si>
  <si>
    <t>5T투명</t>
    <phoneticPr fontId="3" type="noConversion"/>
  </si>
  <si>
    <t>5CL</t>
    <phoneticPr fontId="3" type="noConversion"/>
  </si>
  <si>
    <t>1-4번 투명재단</t>
    <phoneticPr fontId="3" type="noConversion"/>
  </si>
  <si>
    <t>7-8번 재단</t>
    <phoneticPr fontId="3" type="noConversion"/>
  </si>
  <si>
    <t>26-1138</t>
    <phoneticPr fontId="3" type="noConversion"/>
  </si>
  <si>
    <t>태영-부산</t>
    <phoneticPr fontId="3" type="noConversion"/>
  </si>
  <si>
    <t>5CL+5로이</t>
    <phoneticPr fontId="3" type="noConversion"/>
  </si>
  <si>
    <t>5DURA MAX</t>
    <phoneticPr fontId="3" type="noConversion"/>
  </si>
  <si>
    <t>로이재단</t>
    <phoneticPr fontId="3" type="noConversion"/>
  </si>
  <si>
    <t>26-1081</t>
    <phoneticPr fontId="3" type="noConversion"/>
  </si>
  <si>
    <t>신동아-건강</t>
    <phoneticPr fontId="3" type="noConversion"/>
  </si>
  <si>
    <t>6MZT128h/s+6CL</t>
    <phoneticPr fontId="3" type="noConversion"/>
  </si>
  <si>
    <t>6CL</t>
    <phoneticPr fontId="3" type="noConversion"/>
  </si>
  <si>
    <t>6MZT128</t>
    <phoneticPr fontId="3" type="noConversion"/>
  </si>
  <si>
    <t>6MZT128h/s+6CLh/s</t>
    <phoneticPr fontId="3" type="noConversion"/>
  </si>
  <si>
    <t>6MZT128h/s+6CLh/s</t>
    <phoneticPr fontId="3" type="noConversion"/>
  </si>
  <si>
    <t>26-1068</t>
    <phoneticPr fontId="3" type="noConversion"/>
  </si>
  <si>
    <t>5newGN+5로이</t>
    <phoneticPr fontId="3" type="noConversion"/>
  </si>
  <si>
    <t>5newGN</t>
    <phoneticPr fontId="3" type="noConversion"/>
  </si>
  <si>
    <t>5듀라맥스</t>
    <phoneticPr fontId="3" type="noConversion"/>
  </si>
  <si>
    <t>1-7, 15-17 같이재단</t>
    <phoneticPr fontId="3" type="noConversion"/>
  </si>
  <si>
    <t>5듀라플러스</t>
    <phoneticPr fontId="3" type="noConversion"/>
  </si>
  <si>
    <t>8.76(4cl+0.76+4cl)+5로이</t>
    <phoneticPr fontId="3" type="noConversion"/>
  </si>
  <si>
    <t>5듀라맥스</t>
    <phoneticPr fontId="3" type="noConversion"/>
  </si>
  <si>
    <t>로이재단</t>
    <phoneticPr fontId="3" type="noConversion"/>
  </si>
  <si>
    <t>5CL+5로이</t>
    <phoneticPr fontId="3" type="noConversion"/>
  </si>
  <si>
    <t>26-1137</t>
    <phoneticPr fontId="3" type="noConversion"/>
  </si>
  <si>
    <t>태영-부산</t>
    <phoneticPr fontId="3" type="noConversion"/>
  </si>
  <si>
    <t>5CL+5로이</t>
    <phoneticPr fontId="3" type="noConversion"/>
  </si>
  <si>
    <t>투명재단</t>
    <phoneticPr fontId="3" type="noConversion"/>
  </si>
  <si>
    <t>26-1149</t>
    <phoneticPr fontId="3" type="noConversion"/>
  </si>
  <si>
    <t>태영-부산</t>
    <phoneticPr fontId="3" type="noConversion"/>
  </si>
  <si>
    <t>26-1080</t>
    <phoneticPr fontId="3" type="noConversion"/>
  </si>
  <si>
    <t>6MZT128h/s+6CL</t>
    <phoneticPr fontId="3" type="noConversion"/>
  </si>
  <si>
    <t>4, 9, 19,20번 투명재단</t>
    <phoneticPr fontId="3" type="noConversion"/>
  </si>
  <si>
    <t>26-1331</t>
    <phoneticPr fontId="3" type="noConversion"/>
  </si>
  <si>
    <t>청주시청</t>
    <phoneticPr fontId="3" type="noConversion"/>
  </si>
  <si>
    <t>5CL+5ONE 이형</t>
    <phoneticPr fontId="3" type="noConversion"/>
  </si>
  <si>
    <t>5CL</t>
    <phoneticPr fontId="3" type="noConversion"/>
  </si>
  <si>
    <t>5CL+5ONE</t>
    <phoneticPr fontId="3" type="noConversion"/>
  </si>
  <si>
    <t>1-21번 같이재단</t>
    <phoneticPr fontId="3" type="noConversion"/>
  </si>
  <si>
    <t>26-1330</t>
    <phoneticPr fontId="3" type="noConversion"/>
  </si>
  <si>
    <t>인성-청주드림</t>
    <phoneticPr fontId="3" type="noConversion"/>
  </si>
  <si>
    <t>5SKN154+5CLh/s에칭</t>
    <phoneticPr fontId="3" type="noConversion"/>
  </si>
  <si>
    <t>5SKN154+5CL</t>
    <phoneticPr fontId="3" type="noConversion"/>
  </si>
  <si>
    <t>5CL</t>
    <phoneticPr fontId="3" type="noConversion"/>
  </si>
  <si>
    <t>1-3번 같이재단</t>
    <phoneticPr fontId="3" type="noConversion"/>
  </si>
  <si>
    <t>로이재단 - 5-32 같이재단</t>
    <phoneticPr fontId="3" type="noConversion"/>
  </si>
  <si>
    <t>26-1141</t>
    <phoneticPr fontId="3" type="noConversion"/>
  </si>
  <si>
    <t>에스지신성 - 삼평동</t>
    <phoneticPr fontId="3" type="noConversion"/>
  </si>
  <si>
    <t>5SKN154IIH/HS+5CL</t>
    <phoneticPr fontId="3" type="noConversion"/>
  </si>
  <si>
    <t>5CL</t>
    <phoneticPr fontId="3" type="noConversion"/>
  </si>
  <si>
    <t>투명재단</t>
    <phoneticPr fontId="3" type="noConversion"/>
  </si>
  <si>
    <t>26-1140</t>
    <phoneticPr fontId="3" type="noConversion"/>
  </si>
  <si>
    <t>26-1139</t>
    <phoneticPr fontId="3" type="noConversion"/>
  </si>
  <si>
    <t>한우창호</t>
    <phoneticPr fontId="3" type="noConversion"/>
  </si>
  <si>
    <t>5ML+5ML</t>
    <phoneticPr fontId="3" type="noConversion"/>
  </si>
  <si>
    <t>5미스트</t>
    <phoneticPr fontId="3" type="noConversion"/>
  </si>
  <si>
    <t>26-1233</t>
    <phoneticPr fontId="3" type="noConversion"/>
  </si>
  <si>
    <t>대진-대우산성역</t>
  </si>
  <si>
    <t>6CL+6CL</t>
    <phoneticPr fontId="3" type="noConversion"/>
  </si>
  <si>
    <t>6CL+6로이</t>
    <phoneticPr fontId="3" type="noConversion"/>
  </si>
  <si>
    <t>26-1234</t>
    <phoneticPr fontId="3" type="noConversion"/>
  </si>
  <si>
    <t>26-1235</t>
    <phoneticPr fontId="3" type="noConversion"/>
  </si>
  <si>
    <t>6CL</t>
    <phoneticPr fontId="3" type="noConversion"/>
  </si>
  <si>
    <t>투명재단 - 대진원판 사용</t>
    <phoneticPr fontId="3" type="noConversion"/>
  </si>
  <si>
    <t>대진원판 사용</t>
    <phoneticPr fontId="3" type="noConversion"/>
  </si>
  <si>
    <t>26-1069</t>
    <phoneticPr fontId="3" type="noConversion"/>
  </si>
  <si>
    <t>제일-인천</t>
    <phoneticPr fontId="3" type="noConversion"/>
  </si>
  <si>
    <t>5newGNH/S+5로이H/S</t>
    <phoneticPr fontId="3" type="noConversion"/>
  </si>
  <si>
    <t>5newGN+5로이</t>
    <phoneticPr fontId="3" type="noConversion"/>
  </si>
  <si>
    <t>5NX</t>
    <phoneticPr fontId="3" type="noConversion"/>
  </si>
  <si>
    <t>5PLTDURA+</t>
    <phoneticPr fontId="3" type="noConversion"/>
  </si>
  <si>
    <t>26-1070</t>
    <phoneticPr fontId="3" type="noConversion"/>
  </si>
  <si>
    <t>26-1071</t>
    <phoneticPr fontId="3" type="noConversion"/>
  </si>
  <si>
    <t>야간</t>
    <phoneticPr fontId="3" type="noConversion"/>
  </si>
  <si>
    <t>26-1356</t>
    <phoneticPr fontId="3" type="noConversion"/>
  </si>
  <si>
    <t>5ONEIIH/S+5CLH/S+5ONEIIH/S</t>
    <phoneticPr fontId="3" type="noConversion"/>
  </si>
  <si>
    <t>5PLAONEII</t>
    <phoneticPr fontId="3" type="noConversion"/>
  </si>
  <si>
    <t>5CL</t>
    <phoneticPr fontId="3" type="noConversion"/>
  </si>
  <si>
    <t>26-1347</t>
    <phoneticPr fontId="3" type="noConversion"/>
  </si>
  <si>
    <t>세지-음성</t>
    <phoneticPr fontId="3" type="noConversion"/>
  </si>
  <si>
    <t>5SKN154IIH/S+5CL</t>
    <phoneticPr fontId="3" type="noConversion"/>
  </si>
  <si>
    <t>5SKN154II</t>
    <phoneticPr fontId="3" type="noConversion"/>
  </si>
  <si>
    <t>26-1127</t>
    <phoneticPr fontId="3" type="noConversion"/>
  </si>
  <si>
    <t>신라-보건환경연구원</t>
    <phoneticPr fontId="3" type="noConversion"/>
  </si>
  <si>
    <t>5MZT152H/S+5CL</t>
    <phoneticPr fontId="3" type="noConversion"/>
  </si>
  <si>
    <t>26-1129</t>
    <phoneticPr fontId="3" type="noConversion"/>
  </si>
  <si>
    <t>26-1130</t>
    <phoneticPr fontId="3" type="noConversion"/>
  </si>
  <si>
    <t>5MZT152</t>
    <phoneticPr fontId="3" type="noConversion"/>
  </si>
  <si>
    <t>로이재단 - 강화불량 26-1127, 1129, 1130 같이재단</t>
    <phoneticPr fontId="3" type="noConversion"/>
  </si>
  <si>
    <t>투명재단 - 오도시 강화불량</t>
    <phoneticPr fontId="3" type="noConversion"/>
  </si>
  <si>
    <t>26-1226</t>
    <phoneticPr fontId="3" type="noConversion"/>
  </si>
  <si>
    <t>대원-과학자마을</t>
    <phoneticPr fontId="3" type="noConversion"/>
  </si>
  <si>
    <t>5CL에칭+5로이H/S이형</t>
    <phoneticPr fontId="3" type="noConversion"/>
  </si>
  <si>
    <t>투명재단 - 오도시 에칭불량</t>
    <phoneticPr fontId="3" type="noConversion"/>
  </si>
  <si>
    <t>로이재단 - 오도시 강화불량</t>
    <phoneticPr fontId="3" type="noConversion"/>
  </si>
  <si>
    <t>26-1227</t>
    <phoneticPr fontId="3" type="noConversion"/>
  </si>
  <si>
    <t>26-1128</t>
    <phoneticPr fontId="3" type="noConversion"/>
  </si>
  <si>
    <t>투명재단 - 오도시 생산불량</t>
    <phoneticPr fontId="3" type="noConversion"/>
  </si>
  <si>
    <t>5~8번 10~18번,21~22번 투명재단</t>
    <phoneticPr fontId="3" type="noConversion"/>
  </si>
  <si>
    <t>26-1355</t>
    <phoneticPr fontId="3" type="noConversion"/>
  </si>
  <si>
    <t>26-1233</t>
    <phoneticPr fontId="3" type="noConversion"/>
  </si>
  <si>
    <t>10.76투명접합+6로이</t>
    <phoneticPr fontId="3" type="noConversion"/>
  </si>
  <si>
    <t>6마스터원</t>
    <phoneticPr fontId="3" type="noConversion"/>
  </si>
  <si>
    <t>로이재단</t>
    <phoneticPr fontId="3" type="noConversion"/>
  </si>
  <si>
    <t>26-1139</t>
    <phoneticPr fontId="3" type="noConversion"/>
  </si>
  <si>
    <t>에스지-삼평동</t>
    <phoneticPr fontId="3" type="noConversion"/>
  </si>
  <si>
    <t>5SKN154IIH/S+5CL</t>
    <phoneticPr fontId="3" type="noConversion"/>
  </si>
  <si>
    <t>5SKN154II</t>
    <phoneticPr fontId="3" type="noConversion"/>
  </si>
  <si>
    <t>6MZT128h/s+6CLH/S</t>
    <phoneticPr fontId="3" type="noConversion"/>
  </si>
  <si>
    <t>6MZT128</t>
    <phoneticPr fontId="3" type="noConversion"/>
  </si>
  <si>
    <t>26-1359</t>
    <phoneticPr fontId="3" type="noConversion"/>
  </si>
  <si>
    <t>5BL+5DURA MAX</t>
    <phoneticPr fontId="3" type="noConversion"/>
  </si>
  <si>
    <t>미스트 오도시 재단</t>
    <phoneticPr fontId="3" type="noConversion"/>
  </si>
  <si>
    <t>26-1361</t>
    <phoneticPr fontId="3" type="noConversion"/>
  </si>
  <si>
    <t>26-1230</t>
    <phoneticPr fontId="3" type="noConversion"/>
  </si>
  <si>
    <t>26-1231</t>
    <phoneticPr fontId="3" type="noConversion"/>
  </si>
  <si>
    <t>대진원판 사용 - 26-1230, 1231 같이재단</t>
    <phoneticPr fontId="3" type="noConversion"/>
  </si>
  <si>
    <t>로이재단 - 대진원판사용</t>
    <phoneticPr fontId="3" type="noConversion"/>
  </si>
  <si>
    <t>투명재단 - 에칭유리 부족분</t>
    <phoneticPr fontId="3" type="noConversion"/>
  </si>
  <si>
    <t>26-1142</t>
    <phoneticPr fontId="3" type="noConversion"/>
  </si>
  <si>
    <t>26-1087</t>
    <phoneticPr fontId="3" type="noConversion"/>
  </si>
  <si>
    <t>5newGNH/S+5로이H/S</t>
    <phoneticPr fontId="3" type="noConversion"/>
  </si>
  <si>
    <t>26-1072</t>
    <phoneticPr fontId="3" type="noConversion"/>
  </si>
  <si>
    <t>제일-인천</t>
    <phoneticPr fontId="3" type="noConversion"/>
  </si>
  <si>
    <t>5newGNH/S+5로이</t>
    <phoneticPr fontId="3" type="noConversion"/>
  </si>
  <si>
    <t>5newGN+5로이</t>
    <phoneticPr fontId="3" type="noConversion"/>
  </si>
  <si>
    <t>5NX</t>
    <phoneticPr fontId="3" type="noConversion"/>
  </si>
  <si>
    <t>그린재단</t>
    <phoneticPr fontId="3" type="noConversion"/>
  </si>
  <si>
    <t>26-1073</t>
    <phoneticPr fontId="3" type="noConversion"/>
  </si>
  <si>
    <t>5PLTDURA+</t>
    <phoneticPr fontId="3" type="noConversion"/>
  </si>
  <si>
    <t>26-1071</t>
    <phoneticPr fontId="3" type="noConversion"/>
  </si>
  <si>
    <t>5CL+5로이</t>
    <phoneticPr fontId="3" type="noConversion"/>
  </si>
  <si>
    <t>5CL</t>
    <phoneticPr fontId="3" type="noConversion"/>
  </si>
  <si>
    <t>로이재단 - 26-1142,1087 같이재단</t>
    <phoneticPr fontId="3" type="noConversion"/>
  </si>
  <si>
    <t>일면 로이재단 - 26-1142, 1087 같이재단</t>
    <phoneticPr fontId="3" type="noConversion"/>
  </si>
  <si>
    <t>투명재단 - 26-1142,1087 같이재단</t>
    <phoneticPr fontId="3" type="noConversion"/>
  </si>
  <si>
    <t>26-1073</t>
    <phoneticPr fontId="3" type="noConversion"/>
  </si>
  <si>
    <t>26-1189</t>
    <phoneticPr fontId="3" type="noConversion"/>
  </si>
  <si>
    <t>5newGNH/S+5로이H/S</t>
    <phoneticPr fontId="3" type="noConversion"/>
  </si>
  <si>
    <t>26-1197</t>
    <phoneticPr fontId="3" type="noConversion"/>
  </si>
  <si>
    <t>5SUPER PLUYS2.0(강화용)</t>
    <phoneticPr fontId="3" type="noConversion"/>
  </si>
  <si>
    <t>26-1143</t>
    <phoneticPr fontId="3" type="noConversion"/>
  </si>
  <si>
    <t>26-1143,1087 같이재단</t>
    <phoneticPr fontId="3" type="noConversion"/>
  </si>
  <si>
    <t>삼면 로이재단 - 26-1143, 1087 같이재단</t>
    <phoneticPr fontId="3" type="noConversion"/>
  </si>
  <si>
    <t>26-1357</t>
    <phoneticPr fontId="3" type="noConversion"/>
  </si>
  <si>
    <t>26-1358</t>
    <phoneticPr fontId="3" type="noConversion"/>
  </si>
  <si>
    <t>26-1374</t>
    <phoneticPr fontId="3" type="noConversion"/>
  </si>
  <si>
    <t>6CL+6마스터원+6마스터원</t>
    <phoneticPr fontId="3" type="noConversion"/>
  </si>
  <si>
    <t>26-1358, 1374 같이재단</t>
    <phoneticPr fontId="3" type="noConversion"/>
  </si>
  <si>
    <t>26-1348</t>
    <phoneticPr fontId="3" type="noConversion"/>
  </si>
  <si>
    <t>대원-용인</t>
    <phoneticPr fontId="3" type="noConversion"/>
  </si>
  <si>
    <t>5CL+5로이</t>
    <phoneticPr fontId="3" type="noConversion"/>
  </si>
  <si>
    <t>5투명</t>
    <phoneticPr fontId="3" type="noConversion"/>
  </si>
  <si>
    <t>10투명강화</t>
    <phoneticPr fontId="3" type="noConversion"/>
  </si>
  <si>
    <t>오도시</t>
    <phoneticPr fontId="3" type="noConversion"/>
  </si>
  <si>
    <t>10CL</t>
    <phoneticPr fontId="3" type="noConversion"/>
  </si>
  <si>
    <t>26-1360</t>
    <phoneticPr fontId="3" type="noConversion"/>
  </si>
  <si>
    <t>포스코-아산</t>
    <phoneticPr fontId="3" type="noConversion"/>
  </si>
  <si>
    <t>5CL</t>
    <phoneticPr fontId="3" type="noConversion"/>
  </si>
  <si>
    <t>26-1358</t>
    <phoneticPr fontId="3" type="noConversion"/>
  </si>
  <si>
    <t>8투명강화</t>
    <phoneticPr fontId="3" type="noConversion"/>
  </si>
  <si>
    <t>8CL</t>
    <phoneticPr fontId="3" type="noConversion"/>
  </si>
  <si>
    <t>26-1197</t>
    <phoneticPr fontId="3" type="noConversion"/>
  </si>
  <si>
    <t>엘엑스-지북</t>
    <phoneticPr fontId="3" type="noConversion"/>
  </si>
  <si>
    <t>5newGN+5로이</t>
    <phoneticPr fontId="3" type="noConversion"/>
  </si>
  <si>
    <t>5NX</t>
    <phoneticPr fontId="3" type="noConversion"/>
  </si>
  <si>
    <t>5SUPERPLUS2.0</t>
    <phoneticPr fontId="3" type="noConversion"/>
  </si>
  <si>
    <t>26-1189</t>
    <phoneticPr fontId="3" type="noConversion"/>
  </si>
  <si>
    <t>26-1189, 1197 같이재단</t>
    <phoneticPr fontId="3" type="noConversion"/>
  </si>
  <si>
    <t>26-1161</t>
    <phoneticPr fontId="3" type="noConversion"/>
  </si>
  <si>
    <t>금호-대방</t>
    <phoneticPr fontId="3" type="noConversion"/>
  </si>
  <si>
    <t>그린재단</t>
    <phoneticPr fontId="3" type="noConversion"/>
  </si>
  <si>
    <t>야간</t>
    <phoneticPr fontId="3" type="noConversion"/>
  </si>
  <si>
    <t>26-0714</t>
    <phoneticPr fontId="3" type="noConversion"/>
  </si>
  <si>
    <t>신동아-건강보험</t>
    <phoneticPr fontId="3" type="noConversion"/>
  </si>
  <si>
    <t>6MZT135H/S+6CLH/S</t>
    <phoneticPr fontId="3" type="noConversion"/>
  </si>
  <si>
    <t>6MZT135</t>
    <phoneticPr fontId="3" type="noConversion"/>
  </si>
  <si>
    <t>6CL</t>
    <phoneticPr fontId="3" type="noConversion"/>
  </si>
  <si>
    <t>26-1144</t>
    <phoneticPr fontId="3" type="noConversion"/>
  </si>
  <si>
    <t>에스지-삼평동</t>
    <phoneticPr fontId="3" type="noConversion"/>
  </si>
  <si>
    <t>5SKN154IIH/S+5CLH/S</t>
    <phoneticPr fontId="3" type="noConversion"/>
  </si>
  <si>
    <t>5SKN154II</t>
    <phoneticPr fontId="3" type="noConversion"/>
  </si>
  <si>
    <t>26-1088</t>
    <phoneticPr fontId="3" type="noConversion"/>
  </si>
  <si>
    <t>대화-충주</t>
    <phoneticPr fontId="3" type="noConversion"/>
  </si>
  <si>
    <t>5SKN154IIH/S+5CLH/S+5SKN154IIH/S</t>
    <phoneticPr fontId="3" type="noConversion"/>
  </si>
  <si>
    <t>26-1144, 1088 같이재단</t>
    <phoneticPr fontId="3" type="noConversion"/>
  </si>
  <si>
    <t>26-1144, 1088 같이재단 - 일면로이, 투명 재단</t>
    <phoneticPr fontId="3" type="noConversion"/>
  </si>
  <si>
    <t>26-1161</t>
    <phoneticPr fontId="3" type="noConversion"/>
  </si>
  <si>
    <t>로이재단</t>
    <phoneticPr fontId="3" type="noConversion"/>
  </si>
  <si>
    <t>5CL+5로이</t>
    <phoneticPr fontId="3" type="noConversion"/>
  </si>
  <si>
    <t>5CL</t>
    <phoneticPr fontId="3" type="noConversion"/>
  </si>
  <si>
    <t>26-1162</t>
    <phoneticPr fontId="3" type="noConversion"/>
  </si>
  <si>
    <t>5DURA MAX(비강화용)</t>
    <phoneticPr fontId="3" type="noConversion"/>
  </si>
  <si>
    <t>26-1145</t>
    <phoneticPr fontId="3" type="noConversion"/>
  </si>
  <si>
    <t>5치</t>
    <phoneticPr fontId="3" type="noConversion"/>
  </si>
  <si>
    <t>26-1145, 1088 같이재단</t>
    <phoneticPr fontId="3" type="noConversion"/>
  </si>
  <si>
    <t>26-1145, 1088 같이재단 - 삼면로이 재단</t>
    <phoneticPr fontId="3" type="noConversion"/>
  </si>
  <si>
    <t>5newGN+5로이</t>
    <phoneticPr fontId="3" type="noConversion"/>
  </si>
  <si>
    <t>5NX</t>
    <phoneticPr fontId="3" type="noConversion"/>
  </si>
  <si>
    <t>5CL</t>
    <phoneticPr fontId="3" type="noConversion"/>
  </si>
  <si>
    <t>5DURA MAX(비강화용)</t>
    <phoneticPr fontId="3" type="noConversion"/>
  </si>
  <si>
    <t>투명재단</t>
    <phoneticPr fontId="3" type="noConversion"/>
  </si>
  <si>
    <t>그린, 로이 재단</t>
    <phoneticPr fontId="3" type="noConversion"/>
  </si>
  <si>
    <t>26-1074</t>
    <phoneticPr fontId="3" type="noConversion"/>
  </si>
  <si>
    <t>제일-인천</t>
    <phoneticPr fontId="3" type="noConversion"/>
  </si>
  <si>
    <t>5newGNH/S+5로이H/S</t>
    <phoneticPr fontId="3" type="noConversion"/>
  </si>
  <si>
    <t>로이재단</t>
    <phoneticPr fontId="3" type="noConversion"/>
  </si>
  <si>
    <t>야간</t>
    <phoneticPr fontId="3" type="noConversion"/>
  </si>
  <si>
    <t>26-1147</t>
    <phoneticPr fontId="3" type="noConversion"/>
  </si>
  <si>
    <t>에스지-삼평동</t>
    <phoneticPr fontId="3" type="noConversion"/>
  </si>
  <si>
    <t>5SKN154IIH/S+5CL</t>
    <phoneticPr fontId="3" type="noConversion"/>
  </si>
  <si>
    <t>5SKN154II</t>
    <phoneticPr fontId="3" type="noConversion"/>
  </si>
  <si>
    <t>26-1148</t>
    <phoneticPr fontId="3" type="noConversion"/>
  </si>
  <si>
    <t>5SKN154IIH/S+5CLH/S</t>
    <phoneticPr fontId="3" type="noConversion"/>
  </si>
  <si>
    <t>26-1147, 1148 같이재단</t>
    <phoneticPr fontId="3" type="noConversion"/>
  </si>
  <si>
    <t>26-1357</t>
    <phoneticPr fontId="3" type="noConversion"/>
  </si>
  <si>
    <t>5PLAONEII</t>
    <phoneticPr fontId="3" type="noConversion"/>
  </si>
  <si>
    <t>로이재단 - 강화불량</t>
    <phoneticPr fontId="3" type="noConversion"/>
  </si>
  <si>
    <t>26-1146</t>
    <phoneticPr fontId="3" type="noConversion"/>
  </si>
  <si>
    <t>26-1074</t>
    <phoneticPr fontId="3" type="noConversion"/>
  </si>
  <si>
    <t>제일-인천</t>
    <phoneticPr fontId="3" type="noConversion"/>
  </si>
  <si>
    <t>5CL+5로이</t>
    <phoneticPr fontId="3" type="noConversion"/>
  </si>
  <si>
    <t>5NX</t>
    <phoneticPr fontId="3" type="noConversion"/>
  </si>
  <si>
    <t>5CL</t>
    <phoneticPr fontId="3" type="noConversion"/>
  </si>
  <si>
    <t>그린재단</t>
    <phoneticPr fontId="3" type="noConversion"/>
  </si>
  <si>
    <t>투명,로이 재단</t>
    <phoneticPr fontId="3" type="noConversion"/>
  </si>
  <si>
    <t>25-1075</t>
    <phoneticPr fontId="3" type="noConversion"/>
  </si>
  <si>
    <t>26-1089</t>
    <phoneticPr fontId="3" type="noConversion"/>
  </si>
  <si>
    <t>대화-충주</t>
    <phoneticPr fontId="3" type="noConversion"/>
  </si>
  <si>
    <t>5SKN154IIH/S+5CLH/S+5SKN154IIH/S</t>
    <phoneticPr fontId="3" type="noConversion"/>
  </si>
  <si>
    <t>5SKN154II</t>
    <phoneticPr fontId="3" type="noConversion"/>
  </si>
  <si>
    <t>26-1225</t>
    <phoneticPr fontId="3" type="noConversion"/>
  </si>
  <si>
    <t>신동아-건강보험</t>
    <phoneticPr fontId="3" type="noConversion"/>
  </si>
  <si>
    <t>6MZT128H/S+8.76투명강화접합</t>
    <phoneticPr fontId="3" type="noConversion"/>
  </si>
  <si>
    <t>6MZT128H/S+6CL</t>
    <phoneticPr fontId="3" type="noConversion"/>
  </si>
  <si>
    <t>6MZT135H/S+6CL</t>
    <phoneticPr fontId="3" type="noConversion"/>
  </si>
  <si>
    <t>투명 오도시 재단</t>
    <phoneticPr fontId="3" type="noConversion"/>
  </si>
  <si>
    <t>오도시</t>
    <phoneticPr fontId="3" type="noConversion"/>
  </si>
  <si>
    <t>26-1079</t>
    <phoneticPr fontId="3" type="noConversion"/>
  </si>
  <si>
    <t>5MZT128H/S+5CLH/S</t>
    <phoneticPr fontId="3" type="noConversion"/>
  </si>
  <si>
    <t>5MZT128</t>
    <phoneticPr fontId="3" type="noConversion"/>
  </si>
  <si>
    <t>26-1080</t>
    <phoneticPr fontId="3" type="noConversion"/>
  </si>
  <si>
    <t>26-1332</t>
    <phoneticPr fontId="3" type="noConversion"/>
  </si>
  <si>
    <t>대원-과학자마을</t>
    <phoneticPr fontId="3" type="noConversion"/>
  </si>
  <si>
    <t>5로이H/S+5CL+5ONE</t>
    <phoneticPr fontId="3" type="noConversion"/>
  </si>
  <si>
    <t>5DURA MAX</t>
    <phoneticPr fontId="3" type="noConversion"/>
  </si>
  <si>
    <t>강화용 로이 재단</t>
    <phoneticPr fontId="3" type="noConversion"/>
  </si>
  <si>
    <t>26-1333</t>
    <phoneticPr fontId="3" type="noConversion"/>
  </si>
  <si>
    <t>26-1334</t>
    <phoneticPr fontId="3" type="noConversion"/>
  </si>
  <si>
    <t>26-1420</t>
    <phoneticPr fontId="3" type="noConversion"/>
  </si>
  <si>
    <t>영림창호</t>
    <phoneticPr fontId="3" type="noConversion"/>
  </si>
  <si>
    <t>5CL+5CL</t>
    <phoneticPr fontId="3" type="noConversion"/>
  </si>
  <si>
    <t>5CL</t>
    <phoneticPr fontId="3" type="noConversion"/>
  </si>
  <si>
    <t>투명 오도시</t>
    <phoneticPr fontId="3" type="noConversion"/>
  </si>
  <si>
    <t>5newGN+5newGN</t>
    <phoneticPr fontId="3" type="noConversion"/>
  </si>
  <si>
    <t>5newGN</t>
    <phoneticPr fontId="3" type="noConversion"/>
  </si>
  <si>
    <t>그린 오도시</t>
    <phoneticPr fontId="3" type="noConversion"/>
  </si>
  <si>
    <t>26-1421</t>
    <phoneticPr fontId="3" type="noConversion"/>
  </si>
  <si>
    <t>라이즈건설</t>
    <phoneticPr fontId="3" type="noConversion"/>
  </si>
  <si>
    <t>5CL+5로이</t>
    <phoneticPr fontId="3" type="noConversion"/>
  </si>
  <si>
    <t>5CL</t>
    <phoneticPr fontId="3" type="noConversion"/>
  </si>
  <si>
    <t>5듀라맥스</t>
    <phoneticPr fontId="3" type="noConversion"/>
  </si>
  <si>
    <t>26-1150</t>
    <phoneticPr fontId="3" type="noConversion"/>
  </si>
  <si>
    <t>태영-부산메디컬</t>
    <phoneticPr fontId="3" type="noConversion"/>
  </si>
  <si>
    <t>5CL</t>
    <phoneticPr fontId="3" type="noConversion"/>
  </si>
  <si>
    <t>5듀라맥스(비강화)</t>
    <phoneticPr fontId="3" type="noConversion"/>
  </si>
  <si>
    <t>26-1075</t>
    <phoneticPr fontId="3" type="noConversion"/>
  </si>
  <si>
    <t>제일-인천검단</t>
    <phoneticPr fontId="3" type="noConversion"/>
  </si>
  <si>
    <t>5newGN+5로이</t>
    <phoneticPr fontId="3" type="noConversion"/>
  </si>
  <si>
    <t>5newGN</t>
    <phoneticPr fontId="3" type="noConversion"/>
  </si>
  <si>
    <t>5듀라플러스</t>
    <phoneticPr fontId="3" type="noConversion"/>
  </si>
  <si>
    <t>2-7, 15번 같이재단</t>
    <phoneticPr fontId="3" type="noConversion"/>
  </si>
  <si>
    <t>5CL+5로이</t>
    <phoneticPr fontId="3" type="noConversion"/>
  </si>
  <si>
    <t>5듀라맥스</t>
    <phoneticPr fontId="3" type="noConversion"/>
  </si>
  <si>
    <t>26-0498</t>
    <phoneticPr fontId="3" type="noConversion"/>
  </si>
  <si>
    <t>대우-청주테크노</t>
    <phoneticPr fontId="3" type="noConversion"/>
  </si>
  <si>
    <t>5CL+5로이</t>
    <phoneticPr fontId="3" type="noConversion"/>
  </si>
  <si>
    <t>5CL</t>
    <phoneticPr fontId="3" type="noConversion"/>
  </si>
  <si>
    <t>26-1396</t>
    <phoneticPr fontId="3" type="noConversion"/>
  </si>
  <si>
    <t>현.산-신월2</t>
    <phoneticPr fontId="3" type="noConversion"/>
  </si>
  <si>
    <t>6ONE+6ONE</t>
    <phoneticPr fontId="3" type="noConversion"/>
  </si>
  <si>
    <t>6ONE</t>
    <phoneticPr fontId="3" type="noConversion"/>
  </si>
  <si>
    <t>ONE 오도시</t>
    <phoneticPr fontId="3" type="noConversion"/>
  </si>
  <si>
    <t>26-1332</t>
    <phoneticPr fontId="3" type="noConversion"/>
  </si>
  <si>
    <t>대원-K과학자</t>
    <phoneticPr fontId="3" type="noConversion"/>
  </si>
  <si>
    <t>5로이h/s+5CL+5ONE</t>
    <phoneticPr fontId="3" type="noConversion"/>
  </si>
  <si>
    <t>5EMT</t>
    <phoneticPr fontId="3" type="noConversion"/>
  </si>
  <si>
    <t>2면 투명 재단</t>
    <phoneticPr fontId="3" type="noConversion"/>
  </si>
  <si>
    <t>3면 로이 재단</t>
    <phoneticPr fontId="3" type="noConversion"/>
  </si>
  <si>
    <t>26-1333</t>
    <phoneticPr fontId="3" type="noConversion"/>
  </si>
  <si>
    <t>26-1193</t>
    <phoneticPr fontId="3" type="noConversion"/>
  </si>
  <si>
    <t>엘엑스-청주지북</t>
    <phoneticPr fontId="3" type="noConversion"/>
  </si>
  <si>
    <t>5newGN+5로이</t>
    <phoneticPr fontId="3" type="noConversion"/>
  </si>
  <si>
    <t>5newGN</t>
    <phoneticPr fontId="3" type="noConversion"/>
  </si>
  <si>
    <t>4-11, 21번 그린 같이재단</t>
    <phoneticPr fontId="3" type="noConversion"/>
  </si>
  <si>
    <t>26-2334</t>
    <phoneticPr fontId="3" type="noConversion"/>
  </si>
  <si>
    <t>26-1357</t>
    <phoneticPr fontId="3" type="noConversion"/>
  </si>
  <si>
    <t>한우창호</t>
    <phoneticPr fontId="3" type="noConversion"/>
  </si>
  <si>
    <t>5ONEII</t>
    <phoneticPr fontId="3" type="noConversion"/>
  </si>
  <si>
    <t>열파손 2장</t>
    <phoneticPr fontId="3" type="noConversion"/>
  </si>
  <si>
    <t>26-1330</t>
    <phoneticPr fontId="3" type="noConversion"/>
  </si>
  <si>
    <t>인성-청주드림</t>
    <phoneticPr fontId="3" type="noConversion"/>
  </si>
  <si>
    <t>5SKN154+5CLh/s에칭</t>
    <phoneticPr fontId="3" type="noConversion"/>
  </si>
  <si>
    <t>5CL</t>
    <phoneticPr fontId="3" type="noConversion"/>
  </si>
  <si>
    <t>에칭 투명 재단</t>
    <phoneticPr fontId="3" type="noConversion"/>
  </si>
  <si>
    <t>26-1080</t>
    <phoneticPr fontId="3" type="noConversion"/>
  </si>
  <si>
    <t>신동아-건강보험</t>
    <phoneticPr fontId="3" type="noConversion"/>
  </si>
  <si>
    <t>6MZT128h/s+6CL</t>
    <phoneticPr fontId="3" type="noConversion"/>
  </si>
  <si>
    <t>6MZT128h/s+6CLh/s</t>
    <phoneticPr fontId="3" type="noConversion"/>
  </si>
  <si>
    <t>6MZT128</t>
    <phoneticPr fontId="3" type="noConversion"/>
  </si>
  <si>
    <t>6CL</t>
    <phoneticPr fontId="3" type="noConversion"/>
  </si>
  <si>
    <t>3, 9,14번 로이 같이재단</t>
    <phoneticPr fontId="3" type="noConversion"/>
  </si>
  <si>
    <t>9,22번 투명 같이재단</t>
    <phoneticPr fontId="3" type="noConversion"/>
  </si>
  <si>
    <t>26-1081</t>
    <phoneticPr fontId="3" type="noConversion"/>
  </si>
  <si>
    <t>6MZT128</t>
    <phoneticPr fontId="3" type="noConversion"/>
  </si>
  <si>
    <t>2,3,12,17번 로이 같이재단</t>
    <phoneticPr fontId="3" type="noConversion"/>
  </si>
  <si>
    <t>8,12,28번 투명 같이재단</t>
    <phoneticPr fontId="3" type="noConversion"/>
  </si>
  <si>
    <t>26-1136</t>
    <phoneticPr fontId="3" type="noConversion"/>
  </si>
  <si>
    <t>태영-부산</t>
    <phoneticPr fontId="3" type="noConversion"/>
  </si>
  <si>
    <t>8.76(4cl+0.76+4cl)+5로이</t>
    <phoneticPr fontId="3" type="noConversion"/>
  </si>
  <si>
    <t>세척기파손 - 오도시</t>
    <phoneticPr fontId="3" type="noConversion"/>
  </si>
  <si>
    <t>26-1388</t>
    <phoneticPr fontId="3" type="noConversion"/>
  </si>
  <si>
    <t>계룡-KT인재개발원</t>
    <phoneticPr fontId="3" type="noConversion"/>
  </si>
  <si>
    <t>6CL+6로이</t>
    <phoneticPr fontId="3" type="noConversion"/>
  </si>
  <si>
    <t>5CL에칭+5로이</t>
    <phoneticPr fontId="3" type="noConversion"/>
  </si>
  <si>
    <t>6CL</t>
    <phoneticPr fontId="3" type="noConversion"/>
  </si>
  <si>
    <t>6DURA MAX</t>
    <phoneticPr fontId="3" type="noConversion"/>
  </si>
  <si>
    <t>5CL</t>
    <phoneticPr fontId="3" type="noConversion"/>
  </si>
  <si>
    <t>5DURA MAX</t>
    <phoneticPr fontId="3" type="noConversion"/>
  </si>
  <si>
    <t>26-1391</t>
    <phoneticPr fontId="3" type="noConversion"/>
  </si>
  <si>
    <t>한화-매봉</t>
    <phoneticPr fontId="3" type="noConversion"/>
  </si>
  <si>
    <t>5CL+5로이</t>
    <phoneticPr fontId="3" type="noConversion"/>
  </si>
  <si>
    <t>5CLH/S+5ECT173H/S+5ECT173H/S</t>
    <phoneticPr fontId="3" type="noConversion"/>
  </si>
  <si>
    <t>5마스터원</t>
    <phoneticPr fontId="3" type="noConversion"/>
  </si>
  <si>
    <t>오도시</t>
    <phoneticPr fontId="3" type="noConversion"/>
  </si>
  <si>
    <t>26-1449</t>
    <phoneticPr fontId="3" type="noConversion"/>
  </si>
  <si>
    <t>영림창호</t>
    <phoneticPr fontId="3" type="noConversion"/>
  </si>
  <si>
    <t>5CL+5CL</t>
    <phoneticPr fontId="3" type="noConversion"/>
  </si>
  <si>
    <t>5newGN+5newGN</t>
    <phoneticPr fontId="3" type="noConversion"/>
  </si>
  <si>
    <t>5NX</t>
    <phoneticPr fontId="3" type="noConversion"/>
  </si>
  <si>
    <t>로이재단</t>
    <phoneticPr fontId="3" type="noConversion"/>
  </si>
  <si>
    <t>5SUPERPLUS2.0</t>
    <phoneticPr fontId="3" type="noConversion"/>
  </si>
  <si>
    <t>26-1419</t>
    <phoneticPr fontId="3" type="noConversion"/>
  </si>
  <si>
    <t>신흥유리</t>
    <phoneticPr fontId="3" type="noConversion"/>
  </si>
  <si>
    <t>7불투명망입+5newGN</t>
    <phoneticPr fontId="3" type="noConversion"/>
  </si>
  <si>
    <t>5newGN+5CL</t>
    <phoneticPr fontId="3" type="noConversion"/>
  </si>
  <si>
    <t>5newGN+5ML</t>
    <phoneticPr fontId="3" type="noConversion"/>
  </si>
  <si>
    <t>26-1392</t>
    <phoneticPr fontId="3" type="noConversion"/>
  </si>
  <si>
    <t>한라-월명</t>
    <phoneticPr fontId="3" type="noConversion"/>
  </si>
  <si>
    <t>5CLH/S+5로이</t>
    <phoneticPr fontId="3" type="noConversion"/>
  </si>
  <si>
    <t>6CLH/S+6로이</t>
    <phoneticPr fontId="3" type="noConversion"/>
  </si>
  <si>
    <t>로이 오도시 재단</t>
    <phoneticPr fontId="3" type="noConversion"/>
  </si>
  <si>
    <t>26-1390</t>
    <phoneticPr fontId="3" type="noConversion"/>
  </si>
  <si>
    <t>대원-K과학자마을</t>
    <phoneticPr fontId="3" type="noConversion"/>
  </si>
  <si>
    <t>5CL+5로이H/S</t>
    <phoneticPr fontId="3" type="noConversion"/>
  </si>
  <si>
    <t>26-1219</t>
    <phoneticPr fontId="3" type="noConversion"/>
  </si>
  <si>
    <t>야간</t>
    <phoneticPr fontId="3" type="noConversion"/>
  </si>
  <si>
    <t>26-1337</t>
    <phoneticPr fontId="3" type="noConversion"/>
  </si>
  <si>
    <t>신동아-하나은행</t>
    <phoneticPr fontId="3" type="noConversion"/>
  </si>
  <si>
    <t>6SKN176IH/S+6CL(이형)</t>
    <phoneticPr fontId="3" type="noConversion"/>
  </si>
  <si>
    <t>6SKN176II</t>
    <phoneticPr fontId="3" type="noConversion"/>
  </si>
  <si>
    <t>26-1140</t>
    <phoneticPr fontId="3" type="noConversion"/>
  </si>
  <si>
    <t>에스지-삼평동</t>
    <phoneticPr fontId="3" type="noConversion"/>
  </si>
  <si>
    <t>5SKN154IIH/S+5CLH/S</t>
    <phoneticPr fontId="3" type="noConversion"/>
  </si>
  <si>
    <t>5SKN154II</t>
    <phoneticPr fontId="3" type="noConversion"/>
  </si>
  <si>
    <t>로이재단 - 강화불량</t>
    <phoneticPr fontId="3" type="noConversion"/>
  </si>
  <si>
    <t>투명재단 - 강화불량</t>
    <phoneticPr fontId="3" type="noConversion"/>
  </si>
  <si>
    <t>26-1441</t>
    <phoneticPr fontId="3" type="noConversion"/>
  </si>
  <si>
    <t>5SKN154IIH/S+5CL</t>
    <phoneticPr fontId="3" type="noConversion"/>
  </si>
  <si>
    <t>26-1225</t>
    <phoneticPr fontId="3" type="noConversion"/>
  </si>
  <si>
    <t>신동아-건강보험</t>
    <phoneticPr fontId="3" type="noConversion"/>
  </si>
  <si>
    <t>6MZT128H/S+8.76투명강화접합</t>
    <phoneticPr fontId="3" type="noConversion"/>
  </si>
  <si>
    <t>6MZT128</t>
    <phoneticPr fontId="3" type="noConversion"/>
  </si>
  <si>
    <t>26-0714</t>
    <phoneticPr fontId="3" type="noConversion"/>
  </si>
  <si>
    <t>6MZT135H/S+6CLH/S</t>
    <phoneticPr fontId="3" type="noConversion"/>
  </si>
  <si>
    <t>6MZT135</t>
    <phoneticPr fontId="3" type="noConversion"/>
  </si>
  <si>
    <t>26-1395</t>
    <phoneticPr fontId="3" type="noConversion"/>
  </si>
  <si>
    <t>케이씨씨-여의도</t>
    <phoneticPr fontId="3" type="noConversion"/>
  </si>
  <si>
    <t>5MVT172H/S+5CLH/S</t>
    <phoneticPr fontId="3" type="noConversion"/>
  </si>
  <si>
    <t>5MVT172+5CL</t>
    <phoneticPr fontId="3" type="noConversion"/>
  </si>
  <si>
    <t>5MVT172</t>
    <phoneticPr fontId="3" type="noConversion"/>
  </si>
  <si>
    <t>로이재단 - 5번 312조 중 192조 재단</t>
    <phoneticPr fontId="3" type="noConversion"/>
  </si>
  <si>
    <t>투명재단 - 5번 312조 중 192조 재단</t>
    <phoneticPr fontId="3" type="noConversion"/>
  </si>
  <si>
    <t>26-1219</t>
    <phoneticPr fontId="3" type="noConversion"/>
  </si>
  <si>
    <t>5CL+5로이</t>
    <phoneticPr fontId="3" type="noConversion"/>
  </si>
  <si>
    <t>5NX</t>
    <phoneticPr fontId="3" type="noConversion"/>
  </si>
  <si>
    <t>5CL</t>
    <phoneticPr fontId="3" type="noConversion"/>
  </si>
  <si>
    <t>26-1395</t>
    <phoneticPr fontId="3" type="noConversion"/>
  </si>
  <si>
    <t>케이씨씨-여의도</t>
    <phoneticPr fontId="3" type="noConversion"/>
  </si>
  <si>
    <t>5로이+5CLH/S+5CL</t>
    <phoneticPr fontId="3" type="noConversion"/>
  </si>
  <si>
    <t>5마스터원</t>
    <phoneticPr fontId="3" type="noConversion"/>
  </si>
  <si>
    <t>투명 오도시 재단</t>
    <phoneticPr fontId="3" type="noConversion"/>
  </si>
  <si>
    <t>26-1398</t>
    <phoneticPr fontId="3" type="noConversion"/>
  </si>
  <si>
    <t>5MVT172H/S+5CLH/S</t>
    <phoneticPr fontId="3" type="noConversion"/>
  </si>
  <si>
    <t>5MVT172+5CL</t>
    <phoneticPr fontId="3" type="noConversion"/>
  </si>
  <si>
    <t>5MZT172</t>
    <phoneticPr fontId="3" type="noConversion"/>
  </si>
  <si>
    <t>26-1399</t>
    <phoneticPr fontId="3" type="noConversion"/>
  </si>
  <si>
    <t>5로이+5CL</t>
    <phoneticPr fontId="3" type="noConversion"/>
  </si>
  <si>
    <t>26-1447</t>
    <phoneticPr fontId="3" type="noConversion"/>
  </si>
  <si>
    <t>현대샷시</t>
    <phoneticPr fontId="3" type="noConversion"/>
  </si>
  <si>
    <t>5CL+5DURA MAX</t>
    <phoneticPr fontId="3" type="noConversion"/>
  </si>
  <si>
    <t>5DURA MAX</t>
    <phoneticPr fontId="3" type="noConversion"/>
  </si>
  <si>
    <t>5CL</t>
    <phoneticPr fontId="3" type="noConversion"/>
  </si>
  <si>
    <t>26-1448</t>
    <phoneticPr fontId="3" type="noConversion"/>
  </si>
  <si>
    <t>한맥-스타필드</t>
    <phoneticPr fontId="3" type="noConversion"/>
  </si>
  <si>
    <t>6DURA MAXH/S+6저철분프릿(H/S)</t>
    <phoneticPr fontId="3" type="noConversion"/>
  </si>
  <si>
    <t>오도시</t>
    <phoneticPr fontId="3" type="noConversion"/>
  </si>
  <si>
    <t>26-1451</t>
    <phoneticPr fontId="3" type="noConversion"/>
  </si>
  <si>
    <t>다솔산업</t>
    <phoneticPr fontId="3" type="noConversion"/>
  </si>
  <si>
    <t>5CL+5CL</t>
    <phoneticPr fontId="3" type="noConversion"/>
  </si>
  <si>
    <t>5ML+5CL</t>
    <phoneticPr fontId="3" type="noConversion"/>
  </si>
  <si>
    <t>5newGN+5CL</t>
    <phoneticPr fontId="3" type="noConversion"/>
  </si>
  <si>
    <t>5newGN+5DURA MAX</t>
    <phoneticPr fontId="3" type="noConversion"/>
  </si>
  <si>
    <t>5NX</t>
    <phoneticPr fontId="3" type="noConversion"/>
  </si>
  <si>
    <t>미스트 오도시 재단</t>
    <phoneticPr fontId="3" type="noConversion"/>
  </si>
  <si>
    <t>26-1150</t>
    <phoneticPr fontId="3" type="noConversion"/>
  </si>
  <si>
    <t>태영-부산</t>
    <phoneticPr fontId="3" type="noConversion"/>
  </si>
  <si>
    <t>5CLH/S+5로이</t>
    <phoneticPr fontId="3" type="noConversion"/>
  </si>
  <si>
    <t>26-1151</t>
    <phoneticPr fontId="3" type="noConversion"/>
  </si>
  <si>
    <t>26-1152</t>
    <phoneticPr fontId="3" type="noConversion"/>
  </si>
  <si>
    <t>26-1150, 1151, 1152 같이재단</t>
    <phoneticPr fontId="3" type="noConversion"/>
  </si>
  <si>
    <t>5DURA MAX(비강화용)</t>
    <phoneticPr fontId="3" type="noConversion"/>
  </si>
  <si>
    <t>8.76투명접합+5로이H/S+5로이</t>
    <phoneticPr fontId="3" type="noConversion"/>
  </si>
  <si>
    <t>강화용 로이 재단 - 26-1150, 1151, 1152 같이재단</t>
    <phoneticPr fontId="3" type="noConversion"/>
  </si>
  <si>
    <t>26-1164</t>
    <phoneticPr fontId="3" type="noConversion"/>
  </si>
  <si>
    <t>신동아-건강보험</t>
    <phoneticPr fontId="3" type="noConversion"/>
  </si>
  <si>
    <t>6MZT135H/S+6CLH/S</t>
    <phoneticPr fontId="3" type="noConversion"/>
  </si>
  <si>
    <t>6MZT135H/S+6CL</t>
    <phoneticPr fontId="3" type="noConversion"/>
  </si>
  <si>
    <t>로이재단 - 1~2번재단 - 26-1164, 26-1453 같이재단</t>
    <phoneticPr fontId="3" type="noConversion"/>
  </si>
  <si>
    <t>로이재단 - 7번재단 - 26-1164, 26-1453 같이재단</t>
    <phoneticPr fontId="3" type="noConversion"/>
  </si>
  <si>
    <t>로이재단 - 26-1164, 26-1453 같이재단</t>
    <phoneticPr fontId="3" type="noConversion"/>
  </si>
  <si>
    <t>26-1453</t>
    <phoneticPr fontId="3" type="noConversion"/>
  </si>
  <si>
    <t>로이재단 - 4번재단 - 26-1164, 26-1453 같이재단</t>
    <phoneticPr fontId="3" type="noConversion"/>
  </si>
  <si>
    <t>로이재단 - 5~6번, 10번 재단 - 26-1164, 26-1453 같이재단</t>
    <phoneticPr fontId="3" type="noConversion"/>
  </si>
  <si>
    <t>6MZT135</t>
    <phoneticPr fontId="3" type="noConversion"/>
  </si>
  <si>
    <t>야간</t>
    <phoneticPr fontId="3" type="noConversion"/>
  </si>
  <si>
    <t>26-1450</t>
    <phoneticPr fontId="3" type="noConversion"/>
  </si>
  <si>
    <t>신동아-인천</t>
    <phoneticPr fontId="3" type="noConversion"/>
  </si>
  <si>
    <t>5SKN154+5CLH/S+5SKN154</t>
    <phoneticPr fontId="3" type="noConversion"/>
  </si>
  <si>
    <t>26-1141</t>
    <phoneticPr fontId="3" type="noConversion"/>
  </si>
  <si>
    <t>에스지-신성</t>
    <phoneticPr fontId="3" type="noConversion"/>
  </si>
  <si>
    <t>5SKN154IIH/S+5CL</t>
    <phoneticPr fontId="3" type="noConversion"/>
  </si>
  <si>
    <t>5SKN145II</t>
    <phoneticPr fontId="3" type="noConversion"/>
  </si>
  <si>
    <t>26-1142</t>
    <phoneticPr fontId="3" type="noConversion"/>
  </si>
  <si>
    <t>26-1143</t>
    <phoneticPr fontId="3" type="noConversion"/>
  </si>
  <si>
    <t>26-1144</t>
    <phoneticPr fontId="3" type="noConversion"/>
  </si>
  <si>
    <t>5SKN154IIH/S+5CLH/S</t>
    <phoneticPr fontId="3" type="noConversion"/>
  </si>
  <si>
    <t>로이재단 - 강화불량 - 26-1141, 1143, 1144 같이재단</t>
    <phoneticPr fontId="3" type="noConversion"/>
  </si>
  <si>
    <t>투명재단 - 강화불량 - 26-1142, 1144 같이재단</t>
    <phoneticPr fontId="3" type="noConversion"/>
  </si>
  <si>
    <t>26-1314</t>
    <phoneticPr fontId="3" type="noConversion"/>
  </si>
  <si>
    <t>계룡-증산도</t>
    <phoneticPr fontId="3" type="noConversion"/>
  </si>
  <si>
    <t>6SKG149TH/S+6CL</t>
    <phoneticPr fontId="3" type="noConversion"/>
  </si>
  <si>
    <t>6SKG149TH/S+6CLH/S</t>
    <phoneticPr fontId="3" type="noConversion"/>
  </si>
  <si>
    <t>6SKG149T</t>
    <phoneticPr fontId="3" type="noConversion"/>
  </si>
  <si>
    <t>6CL</t>
    <phoneticPr fontId="3" type="noConversion"/>
  </si>
  <si>
    <t>26-0498</t>
    <phoneticPr fontId="3" type="noConversion"/>
  </si>
  <si>
    <t>대우-청주테크노</t>
    <phoneticPr fontId="3" type="noConversion"/>
  </si>
  <si>
    <t>5CL+5로이</t>
    <phoneticPr fontId="3" type="noConversion"/>
  </si>
  <si>
    <t>5POWER SOFT</t>
    <phoneticPr fontId="3" type="noConversion"/>
  </si>
  <si>
    <t>6번 312조 중 88조 재단</t>
    <phoneticPr fontId="3" type="noConversion"/>
  </si>
  <si>
    <t>26-1151</t>
    <phoneticPr fontId="3" type="noConversion"/>
  </si>
  <si>
    <t>태영-부산</t>
    <phoneticPr fontId="3" type="noConversion"/>
  </si>
  <si>
    <t>5CL+5로이</t>
    <phoneticPr fontId="3" type="noConversion"/>
  </si>
  <si>
    <t>5CL</t>
    <phoneticPr fontId="3" type="noConversion"/>
  </si>
  <si>
    <t>5DURA MAX(비강화용)</t>
    <phoneticPr fontId="3" type="noConversion"/>
  </si>
  <si>
    <t>26-1152</t>
    <phoneticPr fontId="3" type="noConversion"/>
  </si>
  <si>
    <t>로이재단</t>
    <phoneticPr fontId="3" type="noConversion"/>
  </si>
  <si>
    <t>계룡-증산도</t>
    <phoneticPr fontId="3" type="noConversion"/>
  </si>
  <si>
    <t>5SKG149TH/S+5CL</t>
    <phoneticPr fontId="3" type="noConversion"/>
  </si>
  <si>
    <t>26-1314</t>
    <phoneticPr fontId="3" type="noConversion"/>
  </si>
  <si>
    <t>26-1315</t>
    <phoneticPr fontId="3" type="noConversion"/>
  </si>
  <si>
    <t>26-1316</t>
    <phoneticPr fontId="3" type="noConversion"/>
  </si>
  <si>
    <t>26-1317</t>
    <phoneticPr fontId="3" type="noConversion"/>
  </si>
  <si>
    <t>5SKG149T</t>
    <phoneticPr fontId="3" type="noConversion"/>
  </si>
  <si>
    <t>26-1314, 1315, 1316, 1317 같이재단</t>
    <phoneticPr fontId="3" type="noConversion"/>
  </si>
  <si>
    <t>26-1337</t>
    <phoneticPr fontId="3" type="noConversion"/>
  </si>
  <si>
    <t>신동아-하나은행</t>
    <phoneticPr fontId="3" type="noConversion"/>
  </si>
  <si>
    <t>6SKN176IIH/S+6CL(이형)</t>
    <phoneticPr fontId="3" type="noConversion"/>
  </si>
  <si>
    <t>6CL</t>
    <phoneticPr fontId="3" type="noConversion"/>
  </si>
  <si>
    <t>투명재단 - 생산파손</t>
    <phoneticPr fontId="3" type="noConversion"/>
  </si>
  <si>
    <t>26-1397</t>
    <phoneticPr fontId="3" type="noConversion"/>
  </si>
  <si>
    <t>아킹스-증산도</t>
    <phoneticPr fontId="3" type="noConversion"/>
  </si>
  <si>
    <t>5SKG149TH/S+5CLH/S+5SUPERPLUS1.0H/S</t>
    <phoneticPr fontId="3" type="noConversion"/>
  </si>
  <si>
    <t>5마스터원</t>
    <phoneticPr fontId="3" type="noConversion"/>
  </si>
  <si>
    <t>5SUPERPLUS1.0 -&gt; 5마스터원으로 재단</t>
    <phoneticPr fontId="3" type="noConversion"/>
  </si>
  <si>
    <t>26-1452</t>
    <phoneticPr fontId="3" type="noConversion"/>
  </si>
  <si>
    <t>현엔-화성기아</t>
    <phoneticPr fontId="3" type="noConversion"/>
  </si>
  <si>
    <t>5BLH/S+5로이</t>
    <phoneticPr fontId="3" type="noConversion"/>
  </si>
  <si>
    <t>5BLH/S+5로이H/S</t>
    <phoneticPr fontId="3" type="noConversion"/>
  </si>
  <si>
    <t>5BL</t>
    <phoneticPr fontId="3" type="noConversion"/>
  </si>
  <si>
    <t>26-1458</t>
    <phoneticPr fontId="3" type="noConversion"/>
  </si>
  <si>
    <t>신라-보건환경연구원</t>
    <phoneticPr fontId="3" type="noConversion"/>
  </si>
  <si>
    <t>5MZT152H/S+5CL</t>
    <phoneticPr fontId="3" type="noConversion"/>
  </si>
  <si>
    <t>5MZT152</t>
    <phoneticPr fontId="3" type="noConversion"/>
  </si>
  <si>
    <t>26-1333</t>
    <phoneticPr fontId="3" type="noConversion"/>
  </si>
  <si>
    <t>대원-과학자마을</t>
    <phoneticPr fontId="3" type="noConversion"/>
  </si>
  <si>
    <t>5로이H/S+5CL++5ONE</t>
    <phoneticPr fontId="3" type="noConversion"/>
  </si>
  <si>
    <t>1면로이 재단 - 생산불량</t>
    <phoneticPr fontId="3" type="noConversion"/>
  </si>
  <si>
    <t>26-1460</t>
    <phoneticPr fontId="3" type="noConversion"/>
  </si>
  <si>
    <t>대우-청주테크노</t>
    <phoneticPr fontId="3" type="noConversion"/>
  </si>
  <si>
    <t>5ONE+5CL</t>
    <phoneticPr fontId="3" type="noConversion"/>
  </si>
  <si>
    <t>오도시</t>
    <phoneticPr fontId="3" type="noConversion"/>
  </si>
  <si>
    <t>26-1383</t>
    <phoneticPr fontId="3" type="noConversion"/>
  </si>
  <si>
    <t>정석개발-청주테크노</t>
    <phoneticPr fontId="3" type="noConversion"/>
  </si>
  <si>
    <t>5newGN+5DURA MAX</t>
    <phoneticPr fontId="3" type="noConversion"/>
  </si>
  <si>
    <t>5CL+5DURA MAX</t>
    <phoneticPr fontId="3" type="noConversion"/>
  </si>
  <si>
    <t>5NX</t>
    <phoneticPr fontId="3" type="noConversion"/>
  </si>
  <si>
    <t>5CL</t>
    <phoneticPr fontId="3" type="noConversion"/>
  </si>
  <si>
    <t>5DURA MAX</t>
    <phoneticPr fontId="3" type="noConversion"/>
  </si>
  <si>
    <t>26-1384</t>
    <phoneticPr fontId="3" type="noConversion"/>
  </si>
  <si>
    <t>정석개발 원판 사용</t>
    <phoneticPr fontId="3" type="noConversion"/>
  </si>
  <si>
    <t>26-1385</t>
    <phoneticPr fontId="3" type="noConversion"/>
  </si>
  <si>
    <t>26-1386</t>
    <phoneticPr fontId="3" type="noConversion"/>
  </si>
  <si>
    <t>26-1387</t>
    <phoneticPr fontId="3" type="noConversion"/>
  </si>
  <si>
    <t>26-1461</t>
    <phoneticPr fontId="3" type="noConversion"/>
  </si>
  <si>
    <t>26-1472</t>
    <phoneticPr fontId="3" type="noConversion"/>
  </si>
  <si>
    <t>26-1461, 1472 같이재단 - 로이 오도시 재단</t>
    <phoneticPr fontId="3" type="noConversion"/>
  </si>
  <si>
    <t>26-1439</t>
    <phoneticPr fontId="3" type="noConversion"/>
  </si>
  <si>
    <t>26-1418</t>
    <phoneticPr fontId="3" type="noConversion"/>
  </si>
  <si>
    <t>26-1396, 1418 같이재단</t>
    <phoneticPr fontId="3" type="noConversion"/>
  </si>
  <si>
    <t>26-1435</t>
    <phoneticPr fontId="3" type="noConversion"/>
  </si>
  <si>
    <t>26-1437</t>
    <phoneticPr fontId="3" type="noConversion"/>
  </si>
  <si>
    <t>현산-광주</t>
    <phoneticPr fontId="3" type="noConversion"/>
  </si>
  <si>
    <t>5SKN154IH/S+5CLH/S</t>
    <phoneticPr fontId="3" type="noConversion"/>
  </si>
  <si>
    <t>오도시</t>
    <phoneticPr fontId="3" type="noConversion"/>
  </si>
  <si>
    <t>26-1436</t>
    <phoneticPr fontId="3" type="noConversion"/>
  </si>
  <si>
    <t>26-1434</t>
    <phoneticPr fontId="3" type="noConversion"/>
  </si>
  <si>
    <t>5SKN154II</t>
    <phoneticPr fontId="3" type="noConversion"/>
  </si>
  <si>
    <t>5CL</t>
    <phoneticPr fontId="3" type="noConversion"/>
  </si>
  <si>
    <t>26-1436, 1434 같이재단</t>
    <phoneticPr fontId="3" type="noConversion"/>
  </si>
  <si>
    <t>26-1317</t>
    <phoneticPr fontId="3" type="noConversion"/>
  </si>
  <si>
    <t>계룡-증산도</t>
    <phoneticPr fontId="3" type="noConversion"/>
  </si>
  <si>
    <t>6SKG149TH/S+6CL</t>
    <phoneticPr fontId="3" type="noConversion"/>
  </si>
  <si>
    <t>6SKG149TH/S+6CLH/S</t>
    <phoneticPr fontId="3" type="noConversion"/>
  </si>
  <si>
    <t>6SKG149T</t>
    <phoneticPr fontId="3" type="noConversion"/>
  </si>
  <si>
    <t>로이재단</t>
    <phoneticPr fontId="3" type="noConversion"/>
  </si>
  <si>
    <t>26-1316</t>
    <phoneticPr fontId="3" type="noConversion"/>
  </si>
  <si>
    <t>26-1440</t>
    <phoneticPr fontId="3" type="noConversion"/>
  </si>
  <si>
    <t>씨타-춘천</t>
    <phoneticPr fontId="3" type="noConversion"/>
  </si>
  <si>
    <t>12투명강화</t>
    <phoneticPr fontId="3" type="noConversion"/>
  </si>
  <si>
    <t>12CL</t>
    <phoneticPr fontId="3" type="noConversion"/>
  </si>
  <si>
    <t>26-1393</t>
    <phoneticPr fontId="3" type="noConversion"/>
  </si>
  <si>
    <t>디엘-대전</t>
    <phoneticPr fontId="3" type="noConversion"/>
  </si>
  <si>
    <t>8투명강화</t>
    <phoneticPr fontId="3" type="noConversion"/>
  </si>
  <si>
    <t>8CL</t>
    <phoneticPr fontId="3" type="noConversion"/>
  </si>
  <si>
    <t>26-1201</t>
    <phoneticPr fontId="3" type="noConversion"/>
  </si>
  <si>
    <t>엘엑스-지북</t>
    <phoneticPr fontId="3" type="noConversion"/>
  </si>
  <si>
    <t>5newGNH/S+5로이H/S</t>
    <phoneticPr fontId="3" type="noConversion"/>
  </si>
  <si>
    <t>5newGNH/S+5로이</t>
    <phoneticPr fontId="3" type="noConversion"/>
  </si>
  <si>
    <t>5newGN+5로이</t>
    <phoneticPr fontId="3" type="noConversion"/>
  </si>
  <si>
    <t>5NX</t>
    <phoneticPr fontId="3" type="noConversion"/>
  </si>
  <si>
    <t>5SUPERPLUS2.0</t>
    <phoneticPr fontId="3" type="noConversion"/>
  </si>
  <si>
    <t>26-1205</t>
    <phoneticPr fontId="3" type="noConversion"/>
  </si>
  <si>
    <t>26-1437</t>
    <phoneticPr fontId="3" type="noConversion"/>
  </si>
  <si>
    <t>현산-광주</t>
    <phoneticPr fontId="3" type="noConversion"/>
  </si>
  <si>
    <t>26-1433</t>
    <phoneticPr fontId="3" type="noConversion"/>
  </si>
  <si>
    <t>10CL</t>
    <phoneticPr fontId="3" type="noConversion"/>
  </si>
  <si>
    <t>야간</t>
    <phoneticPr fontId="3" type="noConversion"/>
  </si>
  <si>
    <t>26-1471</t>
    <phoneticPr fontId="3" type="noConversion"/>
  </si>
  <si>
    <t>세지-음성</t>
    <phoneticPr fontId="3" type="noConversion"/>
  </si>
  <si>
    <t>5SKN154IIH/S+5CL</t>
    <phoneticPr fontId="3" type="noConversion"/>
  </si>
  <si>
    <t>오도시</t>
    <phoneticPr fontId="3" type="noConversion"/>
  </si>
  <si>
    <t>26-1297</t>
    <phoneticPr fontId="3" type="noConversion"/>
  </si>
  <si>
    <t>정석-청주테크노</t>
    <phoneticPr fontId="3" type="noConversion"/>
  </si>
  <si>
    <t>5newGN+5DURA MAX</t>
    <phoneticPr fontId="3" type="noConversion"/>
  </si>
  <si>
    <t>5CL+5DURA MAX</t>
    <phoneticPr fontId="3" type="noConversion"/>
  </si>
  <si>
    <t>5CL</t>
    <phoneticPr fontId="3" type="noConversion"/>
  </si>
  <si>
    <t>5DURA MAX</t>
    <phoneticPr fontId="3" type="noConversion"/>
  </si>
  <si>
    <t>정석개발 원판 사용</t>
    <phoneticPr fontId="3" type="noConversion"/>
  </si>
  <si>
    <t>투명재단 - 6번 312조 중 224조 재단</t>
    <phoneticPr fontId="3" type="noConversion"/>
  </si>
  <si>
    <t>26-1369</t>
    <phoneticPr fontId="3" type="noConversion"/>
  </si>
  <si>
    <t>제일-인천</t>
    <phoneticPr fontId="3" type="noConversion"/>
  </si>
  <si>
    <t>5투명</t>
    <phoneticPr fontId="3" type="noConversion"/>
  </si>
  <si>
    <t>5CL</t>
    <phoneticPr fontId="3" type="noConversion"/>
  </si>
  <si>
    <t>26-1368</t>
    <phoneticPr fontId="3" type="noConversion"/>
  </si>
  <si>
    <t>26-1437</t>
    <phoneticPr fontId="3" type="noConversion"/>
  </si>
  <si>
    <t>현산-광주</t>
    <phoneticPr fontId="3" type="noConversion"/>
  </si>
  <si>
    <t>26-1441</t>
    <phoneticPr fontId="3" type="noConversion"/>
  </si>
  <si>
    <t>26-1437, 1441 같이재단</t>
    <phoneticPr fontId="3" type="noConversion"/>
  </si>
  <si>
    <t>26-1193</t>
    <phoneticPr fontId="3" type="noConversion"/>
  </si>
  <si>
    <t>엘엑스-지북</t>
    <phoneticPr fontId="3" type="noConversion"/>
  </si>
  <si>
    <t>5newGNH/S+5로이H/S</t>
    <phoneticPr fontId="3" type="noConversion"/>
  </si>
  <si>
    <t>5NX</t>
    <phoneticPr fontId="3" type="noConversion"/>
  </si>
  <si>
    <t>5SUPERPLUS2.0</t>
    <phoneticPr fontId="3" type="noConversion"/>
  </si>
  <si>
    <t>26-1219</t>
    <phoneticPr fontId="3" type="noConversion"/>
  </si>
  <si>
    <t>5newGN+5로이</t>
    <phoneticPr fontId="3" type="noConversion"/>
  </si>
  <si>
    <t>강화불량 - 26-1193, 1219 같이재단</t>
    <phoneticPr fontId="3" type="noConversion"/>
  </si>
  <si>
    <t>26-1193, 1219 같이재단</t>
    <phoneticPr fontId="3" type="noConversion"/>
  </si>
  <si>
    <t>로이재단 - 강화불량</t>
    <phoneticPr fontId="3" type="noConversion"/>
  </si>
  <si>
    <t>26-1087</t>
    <phoneticPr fontId="3" type="noConversion"/>
  </si>
  <si>
    <t>대화-충주</t>
    <phoneticPr fontId="3" type="noConversion"/>
  </si>
  <si>
    <t>5SKN154IIH/S+5CLH/S+5SKN154IIH/S</t>
    <phoneticPr fontId="3" type="noConversion"/>
  </si>
  <si>
    <t>5SKN154II</t>
    <phoneticPr fontId="3" type="noConversion"/>
  </si>
  <si>
    <t>투명재단 - 강화불량</t>
    <phoneticPr fontId="3" type="noConversion"/>
  </si>
  <si>
    <t>26-1298</t>
    <phoneticPr fontId="3" type="noConversion"/>
  </si>
  <si>
    <t>정석-청주테크노</t>
    <phoneticPr fontId="3" type="noConversion"/>
  </si>
  <si>
    <t>5DURA MAX</t>
    <phoneticPr fontId="3" type="noConversion"/>
  </si>
  <si>
    <t>로이재단 - 정석개발 원판 사용</t>
    <phoneticPr fontId="3" type="noConversion"/>
  </si>
  <si>
    <t>26-1495</t>
    <phoneticPr fontId="3" type="noConversion"/>
  </si>
  <si>
    <t>엘엑스-지북</t>
    <phoneticPr fontId="3" type="noConversion"/>
  </si>
  <si>
    <t>5CL+5로이</t>
    <phoneticPr fontId="3" type="noConversion"/>
  </si>
  <si>
    <t>5CL</t>
    <phoneticPr fontId="3" type="noConversion"/>
  </si>
  <si>
    <t>5SUPERPLUS2.0</t>
    <phoneticPr fontId="3" type="noConversion"/>
  </si>
  <si>
    <t>26-1205</t>
    <phoneticPr fontId="3" type="noConversion"/>
  </si>
  <si>
    <t>5newGN+5로이</t>
    <phoneticPr fontId="3" type="noConversion"/>
  </si>
  <si>
    <t>5NX</t>
    <phoneticPr fontId="3" type="noConversion"/>
  </si>
  <si>
    <t>26-1201</t>
    <phoneticPr fontId="3" type="noConversion"/>
  </si>
  <si>
    <t>야간</t>
    <phoneticPr fontId="3" type="noConversion"/>
  </si>
  <si>
    <t>26-1469</t>
    <phoneticPr fontId="3" type="noConversion"/>
  </si>
  <si>
    <t>계룡-KT인재개발원</t>
    <phoneticPr fontId="3" type="noConversion"/>
  </si>
  <si>
    <t>5DURA MAX(비강화용)</t>
    <phoneticPr fontId="3" type="noConversion"/>
  </si>
  <si>
    <t>26-1470</t>
    <phoneticPr fontId="3" type="noConversion"/>
  </si>
  <si>
    <t>26-1298</t>
    <phoneticPr fontId="3" type="noConversion"/>
  </si>
  <si>
    <t>정석-청주테크노</t>
    <phoneticPr fontId="3" type="noConversion"/>
  </si>
  <si>
    <t>5newGN+5DURA MAX</t>
    <phoneticPr fontId="3" type="noConversion"/>
  </si>
  <si>
    <t>5CL+5DURA MAX</t>
    <phoneticPr fontId="3" type="noConversion"/>
  </si>
  <si>
    <t>그린재단 - 정석개발 원판 사용</t>
    <phoneticPr fontId="3" type="noConversion"/>
  </si>
  <si>
    <t>투명재단 - 정석개발 원판 사용</t>
    <phoneticPr fontId="3" type="noConversion"/>
  </si>
  <si>
    <t>26-1312</t>
    <phoneticPr fontId="3" type="noConversion"/>
  </si>
  <si>
    <t>26-1417</t>
    <phoneticPr fontId="3" type="noConversion"/>
  </si>
  <si>
    <t>5newGN+5로이</t>
    <phoneticPr fontId="3" type="noConversion"/>
  </si>
  <si>
    <t>5NX</t>
    <phoneticPr fontId="3" type="noConversion"/>
  </si>
  <si>
    <t>로이재단 - 3~4번재단 - 26-1164, 26-1453 같이재단</t>
    <phoneticPr fontId="3" type="noConversion"/>
  </si>
  <si>
    <t>로이재단 - 5~6번재단 - 26-1164, 26-1453 같이재단</t>
    <phoneticPr fontId="3" type="noConversion"/>
  </si>
  <si>
    <t>로이재단 - 3번재단 - 26-1164, 26-1453 같이재단</t>
    <phoneticPr fontId="3" type="noConversion"/>
  </si>
  <si>
    <t>로이재단 - 7~9번 재단 - 26-1164, 26-1453 같이재단</t>
    <phoneticPr fontId="3" type="noConversion"/>
  </si>
  <si>
    <t>26-1163</t>
    <phoneticPr fontId="3" type="noConversion"/>
  </si>
  <si>
    <t>로이재단</t>
    <phoneticPr fontId="3" type="noConversion"/>
  </si>
  <si>
    <t>26-1312</t>
    <phoneticPr fontId="3" type="noConversion"/>
  </si>
  <si>
    <t>로이재단 - 정석개발 원판 사용</t>
    <phoneticPr fontId="3" type="noConversion"/>
  </si>
  <si>
    <t>26-1437</t>
    <phoneticPr fontId="3" type="noConversion"/>
  </si>
  <si>
    <t>현산-광주</t>
    <phoneticPr fontId="3" type="noConversion"/>
  </si>
  <si>
    <t>10투명강화</t>
    <phoneticPr fontId="3" type="noConversion"/>
  </si>
  <si>
    <t>10CL</t>
    <phoneticPr fontId="3" type="noConversion"/>
  </si>
  <si>
    <t>26-1163</t>
    <phoneticPr fontId="3" type="noConversion"/>
  </si>
  <si>
    <t>6MZT135</t>
    <phoneticPr fontId="3" type="noConversion"/>
  </si>
  <si>
    <t>로이재단</t>
    <phoneticPr fontId="3" type="noConversion"/>
  </si>
  <si>
    <t>야간</t>
    <phoneticPr fontId="3" type="noConversion"/>
  </si>
  <si>
    <t>26-1583</t>
    <phoneticPr fontId="3" type="noConversion"/>
  </si>
  <si>
    <t>재일-인천</t>
    <phoneticPr fontId="3" type="noConversion"/>
  </si>
  <si>
    <t>5CL+5로이</t>
    <phoneticPr fontId="3" type="noConversion"/>
  </si>
  <si>
    <t>5DURA MAX</t>
    <phoneticPr fontId="3" type="noConversion"/>
  </si>
  <si>
    <t>5DURA MAX(비강화용)</t>
    <phoneticPr fontId="3" type="noConversion"/>
  </si>
  <si>
    <t>5CL</t>
    <phoneticPr fontId="3" type="noConversion"/>
  </si>
  <si>
    <t>공장 보관파손</t>
    <phoneticPr fontId="3" type="noConversion"/>
  </si>
  <si>
    <t>26-1584</t>
    <phoneticPr fontId="3" type="noConversion"/>
  </si>
  <si>
    <t>26-1312</t>
    <phoneticPr fontId="3" type="noConversion"/>
  </si>
  <si>
    <t>정석-청주테크노</t>
    <phoneticPr fontId="3" type="noConversion"/>
  </si>
  <si>
    <t>투명재단 - 정석개발 원판 사용</t>
    <phoneticPr fontId="3" type="noConversion"/>
  </si>
  <si>
    <t>26-1315</t>
    <phoneticPr fontId="3" type="noConversion"/>
  </si>
  <si>
    <t>계룡-증산도</t>
    <phoneticPr fontId="3" type="noConversion"/>
  </si>
  <si>
    <t>6SKG149TH/S+6CL</t>
    <phoneticPr fontId="3" type="noConversion"/>
  </si>
  <si>
    <t>6SKG149TH/S+6CLH/S</t>
    <phoneticPr fontId="3" type="noConversion"/>
  </si>
  <si>
    <t>26-1314</t>
    <phoneticPr fontId="3" type="noConversion"/>
  </si>
  <si>
    <t>로이재단 - 강화불량 - 26-1315, 1314 같이재단</t>
    <phoneticPr fontId="3" type="noConversion"/>
  </si>
  <si>
    <t>6SKG149T</t>
    <phoneticPr fontId="3" type="noConversion"/>
  </si>
  <si>
    <t>26-1089</t>
    <phoneticPr fontId="3" type="noConversion"/>
  </si>
  <si>
    <t>대화-충주</t>
    <phoneticPr fontId="3" type="noConversion"/>
  </si>
  <si>
    <t>5SKN154IIH/S+5CLH/S+5SKN154IIH/S</t>
    <phoneticPr fontId="3" type="noConversion"/>
  </si>
  <si>
    <t>오도시 - 일면로이 재단 - 강화불량</t>
    <phoneticPr fontId="3" type="noConversion"/>
  </si>
  <si>
    <t>오도시 - 투명재단 - 강화불량</t>
    <phoneticPr fontId="3" type="noConversion"/>
  </si>
  <si>
    <t>26-0679</t>
    <phoneticPr fontId="3" type="noConversion"/>
  </si>
  <si>
    <t>26-0764</t>
    <phoneticPr fontId="3" type="noConversion"/>
  </si>
  <si>
    <t>26-0713</t>
    <phoneticPr fontId="3" type="noConversion"/>
  </si>
  <si>
    <t>신동아-건강보험</t>
    <phoneticPr fontId="3" type="noConversion"/>
  </si>
  <si>
    <t>로이재단 - 강화불량 - 26-0679, 0764, 0713 같이재단</t>
    <phoneticPr fontId="3" type="noConversion"/>
  </si>
  <si>
    <t>6MZT135H/S+6CL</t>
    <phoneticPr fontId="3" type="noConversion"/>
  </si>
  <si>
    <t>6MZT135H/S+6CLH/S</t>
    <phoneticPr fontId="3" type="noConversion"/>
  </si>
  <si>
    <t>26-0711</t>
    <phoneticPr fontId="3" type="noConversion"/>
  </si>
  <si>
    <t>26-0714</t>
    <phoneticPr fontId="3" type="noConversion"/>
  </si>
  <si>
    <t>26-1079</t>
    <phoneticPr fontId="3" type="noConversion"/>
  </si>
  <si>
    <t>26-0759</t>
    <phoneticPr fontId="3" type="noConversion"/>
  </si>
  <si>
    <t>26-1078</t>
    <phoneticPr fontId="3" type="noConversion"/>
  </si>
  <si>
    <t>투명재단 - 강화불량 - 26-0679, 0711, 0713, 0714, 1079, 0759, 1078  같이재단</t>
    <phoneticPr fontId="3" type="noConversion"/>
  </si>
  <si>
    <t>6CL</t>
    <phoneticPr fontId="3" type="noConversion"/>
  </si>
  <si>
    <t>26-1080</t>
    <phoneticPr fontId="3" type="noConversion"/>
  </si>
  <si>
    <t>26-1081</t>
    <phoneticPr fontId="3" type="noConversion"/>
  </si>
  <si>
    <t>26-0762</t>
    <phoneticPr fontId="3" type="noConversion"/>
  </si>
  <si>
    <t>로이재단 - 강화불량 - 26-0711, 1080, 1081, 1079, 0762, 1078 같이재단</t>
    <phoneticPr fontId="3" type="noConversion"/>
  </si>
  <si>
    <t>6MZT128</t>
    <phoneticPr fontId="3" type="noConversion"/>
  </si>
  <si>
    <t>투명재단 - 26-0679, 0711, 0713, 0714, 1079, 0759, 1078  같이재단</t>
    <phoneticPr fontId="3" type="noConversion"/>
  </si>
  <si>
    <t>6MZT128H/S+6CLH/S</t>
    <phoneticPr fontId="3" type="noConversion"/>
  </si>
  <si>
    <t>6MZT128H/S+6CL</t>
    <phoneticPr fontId="3" type="noConversion"/>
  </si>
  <si>
    <t>26-1313</t>
    <phoneticPr fontId="3" type="noConversion"/>
  </si>
  <si>
    <t>5NX</t>
    <phoneticPr fontId="3" type="noConversion"/>
  </si>
  <si>
    <t>그린재단 - 정석개발 원판 사용</t>
    <phoneticPr fontId="3" type="noConversion"/>
  </si>
  <si>
    <t>투명, 로이 재단 - 정석개발 원판 사용</t>
    <phoneticPr fontId="3" type="noConversion"/>
  </si>
  <si>
    <t>26-1454</t>
    <phoneticPr fontId="3" type="noConversion"/>
  </si>
  <si>
    <t>대화-충주</t>
    <phoneticPr fontId="3" type="noConversion"/>
  </si>
  <si>
    <t>10투명강화</t>
    <phoneticPr fontId="3" type="noConversion"/>
  </si>
  <si>
    <t>10CL</t>
    <phoneticPr fontId="3" type="noConversion"/>
  </si>
  <si>
    <t>26-1442</t>
    <phoneticPr fontId="3" type="noConversion"/>
  </si>
  <si>
    <t>태영-부산</t>
    <phoneticPr fontId="3" type="noConversion"/>
  </si>
  <si>
    <t>26-1454, 26-1442 같이재단</t>
    <phoneticPr fontId="3" type="noConversion"/>
  </si>
  <si>
    <t>26-1460</t>
    <phoneticPr fontId="3" type="noConversion"/>
  </si>
  <si>
    <t>대우-청주테크노</t>
    <phoneticPr fontId="3" type="noConversion"/>
  </si>
  <si>
    <t>26-1579</t>
    <phoneticPr fontId="3" type="noConversion"/>
  </si>
  <si>
    <t>다솔산업</t>
    <phoneticPr fontId="3" type="noConversion"/>
  </si>
  <si>
    <t>5CL+5CL</t>
    <phoneticPr fontId="3" type="noConversion"/>
  </si>
  <si>
    <t>5newGN+5CL</t>
    <phoneticPr fontId="3" type="noConversion"/>
  </si>
  <si>
    <t>오도시</t>
    <phoneticPr fontId="3" type="noConversion"/>
  </si>
  <si>
    <t>26-1153</t>
    <phoneticPr fontId="3" type="noConversion"/>
  </si>
  <si>
    <t>5CLH/S+5로이</t>
    <phoneticPr fontId="3" type="noConversion"/>
  </si>
  <si>
    <t>8.76투명접합+5로이H/S+5로이</t>
    <phoneticPr fontId="3" type="noConversion"/>
  </si>
  <si>
    <t>26-1154</t>
    <phoneticPr fontId="3" type="noConversion"/>
  </si>
  <si>
    <t>26-1155</t>
    <phoneticPr fontId="3" type="noConversion"/>
  </si>
  <si>
    <t>26-1156</t>
    <phoneticPr fontId="3" type="noConversion"/>
  </si>
  <si>
    <t>5CL</t>
    <phoneticPr fontId="3" type="noConversion"/>
  </si>
  <si>
    <t>5DURA MAX(강화용)</t>
    <phoneticPr fontId="3" type="noConversion"/>
  </si>
  <si>
    <t>5DURA MAX(비강화용)</t>
    <phoneticPr fontId="3" type="noConversion"/>
  </si>
  <si>
    <t>26-1153, 1154, 1155, 1156 같이재단</t>
    <phoneticPr fontId="3" type="noConversion"/>
  </si>
  <si>
    <t>(4CL+4CL)+5로이</t>
    <phoneticPr fontId="3" type="noConversion"/>
  </si>
  <si>
    <t>대원-에버랜드</t>
    <phoneticPr fontId="3" type="noConversion"/>
  </si>
  <si>
    <t>26-1348</t>
    <phoneticPr fontId="3" type="noConversion"/>
  </si>
  <si>
    <t>5CL+5로이</t>
    <phoneticPr fontId="3" type="noConversion"/>
  </si>
  <si>
    <t>5CL</t>
    <phoneticPr fontId="3" type="noConversion"/>
  </si>
  <si>
    <t>5DURA MAX</t>
    <phoneticPr fontId="3" type="noConversion"/>
  </si>
  <si>
    <t>6로이+6CL</t>
    <phoneticPr fontId="3" type="noConversion"/>
  </si>
  <si>
    <t>1-10, 14같이재단, 6월5일 야간 누락분</t>
    <phoneticPr fontId="3" type="noConversion"/>
  </si>
  <si>
    <t>5로이+5CL</t>
    <phoneticPr fontId="3" type="noConversion"/>
  </si>
  <si>
    <t>오도시</t>
    <phoneticPr fontId="3" type="noConversion"/>
  </si>
  <si>
    <t>26-1576</t>
    <phoneticPr fontId="3" type="noConversion"/>
  </si>
  <si>
    <t>현엔-화성기아</t>
    <phoneticPr fontId="3" type="noConversion"/>
  </si>
  <si>
    <t>5BLH/S+5로이</t>
    <phoneticPr fontId="3" type="noConversion"/>
  </si>
  <si>
    <t>오도시</t>
    <phoneticPr fontId="3" type="noConversion"/>
  </si>
  <si>
    <t>26-1370</t>
    <phoneticPr fontId="3" type="noConversion"/>
  </si>
  <si>
    <t>제일-인천</t>
    <phoneticPr fontId="3" type="noConversion"/>
  </si>
  <si>
    <t>5투명</t>
    <phoneticPr fontId="3" type="noConversion"/>
  </si>
  <si>
    <t>5CL</t>
    <phoneticPr fontId="3" type="noConversion"/>
  </si>
  <si>
    <t>26-1519</t>
    <phoneticPr fontId="3" type="noConversion"/>
  </si>
  <si>
    <t>엘엑스-지북</t>
    <phoneticPr fontId="3" type="noConversion"/>
  </si>
  <si>
    <t>5CLH/S+5ONEIIH/S</t>
    <phoneticPr fontId="3" type="noConversion"/>
  </si>
  <si>
    <t>5PLAONEII</t>
    <phoneticPr fontId="3" type="noConversion"/>
  </si>
  <si>
    <t>26-1520</t>
    <phoneticPr fontId="3" type="noConversion"/>
  </si>
  <si>
    <t>26-1433</t>
    <phoneticPr fontId="3" type="noConversion"/>
  </si>
  <si>
    <t>현산-광주</t>
    <phoneticPr fontId="3" type="noConversion"/>
  </si>
  <si>
    <t>8투명강화</t>
    <phoneticPr fontId="3" type="noConversion"/>
  </si>
  <si>
    <t>8CL</t>
    <phoneticPr fontId="3" type="noConversion"/>
  </si>
  <si>
    <t>야간</t>
    <phoneticPr fontId="3" type="noConversion"/>
  </si>
  <si>
    <t>26-1151</t>
    <phoneticPr fontId="3" type="noConversion"/>
  </si>
  <si>
    <t>태영-부산</t>
    <phoneticPr fontId="3" type="noConversion"/>
  </si>
  <si>
    <t>8.76투명접합+5로이H/S+5로이</t>
    <phoneticPr fontId="3" type="noConversion"/>
  </si>
  <si>
    <t>5DURA MAX(강화용)</t>
    <phoneticPr fontId="3" type="noConversion"/>
  </si>
  <si>
    <t>로이재단-강화불량</t>
    <phoneticPr fontId="3" type="noConversion"/>
  </si>
  <si>
    <t>26-1498</t>
    <phoneticPr fontId="3" type="noConversion"/>
  </si>
  <si>
    <t>금성뱍조-이천</t>
    <phoneticPr fontId="3" type="noConversion"/>
  </si>
  <si>
    <t>5CL에칭+5로이</t>
    <phoneticPr fontId="3" type="noConversion"/>
  </si>
  <si>
    <t>5CL+5로이</t>
    <phoneticPr fontId="3" type="noConversion"/>
  </si>
  <si>
    <t>5DURA MAX(비강화용)</t>
    <phoneticPr fontId="3" type="noConversion"/>
  </si>
  <si>
    <t>26-1496</t>
    <phoneticPr fontId="3" type="noConversion"/>
  </si>
  <si>
    <t>한라-월명</t>
    <phoneticPr fontId="3" type="noConversion"/>
  </si>
  <si>
    <t>5CLH/S+5로이</t>
    <phoneticPr fontId="3" type="noConversion"/>
  </si>
  <si>
    <t>5SKN154+5CL</t>
    <phoneticPr fontId="3" type="noConversion"/>
  </si>
  <si>
    <t>5마스터원</t>
    <phoneticPr fontId="3" type="noConversion"/>
  </si>
  <si>
    <t>26-1153</t>
    <phoneticPr fontId="3" type="noConversion"/>
  </si>
  <si>
    <t>26-1154</t>
    <phoneticPr fontId="3" type="noConversion"/>
  </si>
  <si>
    <t>26-1155</t>
    <phoneticPr fontId="3" type="noConversion"/>
  </si>
  <si>
    <t>26-1578</t>
    <phoneticPr fontId="3" type="noConversion"/>
  </si>
  <si>
    <t>남선산업개발</t>
    <phoneticPr fontId="3" type="noConversion"/>
  </si>
  <si>
    <t>5MZT152H/S+5CL(이형)</t>
    <phoneticPr fontId="3" type="noConversion"/>
  </si>
  <si>
    <t>5MZT152H/S+5CL</t>
    <phoneticPr fontId="3" type="noConversion"/>
  </si>
  <si>
    <t>5MZT152</t>
    <phoneticPr fontId="3" type="noConversion"/>
  </si>
  <si>
    <t>5CL</t>
    <phoneticPr fontId="3" type="noConversion"/>
  </si>
  <si>
    <t>5MZT152H/S+5CL+5MZT152H/S</t>
    <phoneticPr fontId="3" type="noConversion"/>
  </si>
  <si>
    <t>26-1373</t>
    <phoneticPr fontId="3" type="noConversion"/>
  </si>
  <si>
    <t>5CL+5로이</t>
    <phoneticPr fontId="3" type="noConversion"/>
  </si>
  <si>
    <t>26-1156</t>
    <phoneticPr fontId="3" type="noConversion"/>
  </si>
  <si>
    <t>26-1076</t>
    <phoneticPr fontId="3" type="noConversion"/>
  </si>
  <si>
    <t>제일-인천검단</t>
    <phoneticPr fontId="3" type="noConversion"/>
  </si>
  <si>
    <t>5NXH/S+5로이H/S</t>
    <phoneticPr fontId="3" type="noConversion"/>
  </si>
  <si>
    <t>5NX+5로이</t>
    <phoneticPr fontId="3" type="noConversion"/>
  </si>
  <si>
    <t>5NX</t>
    <phoneticPr fontId="3" type="noConversion"/>
  </si>
  <si>
    <t>5듀라+</t>
    <phoneticPr fontId="3" type="noConversion"/>
  </si>
  <si>
    <t>26-1077</t>
    <phoneticPr fontId="3" type="noConversion"/>
  </si>
  <si>
    <t>26-1372</t>
    <phoneticPr fontId="3" type="noConversion"/>
  </si>
  <si>
    <t>26-1371</t>
    <phoneticPr fontId="3" type="noConversion"/>
  </si>
  <si>
    <t>5CL+5로이</t>
    <phoneticPr fontId="3" type="noConversion"/>
  </si>
  <si>
    <t>5CL</t>
    <phoneticPr fontId="3" type="noConversion"/>
  </si>
  <si>
    <t>1,2,6,9번 투명재단</t>
    <phoneticPr fontId="3" type="noConversion"/>
  </si>
  <si>
    <t>26-1077</t>
    <phoneticPr fontId="3" type="noConversion"/>
  </si>
  <si>
    <t>부뜨리 재단 : 08:30 ~ 12:30</t>
    <phoneticPr fontId="3" type="noConversion"/>
  </si>
  <si>
    <t>부뜨리+마이켈 재단 : 13:30 ~ 17:30</t>
    <phoneticPr fontId="3" type="noConversion"/>
  </si>
  <si>
    <t>26-1205</t>
    <phoneticPr fontId="3" type="noConversion"/>
  </si>
  <si>
    <t>엘엑스-지북</t>
    <phoneticPr fontId="3" type="noConversion"/>
  </si>
  <si>
    <t>5newGNH/S+5로이H/S</t>
    <phoneticPr fontId="3" type="noConversion"/>
  </si>
  <si>
    <t>5SUPERPLUS2.0</t>
    <phoneticPr fontId="3" type="noConversion"/>
  </si>
  <si>
    <t>로이재단 - 강화불량</t>
    <phoneticPr fontId="3" type="noConversion"/>
  </si>
  <si>
    <t>26-1164</t>
    <phoneticPr fontId="3" type="noConversion"/>
  </si>
  <si>
    <t>신동아-건강보험</t>
    <phoneticPr fontId="3" type="noConversion"/>
  </si>
  <si>
    <t>6MZT135H/S+6CLH/S</t>
    <phoneticPr fontId="3" type="noConversion"/>
  </si>
  <si>
    <t>6MZT135H/S+6CL</t>
    <phoneticPr fontId="3" type="noConversion"/>
  </si>
  <si>
    <t>투명재단 - 3~4번 재단 - 26-1164, 1453 같이재단</t>
    <phoneticPr fontId="3" type="noConversion"/>
  </si>
  <si>
    <t>투명재단 - 5번, 7번 재단 - 26-1164, 1453 같이재단</t>
    <phoneticPr fontId="3" type="noConversion"/>
  </si>
  <si>
    <t>투명재단 - 8번, 10번 재단 - 26-1164, 1453 같이재단</t>
    <phoneticPr fontId="3" type="noConversion"/>
  </si>
  <si>
    <t>투명재단 - 26-1164, 1453 같이재단</t>
    <phoneticPr fontId="3" type="noConversion"/>
  </si>
  <si>
    <t>26-1453</t>
    <phoneticPr fontId="3" type="noConversion"/>
  </si>
  <si>
    <t>26-1163</t>
    <phoneticPr fontId="3" type="noConversion"/>
  </si>
  <si>
    <t>투명재단</t>
    <phoneticPr fontId="3" type="noConversion"/>
  </si>
  <si>
    <t>야간</t>
    <phoneticPr fontId="3" type="noConversion"/>
  </si>
  <si>
    <t>26-1303</t>
    <phoneticPr fontId="3" type="noConversion"/>
  </si>
  <si>
    <t>정석-청주테크노</t>
    <phoneticPr fontId="3" type="noConversion"/>
  </si>
  <si>
    <t>5NX</t>
    <phoneticPr fontId="3" type="noConversion"/>
  </si>
  <si>
    <t>5CL</t>
    <phoneticPr fontId="3" type="noConversion"/>
  </si>
  <si>
    <t>5DURA MAX</t>
    <phoneticPr fontId="3" type="noConversion"/>
  </si>
  <si>
    <t>정석개발 원판 사용</t>
    <phoneticPr fontId="3" type="noConversion"/>
  </si>
  <si>
    <t>26-1398</t>
    <phoneticPr fontId="3" type="noConversion"/>
  </si>
  <si>
    <t>케이씨씨-여의도</t>
    <phoneticPr fontId="3" type="noConversion"/>
  </si>
  <si>
    <t>5MZT172H/S+5CLH/S</t>
    <phoneticPr fontId="3" type="noConversion"/>
  </si>
  <si>
    <t>5MZT172</t>
  </si>
  <si>
    <t>투명재단 - 오도시 강화불량</t>
    <phoneticPr fontId="3" type="noConversion"/>
  </si>
  <si>
    <t>26-1313</t>
    <phoneticPr fontId="3" type="noConversion"/>
  </si>
  <si>
    <t>로이재단 - 정석개발 원판 사용</t>
    <phoneticPr fontId="3" type="noConversion"/>
  </si>
  <si>
    <t>26-1539</t>
    <phoneticPr fontId="3" type="noConversion"/>
  </si>
  <si>
    <t>신라-보건환경</t>
    <phoneticPr fontId="3" type="noConversion"/>
  </si>
  <si>
    <t>5MZT152H/S+5CL(이형)</t>
    <phoneticPr fontId="3" type="noConversion"/>
  </si>
  <si>
    <t>5MZT152</t>
  </si>
  <si>
    <t>로이재단</t>
    <phoneticPr fontId="3" type="noConversion"/>
  </si>
  <si>
    <t>26-1538</t>
    <phoneticPr fontId="3" type="noConversion"/>
  </si>
  <si>
    <t>26-1163</t>
    <phoneticPr fontId="3" type="noConversion"/>
  </si>
  <si>
    <t>투명재단 - 5~6번 재단</t>
    <phoneticPr fontId="3" type="noConversion"/>
  </si>
  <si>
    <t>투명재단 - 9번 재단</t>
    <phoneticPr fontId="3" type="noConversion"/>
  </si>
  <si>
    <t>26-1539</t>
    <phoneticPr fontId="3" type="noConversion"/>
  </si>
  <si>
    <t>신라-보건환경</t>
    <phoneticPr fontId="3" type="noConversion"/>
  </si>
  <si>
    <t>5MZT152H/S+5CL</t>
    <phoneticPr fontId="3" type="noConversion"/>
  </si>
  <si>
    <t>5MZT152</t>
    <phoneticPr fontId="3" type="noConversion"/>
  </si>
  <si>
    <t>로이재단</t>
    <phoneticPr fontId="3" type="noConversion"/>
  </si>
  <si>
    <t>26-1538</t>
    <phoneticPr fontId="3" type="noConversion"/>
  </si>
  <si>
    <t>5CL</t>
    <phoneticPr fontId="3" type="noConversion"/>
  </si>
  <si>
    <t>26-1304</t>
    <phoneticPr fontId="3" type="noConversion"/>
  </si>
  <si>
    <t>26-1305</t>
    <phoneticPr fontId="3" type="noConversion"/>
  </si>
  <si>
    <t>26-1163</t>
    <phoneticPr fontId="3" type="noConversion"/>
  </si>
  <si>
    <t>로이재단 - 8번, 10번 재단</t>
    <phoneticPr fontId="3" type="noConversion"/>
  </si>
  <si>
    <t>로이재단 - 9번 재단</t>
    <phoneticPr fontId="3" type="noConversion"/>
  </si>
  <si>
    <t>26-1519</t>
    <phoneticPr fontId="3" type="noConversion"/>
  </si>
  <si>
    <t>엘엑스-지북</t>
    <phoneticPr fontId="3" type="noConversion"/>
  </si>
  <si>
    <t>5CLH/S+5ONEIIH/S</t>
    <phoneticPr fontId="3" type="noConversion"/>
  </si>
  <si>
    <t>5PLAONEII</t>
    <phoneticPr fontId="3" type="noConversion"/>
  </si>
  <si>
    <t>26-1520</t>
    <phoneticPr fontId="3" type="noConversion"/>
  </si>
  <si>
    <t>로이재단 - 강화불량 - 26-1519, 1520 같이재단</t>
    <phoneticPr fontId="3" type="noConversion"/>
  </si>
  <si>
    <t>5CL</t>
    <phoneticPr fontId="3" type="noConversion"/>
  </si>
  <si>
    <t>투명재단 - 강화불량 - 26-1519, 1520 같이재단</t>
    <phoneticPr fontId="3" type="noConversion"/>
  </si>
  <si>
    <t>26-1539</t>
    <phoneticPr fontId="3" type="noConversion"/>
  </si>
  <si>
    <t>5MZT152H/S+5CL(이형)</t>
  </si>
  <si>
    <t>투명재단</t>
    <phoneticPr fontId="3" type="noConversion"/>
  </si>
  <si>
    <t>26-1578</t>
    <phoneticPr fontId="3" type="noConversion"/>
  </si>
  <si>
    <t>남선산업개발</t>
    <phoneticPr fontId="3" type="noConversion"/>
  </si>
  <si>
    <t>5MZT152H/S+5CL</t>
    <phoneticPr fontId="3" type="noConversion"/>
  </si>
  <si>
    <t>5MZT152</t>
    <phoneticPr fontId="3" type="noConversion"/>
  </si>
  <si>
    <t>5MZT152H/S+5CL+5MZT152H/S</t>
    <phoneticPr fontId="3" type="noConversion"/>
  </si>
  <si>
    <t>로이재단 - 강화불량</t>
    <phoneticPr fontId="3" type="noConversion"/>
  </si>
  <si>
    <t>26-1208</t>
    <phoneticPr fontId="3" type="noConversion"/>
  </si>
  <si>
    <t>5newGN+5로이</t>
    <phoneticPr fontId="3" type="noConversion"/>
  </si>
  <si>
    <t>5NX</t>
    <phoneticPr fontId="3" type="noConversion"/>
  </si>
  <si>
    <t>5SUPERPLUS2.0</t>
    <phoneticPr fontId="3" type="noConversion"/>
  </si>
  <si>
    <t>26-1434</t>
    <phoneticPr fontId="3" type="noConversion"/>
  </si>
  <si>
    <t>현산-광주</t>
    <phoneticPr fontId="3" type="noConversion"/>
  </si>
  <si>
    <t>5SKN154IIH/S+5CLH/S</t>
    <phoneticPr fontId="3" type="noConversion"/>
  </si>
  <si>
    <t>26-1435</t>
    <phoneticPr fontId="3" type="noConversion"/>
  </si>
  <si>
    <t>투명재단 - 강화불량 - 26-1434, 1435 같이재단</t>
    <phoneticPr fontId="3" type="noConversion"/>
  </si>
  <si>
    <t>야간</t>
    <phoneticPr fontId="3" type="noConversion"/>
  </si>
  <si>
    <t>26-1516</t>
    <phoneticPr fontId="3" type="noConversion"/>
  </si>
  <si>
    <t>디엘-내포</t>
    <phoneticPr fontId="3" type="noConversion"/>
  </si>
  <si>
    <t>6SKN154+6CL</t>
    <phoneticPr fontId="3" type="noConversion"/>
  </si>
  <si>
    <t>6SKN154</t>
    <phoneticPr fontId="3" type="noConversion"/>
  </si>
  <si>
    <t>6CL</t>
    <phoneticPr fontId="3" type="noConversion"/>
  </si>
  <si>
    <t>26-1582</t>
    <phoneticPr fontId="3" type="noConversion"/>
  </si>
  <si>
    <t>다솔산업</t>
    <phoneticPr fontId="3" type="noConversion"/>
  </si>
  <si>
    <t>5CL+5DURA MAX</t>
    <phoneticPr fontId="3" type="noConversion"/>
  </si>
  <si>
    <t>5CL+5DURA MAX 이형</t>
    <phoneticPr fontId="3" type="noConversion"/>
  </si>
  <si>
    <t>5DURA MAX(비강화용)</t>
    <phoneticPr fontId="3" type="noConversion"/>
  </si>
  <si>
    <t>26-1603</t>
    <phoneticPr fontId="3" type="noConversion"/>
  </si>
  <si>
    <t>세지-음성</t>
    <phoneticPr fontId="3" type="noConversion"/>
  </si>
  <si>
    <t>5SKN154IIH/S+5CL</t>
    <phoneticPr fontId="3" type="noConversion"/>
  </si>
  <si>
    <t>26-1088</t>
    <phoneticPr fontId="3" type="noConversion"/>
  </si>
  <si>
    <t>대화-충주</t>
    <phoneticPr fontId="3" type="noConversion"/>
  </si>
  <si>
    <t>5SKN154IIH/S+5CLH/S+5SKN154IIH/S</t>
    <phoneticPr fontId="3" type="noConversion"/>
  </si>
  <si>
    <t>5SKN154II</t>
    <phoneticPr fontId="3" type="noConversion"/>
  </si>
  <si>
    <t>26-1603, 1088 같이재단</t>
    <phoneticPr fontId="3" type="noConversion"/>
  </si>
  <si>
    <t>로이재단 - 강화불량 - 26-1603, 1088 같이재단</t>
    <phoneticPr fontId="3" type="noConversion"/>
  </si>
  <si>
    <t>26-1645</t>
    <phoneticPr fontId="3" type="noConversion"/>
  </si>
  <si>
    <t>한라-월명</t>
    <phoneticPr fontId="3" type="noConversion"/>
  </si>
  <si>
    <t>5CLH/S+5로이</t>
    <phoneticPr fontId="3" type="noConversion"/>
  </si>
  <si>
    <t>로이 오도시 재단</t>
    <phoneticPr fontId="3" type="noConversion"/>
  </si>
  <si>
    <t>26-1646</t>
    <phoneticPr fontId="3" type="noConversion"/>
  </si>
  <si>
    <t>현대샷시</t>
    <phoneticPr fontId="3" type="noConversion"/>
  </si>
  <si>
    <t>5newGN+5ML</t>
    <phoneticPr fontId="3" type="noConversion"/>
  </si>
  <si>
    <t>5미스트</t>
    <phoneticPr fontId="3" type="noConversion"/>
  </si>
  <si>
    <t>그린 오도시 재단</t>
    <phoneticPr fontId="3" type="noConversion"/>
  </si>
  <si>
    <t>26-1518</t>
    <phoneticPr fontId="3" type="noConversion"/>
  </si>
  <si>
    <t>현엔-화성기아</t>
    <phoneticPr fontId="3" type="noConversion"/>
  </si>
  <si>
    <t>5BLH/S+5로이H/S</t>
    <phoneticPr fontId="3" type="noConversion"/>
  </si>
  <si>
    <t>5BLH/S+5로이H/S 이형</t>
    <phoneticPr fontId="3" type="noConversion"/>
  </si>
  <si>
    <t>5BL</t>
    <phoneticPr fontId="3" type="noConversion"/>
  </si>
  <si>
    <t>5마스터원</t>
    <phoneticPr fontId="3" type="noConversion"/>
  </si>
  <si>
    <t>26-1517</t>
    <phoneticPr fontId="3" type="noConversion"/>
  </si>
  <si>
    <t>5SKN154II+5CL 이형</t>
    <phoneticPr fontId="3" type="noConversion"/>
  </si>
  <si>
    <t>5SKN154II+5CL</t>
    <phoneticPr fontId="3" type="noConversion"/>
  </si>
  <si>
    <t>로이재단</t>
    <phoneticPr fontId="3" type="noConversion"/>
  </si>
  <si>
    <t>26-1649</t>
    <phoneticPr fontId="3" type="noConversion"/>
  </si>
  <si>
    <t>씨타-춘천</t>
    <phoneticPr fontId="3" type="noConversion"/>
  </si>
  <si>
    <t>5MZT152H/S+5CLH/S+5MZT152H/S</t>
    <phoneticPr fontId="3" type="noConversion"/>
  </si>
  <si>
    <t>12투명강화</t>
    <phoneticPr fontId="3" type="noConversion"/>
  </si>
  <si>
    <t>5MZT152</t>
    <phoneticPr fontId="3" type="noConversion"/>
  </si>
  <si>
    <t>투명 오도시 재단</t>
    <phoneticPr fontId="3" type="noConversion"/>
  </si>
  <si>
    <t>오도시</t>
    <phoneticPr fontId="3" type="noConversion"/>
  </si>
  <si>
    <t>26-1422</t>
    <phoneticPr fontId="3" type="noConversion"/>
  </si>
  <si>
    <t>현엔-화성기아</t>
    <phoneticPr fontId="3" type="noConversion"/>
  </si>
  <si>
    <t>5BLH/S+5로이H/S</t>
    <phoneticPr fontId="3" type="noConversion"/>
  </si>
  <si>
    <t>5BL</t>
    <phoneticPr fontId="3" type="noConversion"/>
  </si>
  <si>
    <t>26-1208</t>
    <phoneticPr fontId="3" type="noConversion"/>
  </si>
  <si>
    <t>엘엑스-지북</t>
    <phoneticPr fontId="3" type="noConversion"/>
  </si>
  <si>
    <t>5newGNH/S+5로이H/S</t>
    <phoneticPr fontId="3" type="noConversion"/>
  </si>
  <si>
    <t>5newGNH/S+5로이</t>
    <phoneticPr fontId="3" type="noConversion"/>
  </si>
  <si>
    <t>5CL+5로이</t>
    <phoneticPr fontId="3" type="noConversion"/>
  </si>
  <si>
    <t>5NX</t>
    <phoneticPr fontId="3" type="noConversion"/>
  </si>
  <si>
    <t>5CL</t>
    <phoneticPr fontId="3" type="noConversion"/>
  </si>
  <si>
    <t>26-1211</t>
    <phoneticPr fontId="3" type="noConversion"/>
  </si>
  <si>
    <t>그린+로이 재단</t>
    <phoneticPr fontId="3" type="noConversion"/>
  </si>
  <si>
    <t>그린재단</t>
    <phoneticPr fontId="3" type="noConversion"/>
  </si>
  <si>
    <t>투명+로이재단</t>
    <phoneticPr fontId="3" type="noConversion"/>
  </si>
  <si>
    <t>26-1215</t>
    <phoneticPr fontId="3" type="noConversion"/>
  </si>
  <si>
    <t>26-1517</t>
    <phoneticPr fontId="3" type="noConversion"/>
  </si>
  <si>
    <t>디엘-내포</t>
    <phoneticPr fontId="3" type="noConversion"/>
  </si>
  <si>
    <t>투명재단</t>
    <phoneticPr fontId="3" type="noConversion"/>
  </si>
  <si>
    <t>26-1306</t>
    <phoneticPr fontId="3" type="noConversion"/>
  </si>
  <si>
    <t>26-1422</t>
    <phoneticPr fontId="3" type="noConversion"/>
  </si>
  <si>
    <t>현엔-화성기아</t>
    <phoneticPr fontId="3" type="noConversion"/>
  </si>
  <si>
    <t>5BLH/S+5로이H/S</t>
    <phoneticPr fontId="3" type="noConversion"/>
  </si>
  <si>
    <t>블루재단 - 2번 재단</t>
    <phoneticPr fontId="3" type="noConversion"/>
  </si>
  <si>
    <t>5BL</t>
    <phoneticPr fontId="3" type="noConversion"/>
  </si>
  <si>
    <t>블루재단 - 1번재단</t>
    <phoneticPr fontId="3" type="noConversion"/>
  </si>
  <si>
    <t>5마스터원</t>
    <phoneticPr fontId="3" type="noConversion"/>
  </si>
  <si>
    <t>로이재단</t>
    <phoneticPr fontId="3" type="noConversion"/>
  </si>
  <si>
    <t>26-1211</t>
    <phoneticPr fontId="3" type="noConversion"/>
  </si>
  <si>
    <t>5NX</t>
    <phoneticPr fontId="3" type="noConversion"/>
  </si>
  <si>
    <t>5CL</t>
    <phoneticPr fontId="3" type="noConversion"/>
  </si>
  <si>
    <t>5SUPERPLUS2.0</t>
    <phoneticPr fontId="3" type="noConversion"/>
  </si>
  <si>
    <t>26-1208</t>
    <phoneticPr fontId="3" type="noConversion"/>
  </si>
  <si>
    <t>26-1434</t>
    <phoneticPr fontId="3" type="noConversion"/>
  </si>
  <si>
    <t>현산-광주</t>
    <phoneticPr fontId="3" type="noConversion"/>
  </si>
  <si>
    <t>5SKN154IIH/S+5CLH/S</t>
    <phoneticPr fontId="3" type="noConversion"/>
  </si>
  <si>
    <t>5SKN154II</t>
    <phoneticPr fontId="3" type="noConversion"/>
  </si>
  <si>
    <t>26-1435</t>
    <phoneticPr fontId="3" type="noConversion"/>
  </si>
  <si>
    <t>로이재단 - 강화불량 - 26-1434, 1435 같이재단</t>
    <phoneticPr fontId="3" type="noConversion"/>
  </si>
  <si>
    <t>투명재단 - 오도시 강화불량</t>
    <phoneticPr fontId="3" type="noConversion"/>
  </si>
  <si>
    <t>26-1215</t>
    <phoneticPr fontId="3" type="noConversion"/>
  </si>
  <si>
    <t>야간</t>
    <phoneticPr fontId="3" type="noConversion"/>
  </si>
  <si>
    <t>26-1307</t>
    <phoneticPr fontId="3" type="noConversion"/>
  </si>
  <si>
    <t>26-1442</t>
    <phoneticPr fontId="3" type="noConversion"/>
  </si>
  <si>
    <t>태영-부산</t>
    <phoneticPr fontId="3" type="noConversion"/>
  </si>
  <si>
    <t>6CL+6DURA MAX</t>
    <phoneticPr fontId="3" type="noConversion"/>
  </si>
  <si>
    <t>6CL</t>
    <phoneticPr fontId="3" type="noConversion"/>
  </si>
  <si>
    <t>6DURA MAX</t>
    <phoneticPr fontId="3" type="noConversion"/>
  </si>
  <si>
    <t>26-1306</t>
    <phoneticPr fontId="3" type="noConversion"/>
  </si>
  <si>
    <t>26-1308</t>
    <phoneticPr fontId="3" type="noConversion"/>
  </si>
  <si>
    <t>26-1657</t>
    <phoneticPr fontId="3" type="noConversion"/>
  </si>
  <si>
    <t>현엔-화성기아</t>
    <phoneticPr fontId="3" type="noConversion"/>
  </si>
  <si>
    <t>5BLH/S+5로이H/S</t>
    <phoneticPr fontId="3" type="noConversion"/>
  </si>
  <si>
    <t>5마스터원</t>
    <phoneticPr fontId="3" type="noConversion"/>
  </si>
  <si>
    <t>26-1215</t>
    <phoneticPr fontId="3" type="noConversion"/>
  </si>
  <si>
    <t>엘엑스-지북</t>
    <phoneticPr fontId="3" type="noConversion"/>
  </si>
  <si>
    <t>5CL</t>
    <phoneticPr fontId="3" type="noConversion"/>
  </si>
  <si>
    <t>5SUPERPLUS2.0</t>
    <phoneticPr fontId="3" type="noConversion"/>
  </si>
  <si>
    <t>26-1308</t>
    <phoneticPr fontId="3" type="noConversion"/>
  </si>
  <si>
    <t>5NX</t>
    <phoneticPr fontId="3" type="noConversion"/>
  </si>
  <si>
    <t>그린재단 - 정석개발 원판 사용</t>
    <phoneticPr fontId="3" type="noConversion"/>
  </si>
  <si>
    <t>26-1400</t>
    <phoneticPr fontId="3" type="noConversion"/>
  </si>
  <si>
    <t>26-1401</t>
    <phoneticPr fontId="3" type="noConversion"/>
  </si>
  <si>
    <t>26-1653</t>
    <phoneticPr fontId="3" type="noConversion"/>
  </si>
  <si>
    <t>남선산업개발</t>
    <phoneticPr fontId="3" type="noConversion"/>
  </si>
  <si>
    <t>5MZT152H/S+5CL+5MZT152H/S</t>
    <phoneticPr fontId="3" type="noConversion"/>
  </si>
  <si>
    <t>5MZT152H/S+5CL</t>
    <phoneticPr fontId="3" type="noConversion"/>
  </si>
  <si>
    <t>5MZT152</t>
    <phoneticPr fontId="3" type="noConversion"/>
  </si>
  <si>
    <t>로이재단</t>
    <phoneticPr fontId="3" type="noConversion"/>
  </si>
  <si>
    <t>26-1652</t>
    <phoneticPr fontId="3" type="noConversion"/>
  </si>
  <si>
    <t>26-1163</t>
    <phoneticPr fontId="3" type="noConversion"/>
  </si>
  <si>
    <t>신동아-건강보험</t>
    <phoneticPr fontId="3" type="noConversion"/>
  </si>
  <si>
    <t>6MZT135H/S+6CL</t>
    <phoneticPr fontId="3" type="noConversion"/>
  </si>
  <si>
    <t>6MZT135H/S+6CLH/S</t>
    <phoneticPr fontId="3" type="noConversion"/>
  </si>
  <si>
    <t>6CL</t>
    <phoneticPr fontId="3" type="noConversion"/>
  </si>
  <si>
    <t>투명재단 - 7번 재단</t>
    <phoneticPr fontId="3" type="noConversion"/>
  </si>
  <si>
    <t>투명재단 - 8번 50조 중 24조, 9번 50조 중 16조, 10번, 50조 중 48조 재단</t>
    <phoneticPr fontId="3" type="noConversion"/>
  </si>
  <si>
    <t>야간</t>
    <phoneticPr fontId="3" type="noConversion"/>
  </si>
  <si>
    <t>26-1310</t>
    <phoneticPr fontId="3" type="noConversion"/>
  </si>
  <si>
    <t>26-1309</t>
    <phoneticPr fontId="3" type="noConversion"/>
  </si>
  <si>
    <t>26-1655</t>
    <phoneticPr fontId="3" type="noConversion"/>
  </si>
  <si>
    <t>씨에스토건</t>
    <phoneticPr fontId="3" type="noConversion"/>
  </si>
  <si>
    <t>5투명강화</t>
    <phoneticPr fontId="3" type="noConversion"/>
  </si>
  <si>
    <t>오도시</t>
    <phoneticPr fontId="3" type="noConversion"/>
  </si>
  <si>
    <t>5CL</t>
    <phoneticPr fontId="3" type="noConversion"/>
  </si>
  <si>
    <t>투명재단</t>
    <phoneticPr fontId="3" type="noConversion"/>
  </si>
  <si>
    <t>26-1311</t>
    <phoneticPr fontId="3" type="noConversion"/>
  </si>
  <si>
    <t>26-1375</t>
    <phoneticPr fontId="3" type="noConversion"/>
  </si>
  <si>
    <t>에스지-삼평동</t>
    <phoneticPr fontId="3" type="noConversion"/>
  </si>
  <si>
    <t>5SKN154IIH/S+5CLH/S</t>
    <phoneticPr fontId="3" type="noConversion"/>
  </si>
  <si>
    <t>5SKN154II</t>
    <phoneticPr fontId="3" type="noConversion"/>
  </si>
  <si>
    <t>5CL</t>
    <phoneticPr fontId="3" type="noConversion"/>
  </si>
  <si>
    <t>26-1662</t>
    <phoneticPr fontId="3" type="noConversion"/>
  </si>
  <si>
    <t>동일유리</t>
    <phoneticPr fontId="3" type="noConversion"/>
  </si>
  <si>
    <t>5newGN+5로이</t>
    <phoneticPr fontId="3" type="noConversion"/>
  </si>
  <si>
    <t>26-1670</t>
    <phoneticPr fontId="3" type="noConversion"/>
  </si>
  <si>
    <t>이랜드-수원</t>
    <phoneticPr fontId="3" type="noConversion"/>
  </si>
  <si>
    <t>5CL+5로이</t>
    <phoneticPr fontId="3" type="noConversion"/>
  </si>
  <si>
    <t>5DURA MAX(비강화용)</t>
    <phoneticPr fontId="3" type="noConversion"/>
  </si>
  <si>
    <t>그린오도시 재단 - 26-1662, 1670 같이재단</t>
    <phoneticPr fontId="3" type="noConversion"/>
  </si>
  <si>
    <t>26-1662, 1670 같이재단</t>
  </si>
  <si>
    <t>26-1164</t>
    <phoneticPr fontId="3" type="noConversion"/>
  </si>
  <si>
    <t>신동아-건강보험</t>
    <phoneticPr fontId="3" type="noConversion"/>
  </si>
  <si>
    <t>6MZT135H/S+6CLH/S</t>
    <phoneticPr fontId="3" type="noConversion"/>
  </si>
  <si>
    <t>6MZT135H/S+6CL</t>
    <phoneticPr fontId="3" type="noConversion"/>
  </si>
  <si>
    <t>26-1163</t>
    <phoneticPr fontId="3" type="noConversion"/>
  </si>
  <si>
    <t>6MZT135</t>
    <phoneticPr fontId="3" type="noConversion"/>
  </si>
  <si>
    <t>로이재단 - 원판불량 - 26-1164, 1163, 1453 같이재단</t>
    <phoneticPr fontId="3" type="noConversion"/>
  </si>
  <si>
    <t>26-1453</t>
    <phoneticPr fontId="3" type="noConversion"/>
  </si>
  <si>
    <t>26-1676</t>
    <phoneticPr fontId="3" type="noConversion"/>
  </si>
  <si>
    <t>에스케이-청주</t>
    <phoneticPr fontId="3" type="noConversion"/>
  </si>
  <si>
    <t>8.76투명접합+5CL</t>
    <phoneticPr fontId="3" type="noConversion"/>
  </si>
  <si>
    <t>26-1208</t>
    <phoneticPr fontId="3" type="noConversion"/>
  </si>
  <si>
    <t>엘엑스-지북</t>
    <phoneticPr fontId="3" type="noConversion"/>
  </si>
  <si>
    <t>26-1676, 1208 같이재단</t>
    <phoneticPr fontId="3" type="noConversion"/>
  </si>
  <si>
    <t>투명재단 - 기스 - 26-1676, 1208 같이재단</t>
    <phoneticPr fontId="3" type="noConversion"/>
  </si>
  <si>
    <t>26-1422</t>
    <phoneticPr fontId="3" type="noConversion"/>
  </si>
  <si>
    <t>현엔-화성기아</t>
    <phoneticPr fontId="3" type="noConversion"/>
  </si>
  <si>
    <t>5BLH/S+5로이H/S</t>
    <phoneticPr fontId="3" type="noConversion"/>
  </si>
  <si>
    <t>5마스터원</t>
    <phoneticPr fontId="3" type="noConversion"/>
  </si>
  <si>
    <t>로이재단 - 강화불량</t>
    <phoneticPr fontId="3" type="noConversion"/>
  </si>
  <si>
    <t>26-1653</t>
    <phoneticPr fontId="3" type="noConversion"/>
  </si>
  <si>
    <t>5MZT152H/S+5CLH/S+5MZT152H/S</t>
    <phoneticPr fontId="3" type="noConversion"/>
  </si>
  <si>
    <t>투명재단</t>
    <phoneticPr fontId="3" type="noConversion"/>
  </si>
  <si>
    <t>26-1652</t>
    <phoneticPr fontId="3" type="noConversion"/>
  </si>
  <si>
    <t>남선-충북대</t>
    <phoneticPr fontId="3" type="noConversion"/>
  </si>
  <si>
    <t>26-1377</t>
    <phoneticPr fontId="3" type="noConversion"/>
  </si>
  <si>
    <t>로이재단</t>
    <phoneticPr fontId="3" type="noConversion"/>
  </si>
  <si>
    <t>26-1376</t>
    <phoneticPr fontId="3" type="noConversion"/>
  </si>
  <si>
    <t>5SKN154IIH/S+5CL</t>
    <phoneticPr fontId="3" type="noConversion"/>
  </si>
  <si>
    <t>야간</t>
    <phoneticPr fontId="3" type="noConversion"/>
  </si>
  <si>
    <t>26-1650</t>
    <phoneticPr fontId="3" type="noConversion"/>
  </si>
  <si>
    <t>케이씨씨-여의도</t>
    <phoneticPr fontId="3" type="noConversion"/>
  </si>
  <si>
    <t>5MVT172H/S+5CLH/S</t>
    <phoneticPr fontId="3" type="noConversion"/>
  </si>
  <si>
    <t>5MVT172+5CL</t>
    <phoneticPr fontId="3" type="noConversion"/>
  </si>
  <si>
    <t>26-1300</t>
    <phoneticPr fontId="3" type="noConversion"/>
  </si>
  <si>
    <t>26-1647</t>
    <phoneticPr fontId="3" type="noConversion"/>
  </si>
  <si>
    <t>금호-성남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</si>
  <si>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</si>
  <si>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</si>
  <si>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</si>
  <si>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5DURA MAX(비강화용)</t>
    <phoneticPr fontId="3" type="noConversion"/>
  </si>
  <si>
    <t>투명 오도시 재단</t>
    <phoneticPr fontId="3" type="noConversion"/>
  </si>
  <si>
    <t>26-1701</t>
    <phoneticPr fontId="3" type="noConversion"/>
  </si>
  <si>
    <t>영재물산</t>
    <phoneticPr fontId="3" type="noConversion"/>
  </si>
  <si>
    <t>10투명강화</t>
    <phoneticPr fontId="3" type="noConversion"/>
  </si>
  <si>
    <t>6그린</t>
    <phoneticPr fontId="3" type="noConversion"/>
  </si>
  <si>
    <t>10CL</t>
    <phoneticPr fontId="3" type="noConversion"/>
  </si>
  <si>
    <t>오도시</t>
    <phoneticPr fontId="3" type="noConversion"/>
  </si>
  <si>
    <t>26-1377</t>
    <phoneticPr fontId="3" type="noConversion"/>
  </si>
  <si>
    <t>에스지-삼평동</t>
    <phoneticPr fontId="3" type="noConversion"/>
  </si>
  <si>
    <t>26-1581</t>
    <phoneticPr fontId="3" type="noConversion"/>
  </si>
  <si>
    <t>5newGNH/S+5로이</t>
    <phoneticPr fontId="3" type="noConversion"/>
  </si>
  <si>
    <t>5CL</t>
    <phoneticPr fontId="3" type="noConversion"/>
  </si>
  <si>
    <t>5CL+5CL</t>
    <phoneticPr fontId="3" type="noConversion"/>
  </si>
  <si>
    <t>26-1580</t>
    <phoneticPr fontId="3" type="noConversion"/>
  </si>
  <si>
    <t>26-1376</t>
    <phoneticPr fontId="3" type="noConversion"/>
  </si>
  <si>
    <t>26-1301</t>
    <phoneticPr fontId="3" type="noConversion"/>
  </si>
  <si>
    <t>그린+로이 재단 - 정석개발 원판 사용</t>
    <phoneticPr fontId="3" type="noConversion"/>
  </si>
  <si>
    <t>5MZT172</t>
    <phoneticPr fontId="3" type="noConversion"/>
  </si>
  <si>
    <t>26-1205</t>
    <phoneticPr fontId="3" type="noConversion"/>
  </si>
  <si>
    <t>엘엑스-지북</t>
    <phoneticPr fontId="3" type="noConversion"/>
  </si>
  <si>
    <t>5newGNH/S+5로이H/S</t>
    <phoneticPr fontId="3" type="noConversion"/>
  </si>
  <si>
    <t>5SUPERPLUS2.0</t>
    <phoneticPr fontId="3" type="noConversion"/>
  </si>
  <si>
    <t>로이재단 - 강화불량</t>
    <phoneticPr fontId="3" type="noConversion"/>
  </si>
  <si>
    <t>26-1379</t>
    <phoneticPr fontId="3" type="noConversion"/>
  </si>
  <si>
    <t>5SKN154II</t>
    <phoneticPr fontId="3" type="noConversion"/>
  </si>
  <si>
    <t>5CL</t>
    <phoneticPr fontId="3" type="noConversion"/>
  </si>
  <si>
    <t>26-1378</t>
    <phoneticPr fontId="3" type="noConversion"/>
  </si>
  <si>
    <t>투명재단</t>
    <phoneticPr fontId="3" type="noConversion"/>
  </si>
  <si>
    <t>26-1648</t>
    <phoneticPr fontId="3" type="noConversion"/>
  </si>
  <si>
    <t>계룡-원주의료원</t>
    <phoneticPr fontId="3" type="noConversion"/>
  </si>
  <si>
    <t>5SKN154IIH/S+5CL</t>
    <phoneticPr fontId="3" type="noConversion"/>
  </si>
  <si>
    <t>5SKN154IIH/S+5CLH/S+5ONE</t>
    <phoneticPr fontId="3" type="noConversion"/>
  </si>
  <si>
    <t>5PLAONE</t>
    <phoneticPr fontId="3" type="noConversion"/>
  </si>
  <si>
    <t>5SKN154II 오도시 재단</t>
    <phoneticPr fontId="3" type="noConversion"/>
  </si>
  <si>
    <t>5CL+5CL</t>
    <phoneticPr fontId="3" type="noConversion"/>
  </si>
  <si>
    <t>투명재단 - 정석개발 원판 사용</t>
    <phoneticPr fontId="3" type="noConversion"/>
  </si>
  <si>
    <t>26-1299</t>
    <phoneticPr fontId="3" type="noConversion"/>
  </si>
  <si>
    <t>로이재단 - 정석개발 원판 사용</t>
    <phoneticPr fontId="3" type="noConversion"/>
  </si>
  <si>
    <t>그린+로이 재단 - 정석개발 원판 사용</t>
    <phoneticPr fontId="3" type="noConversion"/>
  </si>
  <si>
    <t>26-1547</t>
    <phoneticPr fontId="3" type="noConversion"/>
  </si>
  <si>
    <t>대원-과학자마을</t>
    <phoneticPr fontId="3" type="noConversion"/>
  </si>
  <si>
    <t>5CL+5로이H/S</t>
    <phoneticPr fontId="3" type="noConversion"/>
  </si>
  <si>
    <t>26-1543</t>
    <phoneticPr fontId="3" type="noConversion"/>
  </si>
  <si>
    <t>5로이H/S+5CL+5ONE</t>
    <phoneticPr fontId="3" type="noConversion"/>
  </si>
  <si>
    <t>5DURA MAX</t>
    <phoneticPr fontId="3" type="noConversion"/>
  </si>
  <si>
    <t>5CL</t>
    <phoneticPr fontId="3" type="noConversion"/>
  </si>
  <si>
    <t>강화용 로이, 투명재단 - 26-1547, 1543 같이재단</t>
    <phoneticPr fontId="3" type="noConversion"/>
  </si>
  <si>
    <t>26-1547, 1543 같이재단</t>
  </si>
  <si>
    <t>26-1380</t>
    <phoneticPr fontId="3" type="noConversion"/>
  </si>
  <si>
    <t>에스지-삼평동</t>
    <phoneticPr fontId="3" type="noConversion"/>
  </si>
  <si>
    <t>5SKN154IIH/S+5CL</t>
    <phoneticPr fontId="3" type="noConversion"/>
  </si>
  <si>
    <t>5SKN154II</t>
    <phoneticPr fontId="3" type="noConversion"/>
  </si>
  <si>
    <t>26-1654</t>
    <phoneticPr fontId="3" type="noConversion"/>
  </si>
  <si>
    <t>26-1381</t>
    <phoneticPr fontId="3" type="noConversion"/>
  </si>
  <si>
    <t>5SKN154IIH/S+5CLH/S</t>
    <phoneticPr fontId="3" type="noConversion"/>
  </si>
  <si>
    <t>26-1654, 1381 같이재단</t>
    <phoneticPr fontId="3" type="noConversion"/>
  </si>
  <si>
    <t>26-1088</t>
    <phoneticPr fontId="3" type="noConversion"/>
  </si>
  <si>
    <t>대화-충주</t>
    <phoneticPr fontId="3" type="noConversion"/>
  </si>
  <si>
    <t>5SKN154IIH/S+5CLH/S+5SKN154IIH/S</t>
    <phoneticPr fontId="3" type="noConversion"/>
  </si>
  <si>
    <t>로이재단 - 강화불량</t>
    <phoneticPr fontId="3" type="noConversion"/>
  </si>
  <si>
    <t>26-1577</t>
    <phoneticPr fontId="3" type="noConversion"/>
  </si>
  <si>
    <t>한양-인천</t>
    <phoneticPr fontId="3" type="noConversion"/>
  </si>
  <si>
    <t>8.76투명접합+5CL</t>
    <phoneticPr fontId="3" type="noConversion"/>
  </si>
  <si>
    <t>5CL+5CL</t>
    <phoneticPr fontId="3" type="noConversion"/>
  </si>
  <si>
    <t>26-1519</t>
    <phoneticPr fontId="3" type="noConversion"/>
  </si>
  <si>
    <t>엘엑스-지북</t>
    <phoneticPr fontId="3" type="noConversion"/>
  </si>
  <si>
    <t>5CLH/S+5ONEIIH/S</t>
    <phoneticPr fontId="3" type="noConversion"/>
  </si>
  <si>
    <t>로이재단 - 오도시 강화불량</t>
    <phoneticPr fontId="3" type="noConversion"/>
  </si>
  <si>
    <t>26-1520</t>
    <phoneticPr fontId="3" type="noConversion"/>
  </si>
  <si>
    <t>야간</t>
    <phoneticPr fontId="3" type="noConversion"/>
  </si>
  <si>
    <t>26-1545</t>
    <phoneticPr fontId="3" type="noConversion"/>
  </si>
  <si>
    <t>26-1544</t>
    <phoneticPr fontId="3" type="noConversion"/>
  </si>
  <si>
    <t>5CL+5로이H/S 이형</t>
    <phoneticPr fontId="3" type="noConversion"/>
  </si>
  <si>
    <t>26-1713</t>
    <phoneticPr fontId="3" type="noConversion"/>
  </si>
  <si>
    <t>케이씨씨-여의도</t>
    <phoneticPr fontId="3" type="noConversion"/>
  </si>
  <si>
    <t>5MVT172H/S+5CLH/S</t>
    <phoneticPr fontId="3" type="noConversion"/>
  </si>
  <si>
    <t>5MVT172+5CL</t>
    <phoneticPr fontId="3" type="noConversion"/>
  </si>
  <si>
    <t>오도시</t>
    <phoneticPr fontId="3" type="noConversion"/>
  </si>
  <si>
    <t>26-1702</t>
    <phoneticPr fontId="3" type="noConversion"/>
  </si>
  <si>
    <t>태영-부산</t>
    <phoneticPr fontId="3" type="noConversion"/>
  </si>
  <si>
    <t>6CL+6ONE</t>
    <phoneticPr fontId="3" type="noConversion"/>
  </si>
  <si>
    <t>6CL</t>
    <phoneticPr fontId="3" type="noConversion"/>
  </si>
  <si>
    <t>6DURA MAX</t>
    <phoneticPr fontId="3" type="noConversion"/>
  </si>
  <si>
    <t>6ONE -&gt; 6DURA MAX로 재단</t>
    <phoneticPr fontId="3" type="noConversion"/>
  </si>
  <si>
    <t>26-1299</t>
    <phoneticPr fontId="3" type="noConversion"/>
  </si>
  <si>
    <t>정석-청주테크노</t>
    <phoneticPr fontId="3" type="noConversion"/>
  </si>
  <si>
    <t>5newGN+5DURA MAX</t>
    <phoneticPr fontId="3" type="noConversion"/>
  </si>
  <si>
    <t>5NX</t>
    <phoneticPr fontId="3" type="noConversion"/>
  </si>
  <si>
    <t>그린재단 - 생산파손 정석개발 원판 사용</t>
    <phoneticPr fontId="3" type="noConversion"/>
  </si>
  <si>
    <t>5마스터원</t>
    <phoneticPr fontId="3" type="noConversion"/>
  </si>
  <si>
    <t>3면 로이 재단 - 5ONE -&gt; 5마스터원으로 재단</t>
    <phoneticPr fontId="3" type="noConversion"/>
  </si>
  <si>
    <t>투명재단 - 정석개발 원판 사용</t>
    <phoneticPr fontId="3" type="noConversion"/>
  </si>
  <si>
    <t>26-1546</t>
    <phoneticPr fontId="3" type="noConversion"/>
  </si>
  <si>
    <t>26-1302</t>
    <phoneticPr fontId="3" type="noConversion"/>
  </si>
  <si>
    <t>정석-청주테크노</t>
    <phoneticPr fontId="3" type="noConversion"/>
  </si>
  <si>
    <t>5투명</t>
    <phoneticPr fontId="3" type="noConversion"/>
  </si>
  <si>
    <t>5CL</t>
    <phoneticPr fontId="3" type="noConversion"/>
  </si>
  <si>
    <t>정석개발 원판 사용</t>
    <phoneticPr fontId="3" type="noConversion"/>
  </si>
  <si>
    <t>26-1238</t>
    <phoneticPr fontId="3" type="noConversion"/>
  </si>
  <si>
    <t>대진-대우 산성역</t>
    <phoneticPr fontId="3" type="noConversion"/>
  </si>
  <si>
    <t>10.76투명접합+6로이</t>
    <phoneticPr fontId="3" type="noConversion"/>
  </si>
  <si>
    <t>6CL+6CL</t>
    <phoneticPr fontId="3" type="noConversion"/>
  </si>
  <si>
    <t>6CL+6로이</t>
    <phoneticPr fontId="3" type="noConversion"/>
  </si>
  <si>
    <t>26-1239</t>
    <phoneticPr fontId="3" type="noConversion"/>
  </si>
  <si>
    <t>6CL</t>
    <phoneticPr fontId="3" type="noConversion"/>
  </si>
  <si>
    <t>6마스터원</t>
    <phoneticPr fontId="3" type="noConversion"/>
  </si>
  <si>
    <t>로이재단 - 6번 312조 중 224조 재단</t>
    <phoneticPr fontId="3" type="noConversion"/>
  </si>
  <si>
    <t>26-1702</t>
    <phoneticPr fontId="3" type="noConversion"/>
  </si>
  <si>
    <t>태영-부산</t>
    <phoneticPr fontId="3" type="noConversion"/>
  </si>
  <si>
    <t>6CL+6ONE</t>
    <phoneticPr fontId="3" type="noConversion"/>
  </si>
  <si>
    <t>로이재단-생산파손</t>
    <phoneticPr fontId="3" type="noConversion"/>
  </si>
  <si>
    <t>5NX+5SUPERPLUS2.0</t>
    <phoneticPr fontId="3" type="noConversion"/>
  </si>
  <si>
    <t>5NX</t>
    <phoneticPr fontId="3" type="noConversion"/>
  </si>
  <si>
    <t>26-1715</t>
    <phoneticPr fontId="3" type="noConversion"/>
  </si>
  <si>
    <t>미도사</t>
    <phoneticPr fontId="3" type="noConversion"/>
  </si>
  <si>
    <t>5CL+5CL에칭</t>
    <phoneticPr fontId="3" type="noConversion"/>
  </si>
  <si>
    <t>5CL</t>
    <phoneticPr fontId="3" type="noConversion"/>
  </si>
  <si>
    <t>26-1652</t>
    <phoneticPr fontId="3" type="noConversion"/>
  </si>
  <si>
    <t>남선-충북대</t>
    <phoneticPr fontId="3" type="noConversion"/>
  </si>
  <si>
    <t>5MZT152H/S+5CL+5MZT152H/S</t>
    <phoneticPr fontId="3" type="noConversion"/>
  </si>
  <si>
    <t>26-1653</t>
    <phoneticPr fontId="3" type="noConversion"/>
  </si>
  <si>
    <t>5MZT152</t>
    <phoneticPr fontId="3" type="noConversion"/>
  </si>
  <si>
    <t>로이재단 - 강화불량 - 26-1652, 1653 같이재단</t>
    <phoneticPr fontId="3" type="noConversion"/>
  </si>
  <si>
    <t>62-1240</t>
    <phoneticPr fontId="3" type="noConversion"/>
  </si>
  <si>
    <t>대진-대우</t>
    <phoneticPr fontId="3" type="noConversion"/>
  </si>
  <si>
    <t>26-1241</t>
    <phoneticPr fontId="3" type="noConversion"/>
  </si>
  <si>
    <t>26-1242</t>
    <phoneticPr fontId="3" type="noConversion"/>
  </si>
  <si>
    <t>10.76투명접합+6로이</t>
    <phoneticPr fontId="3" type="noConversion"/>
  </si>
  <si>
    <t>6CL+6CL</t>
    <phoneticPr fontId="3" type="noConversion"/>
  </si>
  <si>
    <t>6CL+6로이</t>
    <phoneticPr fontId="3" type="noConversion"/>
  </si>
  <si>
    <t>6CL</t>
    <phoneticPr fontId="3" type="noConversion"/>
  </si>
  <si>
    <t>6마스터원</t>
    <phoneticPr fontId="3" type="noConversion"/>
  </si>
  <si>
    <t>26-1541</t>
    <phoneticPr fontId="3" type="noConversion"/>
  </si>
  <si>
    <t>신동아-건강보험</t>
    <phoneticPr fontId="3" type="noConversion"/>
  </si>
  <si>
    <t>6MZT128H/S+6CLH/S</t>
    <phoneticPr fontId="3" type="noConversion"/>
  </si>
  <si>
    <t>6MZT128H/S+6CL</t>
    <phoneticPr fontId="3" type="noConversion"/>
  </si>
  <si>
    <t>26-1656</t>
    <phoneticPr fontId="3" type="noConversion"/>
  </si>
  <si>
    <t>6MZT128</t>
    <phoneticPr fontId="3" type="noConversion"/>
  </si>
  <si>
    <t>로이재단 - 26-1541, 1656 같이재단</t>
    <phoneticPr fontId="3" type="noConversion"/>
  </si>
  <si>
    <t>야간</t>
    <phoneticPr fontId="3" type="noConversion"/>
  </si>
  <si>
    <t>26-1714</t>
    <phoneticPr fontId="3" type="noConversion"/>
  </si>
  <si>
    <t>씨제이-오리온</t>
    <phoneticPr fontId="3" type="noConversion"/>
  </si>
  <si>
    <t>6SKS142IIH/S+6스팬드럴H/S</t>
    <phoneticPr fontId="3" type="noConversion"/>
  </si>
  <si>
    <t>6SKS142II</t>
    <phoneticPr fontId="3" type="noConversion"/>
  </si>
  <si>
    <t>26-1600</t>
    <phoneticPr fontId="3" type="noConversion"/>
  </si>
  <si>
    <t>계룡-KT인재개발원</t>
    <phoneticPr fontId="3" type="noConversion"/>
  </si>
  <si>
    <t>5newGN+5ONE</t>
    <phoneticPr fontId="3" type="noConversion"/>
  </si>
  <si>
    <t>26-1602</t>
    <phoneticPr fontId="3" type="noConversion"/>
  </si>
  <si>
    <t>5NX</t>
    <phoneticPr fontId="3" type="noConversion"/>
  </si>
  <si>
    <t>5마스터원</t>
    <phoneticPr fontId="3" type="noConversion"/>
  </si>
  <si>
    <t>5DURA MAX(비강화용)</t>
    <phoneticPr fontId="3" type="noConversion"/>
  </si>
  <si>
    <t>26-1600, 1602 같이재단 - 5ONE -&gt; 5마스터원, 5DURA MAX로 재단</t>
    <phoneticPr fontId="3" type="noConversion"/>
  </si>
  <si>
    <t>26-1632</t>
    <phoneticPr fontId="3" type="noConversion"/>
  </si>
  <si>
    <t>보미-청주대</t>
    <phoneticPr fontId="3" type="noConversion"/>
  </si>
  <si>
    <t>5ONE+5newGNH/S+5ONE</t>
    <phoneticPr fontId="3" type="noConversion"/>
  </si>
  <si>
    <t>투명재단 - 26-1541, 1656 같이재단</t>
    <phoneticPr fontId="3" type="noConversion"/>
  </si>
  <si>
    <t>26-1634</t>
    <phoneticPr fontId="3" type="noConversion"/>
  </si>
  <si>
    <t>26-1633</t>
    <phoneticPr fontId="3" type="noConversion"/>
  </si>
  <si>
    <t>26-1635</t>
    <phoneticPr fontId="3" type="noConversion"/>
  </si>
  <si>
    <t>26-1661</t>
    <phoneticPr fontId="3" type="noConversion"/>
  </si>
  <si>
    <t>에스지-신성</t>
    <phoneticPr fontId="3" type="noConversion"/>
  </si>
  <si>
    <t>5SKN154IIH/S+5CL</t>
    <phoneticPr fontId="3" type="noConversion"/>
  </si>
  <si>
    <t>5SKN154II</t>
    <phoneticPr fontId="3" type="noConversion"/>
  </si>
  <si>
    <t>로이재단</t>
    <phoneticPr fontId="3" type="noConversion"/>
  </si>
  <si>
    <t>26-1659</t>
    <phoneticPr fontId="3" type="noConversion"/>
  </si>
  <si>
    <t>26-1593</t>
    <phoneticPr fontId="3" type="noConversion"/>
  </si>
  <si>
    <t>신라-보건환경</t>
    <phoneticPr fontId="3" type="noConversion"/>
  </si>
  <si>
    <t>12투명</t>
    <phoneticPr fontId="3" type="noConversion"/>
  </si>
  <si>
    <t>오도시</t>
    <phoneticPr fontId="3" type="noConversion"/>
  </si>
  <si>
    <t>26-1474</t>
    <phoneticPr fontId="3" type="noConversion"/>
  </si>
  <si>
    <t>신동아-건강보험</t>
    <phoneticPr fontId="3" type="noConversion"/>
  </si>
  <si>
    <t>6MZT128H/S+8.76투명접합</t>
    <phoneticPr fontId="3" type="noConversion"/>
  </si>
  <si>
    <t>6MZT128H/S+6CLH/S</t>
    <phoneticPr fontId="3" type="noConversion"/>
  </si>
  <si>
    <t>6MZT128H/S+6CL</t>
    <phoneticPr fontId="3" type="noConversion"/>
  </si>
  <si>
    <t>6MZT128</t>
    <phoneticPr fontId="3" type="noConversion"/>
  </si>
  <si>
    <t>6CL</t>
    <phoneticPr fontId="3" type="noConversion"/>
  </si>
  <si>
    <t>26-1651</t>
    <phoneticPr fontId="3" type="noConversion"/>
  </si>
  <si>
    <t>26-1474, 1651 19~20번 같이재단</t>
    <phoneticPr fontId="3" type="noConversion"/>
  </si>
  <si>
    <t>26-1240</t>
    <phoneticPr fontId="3" type="noConversion"/>
  </si>
  <si>
    <t>대진-대우</t>
    <phoneticPr fontId="3" type="noConversion"/>
  </si>
  <si>
    <t>10.76투명접합+6로이</t>
    <phoneticPr fontId="3" type="noConversion"/>
  </si>
  <si>
    <t>6마스터원</t>
    <phoneticPr fontId="3" type="noConversion"/>
  </si>
  <si>
    <t>로이재단 - 생산파손 대진글라스원판 사용</t>
    <phoneticPr fontId="3" type="noConversion"/>
  </si>
  <si>
    <t>26-1653</t>
    <phoneticPr fontId="3" type="noConversion"/>
  </si>
  <si>
    <t>남선-충북대</t>
    <phoneticPr fontId="3" type="noConversion"/>
  </si>
  <si>
    <t>5MZT152H/S+5CL</t>
    <phoneticPr fontId="3" type="noConversion"/>
  </si>
  <si>
    <t>5MZT152</t>
    <phoneticPr fontId="3" type="noConversion"/>
  </si>
  <si>
    <t>로이재단 - 강화불량</t>
    <phoneticPr fontId="3" type="noConversion"/>
  </si>
  <si>
    <t>야간</t>
    <phoneticPr fontId="3" type="noConversion"/>
  </si>
  <si>
    <t>26-1464</t>
    <phoneticPr fontId="3" type="noConversion"/>
  </si>
  <si>
    <t>제일-장성지구</t>
    <phoneticPr fontId="3" type="noConversion"/>
  </si>
  <si>
    <t>5newGNH/S+5로이H/S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</si>
  <si>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</si>
  <si>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</si>
  <si>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</si>
  <si>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5CL</t>
    <phoneticPr fontId="3" type="noConversion"/>
  </si>
  <si>
    <t>5PLTDURA+</t>
    <phoneticPr fontId="3" type="noConversion"/>
  </si>
  <si>
    <t>5DURA MAX(비강화용)</t>
    <phoneticPr fontId="3" type="noConversion"/>
  </si>
  <si>
    <t>26-1465</t>
    <phoneticPr fontId="3" type="noConversion"/>
  </si>
  <si>
    <t>26-1466</t>
    <phoneticPr fontId="3" type="noConversion"/>
  </si>
  <si>
    <t>26-1375</t>
    <phoneticPr fontId="3" type="noConversion"/>
  </si>
  <si>
    <t>5SKN154IIH/S+5CLH/S</t>
    <phoneticPr fontId="3" type="noConversion"/>
  </si>
  <si>
    <t>에스지-삼평동</t>
    <phoneticPr fontId="3" type="noConversion"/>
  </si>
  <si>
    <t>26-1376</t>
    <phoneticPr fontId="3" type="noConversion"/>
  </si>
  <si>
    <t>5SKN154IIH/S+5CL</t>
    <phoneticPr fontId="3" type="noConversion"/>
  </si>
  <si>
    <t>5SKN154II</t>
    <phoneticPr fontId="3" type="noConversion"/>
  </si>
  <si>
    <t>로이재단 - 강화불량 - 26-1375, 1376 같이재단</t>
    <phoneticPr fontId="3" type="noConversion"/>
  </si>
  <si>
    <t>투명재단 - 강화불량 - 26-1375, 1376 같이재단</t>
    <phoneticPr fontId="3" type="noConversion"/>
  </si>
  <si>
    <t>투명재단 - 재단불량 - 26-1375, 1376 같이재단</t>
    <phoneticPr fontId="3" type="noConversion"/>
  </si>
  <si>
    <t>26-1659</t>
    <phoneticPr fontId="3" type="noConversion"/>
  </si>
  <si>
    <t>투명재단</t>
  </si>
  <si>
    <t>26-1660</t>
    <phoneticPr fontId="3" type="noConversion"/>
  </si>
  <si>
    <t>26-1661</t>
    <phoneticPr fontId="3" type="noConversion"/>
  </si>
  <si>
    <t>26-1676</t>
    <phoneticPr fontId="3" type="noConversion"/>
  </si>
  <si>
    <t>에스케이-청주</t>
    <phoneticPr fontId="3" type="noConversion"/>
  </si>
  <si>
    <t>8.76투명접합+5CL</t>
    <phoneticPr fontId="3" type="noConversion"/>
  </si>
  <si>
    <t>26-1539</t>
    <phoneticPr fontId="3" type="noConversion"/>
  </si>
  <si>
    <t>5MZT152H/S+5CL 이형</t>
    <phoneticPr fontId="3" type="noConversion"/>
  </si>
  <si>
    <t>26-1538</t>
    <phoneticPr fontId="3" type="noConversion"/>
  </si>
  <si>
    <t>26-1675</t>
    <phoneticPr fontId="3" type="noConversion"/>
  </si>
  <si>
    <t>대화-충주</t>
    <phoneticPr fontId="3" type="noConversion"/>
  </si>
  <si>
    <t>5SKN154IIH/S+5CLH/S+5SKN154IIH/S</t>
    <phoneticPr fontId="3" type="noConversion"/>
  </si>
  <si>
    <t>10투명강화</t>
    <phoneticPr fontId="3" type="noConversion"/>
  </si>
  <si>
    <t>5CL</t>
    <phoneticPr fontId="3" type="noConversion"/>
  </si>
  <si>
    <t>5SKN154II</t>
    <phoneticPr fontId="3" type="noConversion"/>
  </si>
  <si>
    <t>10CL</t>
    <phoneticPr fontId="3" type="noConversion"/>
  </si>
  <si>
    <t>26-1601</t>
    <phoneticPr fontId="3" type="noConversion"/>
  </si>
  <si>
    <t>계룡-KT인재개발원</t>
    <phoneticPr fontId="3" type="noConversion"/>
  </si>
  <si>
    <t>8투명강화</t>
    <phoneticPr fontId="3" type="noConversion"/>
  </si>
  <si>
    <t>8CL</t>
    <phoneticPr fontId="3" type="noConversion"/>
  </si>
  <si>
    <t>26-1332</t>
    <phoneticPr fontId="3" type="noConversion"/>
  </si>
  <si>
    <t>대원-과학자마을</t>
    <phoneticPr fontId="3" type="noConversion"/>
  </si>
  <si>
    <t>5로이H/S+5CL+5ONE</t>
    <phoneticPr fontId="3" type="noConversion"/>
  </si>
  <si>
    <t>5DURA MAX</t>
    <phoneticPr fontId="3" type="noConversion"/>
  </si>
  <si>
    <t>로이재단 - 강화불량</t>
    <phoneticPr fontId="3" type="noConversion"/>
  </si>
  <si>
    <t>26-1223</t>
    <phoneticPr fontId="3" type="noConversion"/>
  </si>
  <si>
    <t>엘엑스-지북</t>
    <phoneticPr fontId="3" type="noConversion"/>
  </si>
  <si>
    <t>5newGN+5로이</t>
    <phoneticPr fontId="3" type="noConversion"/>
  </si>
  <si>
    <t>5SUPERPLUS2.0</t>
    <phoneticPr fontId="3" type="noConversion"/>
  </si>
  <si>
    <t>로이재단</t>
    <phoneticPr fontId="3" type="noConversion"/>
  </si>
  <si>
    <t>26-1351</t>
    <phoneticPr fontId="3" type="noConversion"/>
  </si>
  <si>
    <t>26-1467</t>
    <phoneticPr fontId="3" type="noConversion"/>
  </si>
  <si>
    <t>26-1468</t>
    <phoneticPr fontId="3" type="noConversion"/>
  </si>
  <si>
    <t>26-1494</t>
    <phoneticPr fontId="3" type="noConversion"/>
  </si>
  <si>
    <t>26-1362</t>
    <phoneticPr fontId="3" type="noConversion"/>
  </si>
  <si>
    <t>26-1240, 1241, 1242 같이재단 - 대진원판 사용</t>
    <phoneticPr fontId="3" type="noConversion"/>
  </si>
  <si>
    <t>26-1238, 1239 같이재단 - 대진원판사용</t>
    <phoneticPr fontId="3" type="noConversion"/>
  </si>
  <si>
    <t>26-1730</t>
    <phoneticPr fontId="3" type="noConversion"/>
  </si>
  <si>
    <t>미도사</t>
    <phoneticPr fontId="3" type="noConversion"/>
  </si>
  <si>
    <t>5CL+5CL에칭</t>
    <phoneticPr fontId="3" type="noConversion"/>
  </si>
  <si>
    <t>5CL</t>
    <phoneticPr fontId="3" type="noConversion"/>
  </si>
  <si>
    <t>26-1543</t>
    <phoneticPr fontId="3" type="noConversion"/>
  </si>
  <si>
    <t>대원-과학자마을</t>
    <phoneticPr fontId="3" type="noConversion"/>
  </si>
  <si>
    <t>5CL+5로이H/S</t>
    <phoneticPr fontId="3" type="noConversion"/>
  </si>
  <si>
    <t>26-1730, 1543 같이재단</t>
    <phoneticPr fontId="3" type="noConversion"/>
  </si>
  <si>
    <t>투명재단 - 원판 불량 - 26-1730, 1543 같이재단</t>
    <phoneticPr fontId="3" type="noConversion"/>
  </si>
  <si>
    <t>로이재단 - 강화불량</t>
    <phoneticPr fontId="3" type="noConversion"/>
  </si>
  <si>
    <t>26-1731</t>
    <phoneticPr fontId="3" type="noConversion"/>
  </si>
  <si>
    <t>다솔산업</t>
    <phoneticPr fontId="3" type="noConversion"/>
  </si>
  <si>
    <t>5CL+5DURA MAX</t>
    <phoneticPr fontId="3" type="noConversion"/>
  </si>
  <si>
    <t>5newGN+5DURA MAX</t>
    <phoneticPr fontId="3" type="noConversion"/>
  </si>
  <si>
    <t>5NX</t>
    <phoneticPr fontId="3" type="noConversion"/>
  </si>
  <si>
    <t>26-1154</t>
    <phoneticPr fontId="3" type="noConversion"/>
  </si>
  <si>
    <t>태영-부산</t>
    <phoneticPr fontId="3" type="noConversion"/>
  </si>
  <si>
    <t>8.76투명접합+5로이H/S+5로이</t>
    <phoneticPr fontId="3" type="noConversion"/>
  </si>
  <si>
    <t>26-1156</t>
    <phoneticPr fontId="3" type="noConversion"/>
  </si>
  <si>
    <t>로이재단 - 강화불량 - 26-1543, 1731, 1154, 1156 같이재단</t>
    <phoneticPr fontId="3" type="noConversion"/>
  </si>
  <si>
    <t>투명 오도시 재단 - 26-1543, 1731, 1154, 1156 같이재단</t>
    <phoneticPr fontId="3" type="noConversion"/>
  </si>
  <si>
    <t>그린-오도시 재단 - 26-1543, 1731, 1154, 1156 같이재단</t>
    <phoneticPr fontId="3" type="noConversion"/>
  </si>
  <si>
    <t>강화용 로이재단 - 강화불량 - 26-1543, 1731, 1154, 1156 같이재단</t>
    <phoneticPr fontId="3" type="noConversion"/>
  </si>
  <si>
    <t>26-1223</t>
    <phoneticPr fontId="3" type="noConversion"/>
  </si>
  <si>
    <t>엘엑스-지북</t>
    <phoneticPr fontId="3" type="noConversion"/>
  </si>
  <si>
    <t>26-1251</t>
    <phoneticPr fontId="3" type="noConversion"/>
  </si>
  <si>
    <t>5newGNH/S+5로이H/S</t>
    <phoneticPr fontId="3" type="noConversion"/>
  </si>
  <si>
    <t>5newGNH/S+5로이</t>
    <phoneticPr fontId="3" type="noConversion"/>
  </si>
  <si>
    <t>그린 재단</t>
    <phoneticPr fontId="3" type="noConversion"/>
  </si>
  <si>
    <t>그린+로이재단</t>
    <phoneticPr fontId="3" type="noConversion"/>
  </si>
  <si>
    <t>5SUPERPLUS2.0</t>
    <phoneticPr fontId="3" type="noConversion"/>
  </si>
  <si>
    <t>그린+로이재단 - 26-1223, 1251 같이재단</t>
    <phoneticPr fontId="3" type="noConversion"/>
  </si>
  <si>
    <t>그린 재단 - 26-1223, 1251 같이재단</t>
    <phoneticPr fontId="3" type="noConversion"/>
  </si>
  <si>
    <t>그린재단</t>
    <phoneticPr fontId="3" type="noConversion"/>
  </si>
  <si>
    <t>26-1259</t>
    <phoneticPr fontId="3" type="noConversion"/>
  </si>
  <si>
    <t>26-1255</t>
    <phoneticPr fontId="3" type="noConversion"/>
  </si>
  <si>
    <t>야간</t>
    <phoneticPr fontId="3" type="noConversion"/>
  </si>
  <si>
    <t>26-1720</t>
    <phoneticPr fontId="3" type="noConversion"/>
  </si>
  <si>
    <t>5newGN+5CL</t>
    <phoneticPr fontId="3" type="noConversion"/>
  </si>
  <si>
    <t>5CL+5CL</t>
    <phoneticPr fontId="3" type="noConversion"/>
  </si>
  <si>
    <t>5CLH/S+5ONEIIH/S</t>
    <phoneticPr fontId="3" type="noConversion"/>
  </si>
  <si>
    <t>그린 오도시 재단</t>
    <phoneticPr fontId="3" type="noConversion"/>
  </si>
  <si>
    <t>로이 오도시 재단</t>
    <phoneticPr fontId="3" type="noConversion"/>
  </si>
  <si>
    <t>26-1377</t>
    <phoneticPr fontId="3" type="noConversion"/>
  </si>
  <si>
    <t>신성-삼평동</t>
    <phoneticPr fontId="3" type="noConversion"/>
  </si>
  <si>
    <t>5SKN154IIH/S+5CLH/S</t>
    <phoneticPr fontId="3" type="noConversion"/>
  </si>
  <si>
    <t>5SKN154II</t>
    <phoneticPr fontId="3" type="noConversion"/>
  </si>
  <si>
    <t>투명재단 - 오도시 - 강화불량</t>
    <phoneticPr fontId="3" type="noConversion"/>
  </si>
  <si>
    <t>26-1726</t>
    <phoneticPr fontId="3" type="noConversion"/>
  </si>
  <si>
    <t>현산-신월</t>
    <phoneticPr fontId="3" type="noConversion"/>
  </si>
  <si>
    <t>6ONE+6ONE</t>
    <phoneticPr fontId="3" type="noConversion"/>
  </si>
  <si>
    <t>오도시</t>
    <phoneticPr fontId="3" type="noConversion"/>
  </si>
  <si>
    <t>26-1728</t>
    <phoneticPr fontId="3" type="noConversion"/>
  </si>
  <si>
    <t>케이씨씨-여의도</t>
    <phoneticPr fontId="3" type="noConversion"/>
  </si>
  <si>
    <t>5로이+5CLH/S+5CL</t>
    <phoneticPr fontId="3" type="noConversion"/>
  </si>
  <si>
    <t>5마스터원</t>
    <phoneticPr fontId="3" type="noConversion"/>
  </si>
  <si>
    <t>5newGN+5로이</t>
    <phoneticPr fontId="3" type="noConversion"/>
  </si>
  <si>
    <t>5DURA MAX(비강화용)</t>
    <phoneticPr fontId="3" type="noConversion"/>
  </si>
  <si>
    <t>26-1363</t>
    <phoneticPr fontId="3" type="noConversion"/>
  </si>
  <si>
    <t>26-1364</t>
    <phoneticPr fontId="3" type="noConversion"/>
  </si>
  <si>
    <t>26-1365</t>
    <phoneticPr fontId="3" type="noConversion"/>
  </si>
  <si>
    <t>26-1663</t>
    <phoneticPr fontId="3" type="noConversion"/>
  </si>
  <si>
    <t>로이재단</t>
    <phoneticPr fontId="3" type="noConversion"/>
  </si>
  <si>
    <t>26-1233</t>
    <phoneticPr fontId="3" type="noConversion"/>
  </si>
  <si>
    <t>로이재단 - 생산파손 - 대진원판사용</t>
    <phoneticPr fontId="3" type="noConversion"/>
  </si>
  <si>
    <t>26-1652</t>
    <phoneticPr fontId="3" type="noConversion"/>
  </si>
  <si>
    <t>남선-충북대</t>
    <phoneticPr fontId="3" type="noConversion"/>
  </si>
  <si>
    <t>5MZT152H/S+5CL+5MZT152H/S</t>
    <phoneticPr fontId="3" type="noConversion"/>
  </si>
  <si>
    <t>5CL</t>
    <phoneticPr fontId="3" type="noConversion"/>
  </si>
  <si>
    <t>투명재단 - 생산불량</t>
    <phoneticPr fontId="3" type="noConversion"/>
  </si>
  <si>
    <t>26-1223</t>
    <phoneticPr fontId="3" type="noConversion"/>
  </si>
  <si>
    <t>5CL+5로이</t>
    <phoneticPr fontId="3" type="noConversion"/>
  </si>
  <si>
    <t>5SUPERPLUS2.0</t>
    <phoneticPr fontId="3" type="noConversion"/>
  </si>
  <si>
    <t>로이재단</t>
    <phoneticPr fontId="3" type="noConversion"/>
  </si>
  <si>
    <t>26-1251</t>
    <phoneticPr fontId="3" type="noConversion"/>
  </si>
  <si>
    <t>26-1658</t>
    <phoneticPr fontId="3" type="noConversion"/>
  </si>
  <si>
    <t>신성-삼평동</t>
    <phoneticPr fontId="3" type="noConversion"/>
  </si>
  <si>
    <t>5SKN154IIH/S+5CLH/S</t>
    <phoneticPr fontId="3" type="noConversion"/>
  </si>
  <si>
    <t>5SKN154II</t>
    <phoneticPr fontId="3" type="noConversion"/>
  </si>
  <si>
    <t>26-0498</t>
    <phoneticPr fontId="3" type="noConversion"/>
  </si>
  <si>
    <t>대우-청주테크노</t>
    <phoneticPr fontId="3" type="noConversion"/>
  </si>
  <si>
    <t>유리 기스 불량</t>
    <phoneticPr fontId="3" type="noConversion"/>
  </si>
  <si>
    <t>26-1663</t>
    <phoneticPr fontId="3" type="noConversion"/>
  </si>
  <si>
    <t>투명재단</t>
    <phoneticPr fontId="3" type="noConversion"/>
  </si>
  <si>
    <t>26-1726</t>
    <phoneticPr fontId="3" type="noConversion"/>
  </si>
  <si>
    <t>현산-신월</t>
    <phoneticPr fontId="3" type="noConversion"/>
  </si>
  <si>
    <t>26-1732</t>
    <phoneticPr fontId="3" type="noConversion"/>
  </si>
  <si>
    <t>금성백조-이천</t>
    <phoneticPr fontId="3" type="noConversion"/>
  </si>
  <si>
    <t>8CL</t>
    <phoneticPr fontId="3" type="noConversion"/>
  </si>
  <si>
    <t>26-1726, 1732 같이재단</t>
    <phoneticPr fontId="3" type="noConversion"/>
  </si>
  <si>
    <t>26-1652</t>
    <phoneticPr fontId="3" type="noConversion"/>
  </si>
  <si>
    <t>남선-충북대</t>
    <phoneticPr fontId="3" type="noConversion"/>
  </si>
  <si>
    <t>5MZT152H/S+5CL+5MZT152H/S</t>
    <phoneticPr fontId="3" type="noConversion"/>
  </si>
  <si>
    <t>투명재단 - 생산불량 - 26-1652, 2653 같이재단</t>
    <phoneticPr fontId="3" type="noConversion"/>
  </si>
  <si>
    <t>26-1653</t>
    <phoneticPr fontId="3" type="noConversion"/>
  </si>
  <si>
    <t>5CL</t>
    <phoneticPr fontId="3" type="noConversion"/>
  </si>
  <si>
    <t>26-1541</t>
    <phoneticPr fontId="3" type="noConversion"/>
  </si>
  <si>
    <t>신동아-건강보험</t>
    <phoneticPr fontId="3" type="noConversion"/>
  </si>
  <si>
    <t>6MZT125H/S+6CLH/S</t>
    <phoneticPr fontId="3" type="noConversion"/>
  </si>
  <si>
    <t>6MZT125H/S+6CL</t>
    <phoneticPr fontId="3" type="noConversion"/>
  </si>
  <si>
    <t>로이재단 - 원판불량</t>
    <phoneticPr fontId="3" type="noConversion"/>
  </si>
  <si>
    <t>6MZT128</t>
    <phoneticPr fontId="3" type="noConversion"/>
  </si>
  <si>
    <t>6CL</t>
    <phoneticPr fontId="3" type="noConversion"/>
  </si>
  <si>
    <t>투명재단 - 강화 불량</t>
    <phoneticPr fontId="3" type="noConversion"/>
  </si>
  <si>
    <t>26-1740</t>
    <phoneticPr fontId="3" type="noConversion"/>
  </si>
  <si>
    <t>현대샷시</t>
    <phoneticPr fontId="3" type="noConversion"/>
  </si>
  <si>
    <t>5newGN+5ML</t>
    <phoneticPr fontId="3" type="noConversion"/>
  </si>
  <si>
    <t>오도시</t>
    <phoneticPr fontId="3" type="noConversion"/>
  </si>
  <si>
    <t>엘엑스-지북</t>
    <phoneticPr fontId="3" type="noConversion"/>
  </si>
  <si>
    <t>5NX</t>
    <phoneticPr fontId="3" type="noConversion"/>
  </si>
  <si>
    <t>5SUPERPLUS2.0</t>
    <phoneticPr fontId="3" type="noConversion"/>
  </si>
  <si>
    <t>그린재단</t>
    <phoneticPr fontId="3" type="noConversion"/>
  </si>
  <si>
    <t>투명, 로이재단</t>
    <phoneticPr fontId="3" type="noConversion"/>
  </si>
  <si>
    <t>26-1380</t>
    <phoneticPr fontId="3" type="noConversion"/>
  </si>
  <si>
    <t>에스지-신성</t>
    <phoneticPr fontId="3" type="noConversion"/>
  </si>
  <si>
    <t>5SKN154IIH/S+5CL</t>
    <phoneticPr fontId="3" type="noConversion"/>
  </si>
  <si>
    <t>로이재단 - 오도시 - 생산불량</t>
    <phoneticPr fontId="3" type="noConversion"/>
  </si>
  <si>
    <t>투명재단 - 오도시 - 생산불량</t>
    <phoneticPr fontId="3" type="noConversion"/>
  </si>
  <si>
    <t>5newGN+5로이</t>
    <phoneticPr fontId="3" type="noConversion"/>
  </si>
  <si>
    <t>5CL+5로이</t>
    <phoneticPr fontId="3" type="noConversion"/>
  </si>
  <si>
    <t>5newGNH/S+5로이</t>
    <phoneticPr fontId="3" type="noConversion"/>
  </si>
  <si>
    <t>5DURA MAX(비강화용)</t>
    <phoneticPr fontId="3" type="noConversion"/>
  </si>
  <si>
    <t>투명 오도시 재단</t>
    <phoneticPr fontId="3" type="noConversion"/>
  </si>
  <si>
    <t>26-1255</t>
    <phoneticPr fontId="3" type="noConversion"/>
  </si>
  <si>
    <t>야간</t>
    <phoneticPr fontId="3" type="noConversion"/>
  </si>
  <si>
    <t>26-1378</t>
    <phoneticPr fontId="3" type="noConversion"/>
  </si>
  <si>
    <t>신성-삼평동</t>
    <phoneticPr fontId="3" type="noConversion"/>
  </si>
  <si>
    <t>5SKN154IIIH/S+5CL</t>
    <phoneticPr fontId="3" type="noConversion"/>
  </si>
  <si>
    <t>26-1379</t>
    <phoneticPr fontId="3" type="noConversion"/>
  </si>
  <si>
    <t>5SKN154IIIH/S+5CLH/S</t>
    <phoneticPr fontId="3" type="noConversion"/>
  </si>
  <si>
    <t>5SKN154II</t>
    <phoneticPr fontId="3" type="noConversion"/>
  </si>
  <si>
    <t>로이재단 - 강화불량 - 26-1378, 1379, 1380 같이재단</t>
    <phoneticPr fontId="3" type="noConversion"/>
  </si>
  <si>
    <t>투명재단 - 강화불량</t>
    <phoneticPr fontId="3" type="noConversion"/>
  </si>
  <si>
    <t>5PLAONE</t>
    <phoneticPr fontId="3" type="noConversion"/>
  </si>
  <si>
    <t>로이재단</t>
    <phoneticPr fontId="3" type="noConversion"/>
  </si>
  <si>
    <t>26-1157</t>
    <phoneticPr fontId="3" type="noConversion"/>
  </si>
  <si>
    <t>태영-부산</t>
    <phoneticPr fontId="3" type="noConversion"/>
  </si>
  <si>
    <t>5CLH/S+5로이</t>
    <phoneticPr fontId="3" type="noConversion"/>
  </si>
  <si>
    <t>5CLH/S+5로이H/S</t>
    <phoneticPr fontId="3" type="noConversion"/>
  </si>
  <si>
    <t>5DURA MAX</t>
    <phoneticPr fontId="3" type="noConversion"/>
  </si>
  <si>
    <t>8.76투명접합+5로이H/S+5로이</t>
    <phoneticPr fontId="3" type="noConversion"/>
  </si>
  <si>
    <t>26-1158</t>
    <phoneticPr fontId="3" type="noConversion"/>
  </si>
  <si>
    <t>26-1159</t>
    <phoneticPr fontId="3" type="noConversion"/>
  </si>
  <si>
    <t>26-1160</t>
    <phoneticPr fontId="3" type="noConversion"/>
  </si>
  <si>
    <t>26-1157, 1158, 1159, 1160 같이재단</t>
    <phoneticPr fontId="3" type="noConversion"/>
  </si>
  <si>
    <t>1158, 1159, 1160 같이재단</t>
  </si>
  <si>
    <t>5NXH/S+5로이강화</t>
    <phoneticPr fontId="3" type="noConversion"/>
  </si>
  <si>
    <t>로이생산불량</t>
    <phoneticPr fontId="3" type="noConversion"/>
  </si>
  <si>
    <t>26-1726</t>
    <phoneticPr fontId="3" type="noConversion"/>
  </si>
  <si>
    <t>현대-신월2</t>
    <phoneticPr fontId="3" type="noConversion"/>
  </si>
  <si>
    <t>6ONE+6ONE</t>
    <phoneticPr fontId="3" type="noConversion"/>
  </si>
  <si>
    <t>6ONE</t>
    <phoneticPr fontId="3" type="noConversion"/>
  </si>
  <si>
    <t>26-1716</t>
    <phoneticPr fontId="3" type="noConversion"/>
  </si>
  <si>
    <t>5MZT152H/S+5CL+5MZT152H/S</t>
    <phoneticPr fontId="3" type="noConversion"/>
  </si>
  <si>
    <t>26-1717</t>
    <phoneticPr fontId="3" type="noConversion"/>
  </si>
  <si>
    <t>26-1718</t>
    <phoneticPr fontId="3" type="noConversion"/>
  </si>
  <si>
    <t>로이재단</t>
    <phoneticPr fontId="3" type="noConversion"/>
  </si>
  <si>
    <t>5DURA MAX(비강화용)</t>
    <phoneticPr fontId="3" type="noConversion"/>
  </si>
  <si>
    <t>26-1721</t>
    <phoneticPr fontId="3" type="noConversion"/>
  </si>
  <si>
    <t>5NX+5로이</t>
    <phoneticPr fontId="3" type="noConversion"/>
  </si>
  <si>
    <t>5NX</t>
    <phoneticPr fontId="3" type="noConversion"/>
  </si>
  <si>
    <t>새늘-청주내덕</t>
    <phoneticPr fontId="3" type="noConversion"/>
  </si>
  <si>
    <t>26-1255</t>
    <phoneticPr fontId="3" type="noConversion"/>
  </si>
  <si>
    <t>엘엑스-지북</t>
    <phoneticPr fontId="3" type="noConversion"/>
  </si>
  <si>
    <t>5NX+5로이</t>
    <phoneticPr fontId="3" type="noConversion"/>
  </si>
  <si>
    <t>로이재단</t>
    <phoneticPr fontId="3" type="noConversion"/>
  </si>
  <si>
    <t>5CL+5로이</t>
    <phoneticPr fontId="3" type="noConversion"/>
  </si>
  <si>
    <t>5CL</t>
    <phoneticPr fontId="3" type="noConversion"/>
  </si>
  <si>
    <t>5CL+5로이</t>
    <phoneticPr fontId="3" type="noConversion"/>
  </si>
  <si>
    <t>26-1255</t>
    <phoneticPr fontId="3" type="noConversion"/>
  </si>
  <si>
    <t>로이재단</t>
    <phoneticPr fontId="3" type="noConversion"/>
  </si>
  <si>
    <t>12번 - 투명재단</t>
    <phoneticPr fontId="3" type="noConversion"/>
  </si>
  <si>
    <t>5NX+5로이</t>
    <phoneticPr fontId="3" type="noConversion"/>
  </si>
  <si>
    <t>5NX</t>
    <phoneticPr fontId="3" type="noConversion"/>
  </si>
  <si>
    <t>5CL</t>
    <phoneticPr fontId="3" type="noConversion"/>
  </si>
  <si>
    <t>14-20 투명재단</t>
    <phoneticPr fontId="3" type="noConversion"/>
  </si>
  <si>
    <t>26-1475</t>
    <phoneticPr fontId="3" type="noConversion"/>
  </si>
  <si>
    <t>케이씨씨-오송</t>
    <phoneticPr fontId="3" type="noConversion"/>
  </si>
  <si>
    <t>5CL+5CL에칭</t>
    <phoneticPr fontId="3" type="noConversion"/>
  </si>
  <si>
    <t>5CL</t>
    <phoneticPr fontId="3" type="noConversion"/>
  </si>
  <si>
    <t>26-1769</t>
    <phoneticPr fontId="3" type="noConversion"/>
  </si>
  <si>
    <t>효성-백두대간</t>
    <phoneticPr fontId="3" type="noConversion"/>
  </si>
  <si>
    <t>5SKN154IIH/S+5CLH/S</t>
    <phoneticPr fontId="3" type="noConversion"/>
  </si>
  <si>
    <t>오도시</t>
    <phoneticPr fontId="3" type="noConversion"/>
  </si>
  <si>
    <t>26-1474</t>
    <phoneticPr fontId="3" type="noConversion"/>
  </si>
  <si>
    <t>신동아-건강보험</t>
    <phoneticPr fontId="3" type="noConversion"/>
  </si>
  <si>
    <t>6MZT128H/S+8.76투명강화접합</t>
    <phoneticPr fontId="3" type="noConversion"/>
  </si>
  <si>
    <t>6MZT128H/S+6CLH/S</t>
    <phoneticPr fontId="3" type="noConversion"/>
  </si>
  <si>
    <t>6MZT128H/S+6CL</t>
    <phoneticPr fontId="3" type="noConversion"/>
  </si>
  <si>
    <t>6MZT128</t>
    <phoneticPr fontId="3" type="noConversion"/>
  </si>
  <si>
    <t>로이재단 - 강화불량</t>
    <phoneticPr fontId="3" type="noConversion"/>
  </si>
  <si>
    <t>6CL</t>
    <phoneticPr fontId="3" type="noConversion"/>
  </si>
  <si>
    <t>투명재단 - 원판 기스</t>
    <phoneticPr fontId="3" type="noConversion"/>
  </si>
  <si>
    <t>투명재단 - 강화불량</t>
    <phoneticPr fontId="3" type="noConversion"/>
  </si>
  <si>
    <t>26-1787</t>
    <phoneticPr fontId="3" type="noConversion"/>
  </si>
  <si>
    <t>현엔-화성기아</t>
    <phoneticPr fontId="3" type="noConversion"/>
  </si>
  <si>
    <t>5BL+5로이H/S</t>
    <phoneticPr fontId="3" type="noConversion"/>
  </si>
  <si>
    <t>5BL</t>
    <phoneticPr fontId="3" type="noConversion"/>
  </si>
  <si>
    <t>5마스터원</t>
    <phoneticPr fontId="3" type="noConversion"/>
  </si>
  <si>
    <t>26-1543</t>
    <phoneticPr fontId="3" type="noConversion"/>
  </si>
  <si>
    <t>대원-과학자마을</t>
    <phoneticPr fontId="3" type="noConversion"/>
  </si>
  <si>
    <t>5CL+5로이H/S</t>
    <phoneticPr fontId="3" type="noConversion"/>
  </si>
  <si>
    <t>5로이H/S+5CL+5ONE</t>
    <phoneticPr fontId="3" type="noConversion"/>
  </si>
  <si>
    <t>5CL</t>
    <phoneticPr fontId="3" type="noConversion"/>
  </si>
  <si>
    <t>5DURA MAX</t>
    <phoneticPr fontId="3" type="noConversion"/>
  </si>
  <si>
    <t>생산불량</t>
    <phoneticPr fontId="3" type="noConversion"/>
  </si>
  <si>
    <t>강화용 로이재단 - 강화불량</t>
    <phoneticPr fontId="3" type="noConversion"/>
  </si>
  <si>
    <t>26-1215</t>
    <phoneticPr fontId="3" type="noConversion"/>
  </si>
  <si>
    <t>엘엑스-지북</t>
    <phoneticPr fontId="3" type="noConversion"/>
  </si>
  <si>
    <t>5newGNH/S+5로이H/S</t>
    <phoneticPr fontId="3" type="noConversion"/>
  </si>
  <si>
    <t>오도시 - 강화불량</t>
    <phoneticPr fontId="3" type="noConversion"/>
  </si>
  <si>
    <t>그린재단 - 오도시 - 강화불량</t>
    <phoneticPr fontId="3" type="noConversion"/>
  </si>
  <si>
    <t>로이재단 - 오도시 - 강화불량</t>
    <phoneticPr fontId="3" type="noConversion"/>
  </si>
  <si>
    <t>26-1381</t>
    <phoneticPr fontId="3" type="noConversion"/>
  </si>
  <si>
    <t>신성-삼평동</t>
    <phoneticPr fontId="3" type="noConversion"/>
  </si>
  <si>
    <t>5SKN154II</t>
    <phoneticPr fontId="3" type="noConversion"/>
  </si>
  <si>
    <t>26-1259</t>
    <phoneticPr fontId="3" type="noConversion"/>
  </si>
  <si>
    <t>12~13번 재단 - 투명재단</t>
    <phoneticPr fontId="3" type="noConversion"/>
  </si>
  <si>
    <t>26-1351</t>
    <phoneticPr fontId="3" type="noConversion"/>
  </si>
  <si>
    <t>26-1362</t>
    <phoneticPr fontId="3" type="noConversion"/>
  </si>
  <si>
    <t>26-1363</t>
    <phoneticPr fontId="3" type="noConversion"/>
  </si>
  <si>
    <t>26-1364</t>
    <phoneticPr fontId="3" type="noConversion"/>
  </si>
  <si>
    <t>26-1365</t>
    <phoneticPr fontId="3" type="noConversion"/>
  </si>
  <si>
    <t>제일-장성지구</t>
    <phoneticPr fontId="3" type="noConversion"/>
  </si>
  <si>
    <t>5NX</t>
    <phoneticPr fontId="3" type="noConversion"/>
  </si>
  <si>
    <t>5newGN+5로이</t>
    <phoneticPr fontId="3" type="noConversion"/>
  </si>
  <si>
    <t>사이즈 변경분 재단 - 26-1351, 1362, 1363, 1364, 1365 같이재단</t>
    <phoneticPr fontId="3" type="noConversion"/>
  </si>
  <si>
    <t>5CL+5로이</t>
    <phoneticPr fontId="3" type="noConversion"/>
  </si>
  <si>
    <t>5DURA MAX(비강화용)</t>
    <phoneticPr fontId="3" type="noConversion"/>
  </si>
  <si>
    <t>에칭용 투명 재단 - 557조 중 150조 재단</t>
    <phoneticPr fontId="3" type="noConversion"/>
  </si>
  <si>
    <t>26-1160</t>
    <phoneticPr fontId="3" type="noConversion"/>
  </si>
  <si>
    <t>태영-부산</t>
    <phoneticPr fontId="3" type="noConversion"/>
  </si>
  <si>
    <t>26-1159</t>
    <phoneticPr fontId="3" type="noConversion"/>
  </si>
  <si>
    <t>26-1520</t>
    <phoneticPr fontId="3" type="noConversion"/>
  </si>
  <si>
    <t>5CLH/S+5ONEIIH/S</t>
    <phoneticPr fontId="3" type="noConversion"/>
  </si>
  <si>
    <t>26-1770</t>
    <phoneticPr fontId="3" type="noConversion"/>
  </si>
  <si>
    <t>보미-청주대</t>
    <phoneticPr fontId="3" type="noConversion"/>
  </si>
  <si>
    <t>5ONE+5newGNH/S+5ONE</t>
    <phoneticPr fontId="3" type="noConversion"/>
  </si>
  <si>
    <t>5PLAONE</t>
    <phoneticPr fontId="3" type="noConversion"/>
  </si>
  <si>
    <t>26-1544</t>
    <phoneticPr fontId="3" type="noConversion"/>
  </si>
  <si>
    <t>로이재단 - 강화불량 - 오도시</t>
    <phoneticPr fontId="3" type="noConversion"/>
  </si>
  <si>
    <t>26-1633</t>
    <phoneticPr fontId="3" type="noConversion"/>
  </si>
  <si>
    <t>그린 오도시 재단 - 생산불량</t>
    <phoneticPr fontId="3" type="noConversion"/>
  </si>
  <si>
    <t>26-1158</t>
    <phoneticPr fontId="3" type="noConversion"/>
  </si>
  <si>
    <t>투명재단</t>
    <phoneticPr fontId="3" type="noConversion"/>
  </si>
  <si>
    <t>26-1478</t>
    <phoneticPr fontId="3" type="noConversion"/>
  </si>
  <si>
    <t>5CLH/S+5로이</t>
    <phoneticPr fontId="3" type="noConversion"/>
  </si>
  <si>
    <t>26-1477</t>
    <phoneticPr fontId="3" type="noConversion"/>
  </si>
  <si>
    <t>8.76투명접합+5로이H/S+5로이</t>
    <phoneticPr fontId="3" type="noConversion"/>
  </si>
  <si>
    <t>26-1477, 1478 같이재단</t>
    <phoneticPr fontId="3" type="noConversion"/>
  </si>
  <si>
    <t>야간</t>
    <phoneticPr fontId="3" type="noConversion"/>
  </si>
  <si>
    <t>26-1473</t>
    <phoneticPr fontId="3" type="noConversion"/>
  </si>
  <si>
    <t>신동아-건강보험</t>
    <phoneticPr fontId="3" type="noConversion"/>
  </si>
  <si>
    <t>6MZT128H/S+6CLH/S</t>
    <phoneticPr fontId="3" type="noConversion"/>
  </si>
  <si>
    <t>6MZT128H/S+6CL</t>
    <phoneticPr fontId="3" type="noConversion"/>
  </si>
  <si>
    <t>6CL</t>
    <phoneticPr fontId="3" type="noConversion"/>
  </si>
  <si>
    <t>투명재단</t>
    <phoneticPr fontId="3" type="noConversion"/>
  </si>
  <si>
    <t>투명재단 - 189조 중 49조 재단</t>
    <phoneticPr fontId="3" type="noConversion"/>
  </si>
  <si>
    <t>26-1672</t>
    <phoneticPr fontId="3" type="noConversion"/>
  </si>
  <si>
    <t>우미-울산</t>
    <phoneticPr fontId="3" type="noConversion"/>
  </si>
  <si>
    <t>6newGN+6로이</t>
    <phoneticPr fontId="3" type="noConversion"/>
  </si>
  <si>
    <t>26-1671</t>
    <phoneticPr fontId="3" type="noConversion"/>
  </si>
  <si>
    <t>6NX</t>
    <phoneticPr fontId="3" type="noConversion"/>
  </si>
  <si>
    <t>26-1672, 1671 같이재단</t>
    <phoneticPr fontId="3" type="noConversion"/>
  </si>
  <si>
    <t>26-1477</t>
    <phoneticPr fontId="3" type="noConversion"/>
  </si>
  <si>
    <t>태영-부산</t>
    <phoneticPr fontId="3" type="noConversion"/>
  </si>
  <si>
    <t>(4CL+4CL)+5로이</t>
    <phoneticPr fontId="3" type="noConversion"/>
  </si>
  <si>
    <t>로이재단</t>
    <phoneticPr fontId="3" type="noConversion"/>
  </si>
  <si>
    <t>26-1478</t>
    <phoneticPr fontId="3" type="noConversion"/>
  </si>
  <si>
    <t>26-1788</t>
    <phoneticPr fontId="3" type="noConversion"/>
  </si>
  <si>
    <t>한맥이앤씨</t>
    <phoneticPr fontId="3" type="noConversion"/>
  </si>
  <si>
    <t>6ECT173H/S+6저철분프릿(H/S)</t>
    <phoneticPr fontId="3" type="noConversion"/>
  </si>
  <si>
    <t>오도시</t>
    <phoneticPr fontId="3" type="noConversion"/>
  </si>
  <si>
    <t>26-1719</t>
    <phoneticPr fontId="3" type="noConversion"/>
  </si>
  <si>
    <t>에스케이-청주</t>
    <phoneticPr fontId="3" type="noConversion"/>
  </si>
  <si>
    <t>5CL+5CL</t>
    <phoneticPr fontId="3" type="noConversion"/>
  </si>
  <si>
    <t>5CL+5로이</t>
    <phoneticPr fontId="3" type="noConversion"/>
  </si>
  <si>
    <t>5CL</t>
    <phoneticPr fontId="3" type="noConversion"/>
  </si>
  <si>
    <t>5PLTDURA+</t>
    <phoneticPr fontId="3" type="noConversion"/>
  </si>
  <si>
    <t>26-1464</t>
    <phoneticPr fontId="3" type="noConversion"/>
  </si>
  <si>
    <t>제일-장성지구</t>
    <phoneticPr fontId="3" type="noConversion"/>
  </si>
  <si>
    <t>5newGNH/S+5로이H/S</t>
    <phoneticPr fontId="3" type="noConversion"/>
  </si>
  <si>
    <t>5NX</t>
    <phoneticPr fontId="3" type="noConversion"/>
  </si>
  <si>
    <t>그린재단 - 강화불량 - 26-1464, 1465 같이재단</t>
    <phoneticPr fontId="3" type="noConversion"/>
  </si>
  <si>
    <t>26-1468</t>
    <phoneticPr fontId="3" type="noConversion"/>
  </si>
  <si>
    <t>26-1547</t>
    <phoneticPr fontId="3" type="noConversion"/>
  </si>
  <si>
    <t>대원-과학자마을</t>
    <phoneticPr fontId="3" type="noConversion"/>
  </si>
  <si>
    <t>5CL+5로이H/S</t>
    <phoneticPr fontId="3" type="noConversion"/>
  </si>
  <si>
    <t>26-1545</t>
    <phoneticPr fontId="3" type="noConversion"/>
  </si>
  <si>
    <t>5DURA MAX</t>
    <phoneticPr fontId="3" type="noConversion"/>
  </si>
  <si>
    <t>로이재단 - 강화불량 - 26-1547, 1545 같이재단</t>
    <phoneticPr fontId="3" type="noConversion"/>
  </si>
  <si>
    <t>에칭용 투명 재단 - 557조 중 125조 재단</t>
    <phoneticPr fontId="3" type="noConversion"/>
  </si>
  <si>
    <t>26-1262</t>
    <phoneticPr fontId="3" type="noConversion"/>
  </si>
  <si>
    <t>엘엑스-지북</t>
    <phoneticPr fontId="3" type="noConversion"/>
  </si>
  <si>
    <t>5newGN+5로이</t>
    <phoneticPr fontId="3" type="noConversion"/>
  </si>
  <si>
    <t>5SUPERPLUS2.0</t>
    <phoneticPr fontId="3" type="noConversion"/>
  </si>
  <si>
    <t>투명재단</t>
    <phoneticPr fontId="3" type="noConversion"/>
  </si>
  <si>
    <t>야간</t>
    <phoneticPr fontId="3" type="noConversion"/>
  </si>
  <si>
    <t>26-1673</t>
    <phoneticPr fontId="3" type="noConversion"/>
  </si>
  <si>
    <t>우미-울산</t>
    <phoneticPr fontId="3" type="noConversion"/>
  </si>
  <si>
    <t>6newGN+6로이</t>
    <phoneticPr fontId="3" type="noConversion"/>
  </si>
  <si>
    <t>26-1674</t>
    <phoneticPr fontId="3" type="noConversion"/>
  </si>
  <si>
    <t>6NX</t>
    <phoneticPr fontId="3" type="noConversion"/>
  </si>
  <si>
    <t>6DURA MAX</t>
    <phoneticPr fontId="3" type="noConversion"/>
  </si>
  <si>
    <t>26-1673, 1674 같이재단</t>
    <phoneticPr fontId="3" type="noConversion"/>
  </si>
  <si>
    <t>26-1536</t>
    <phoneticPr fontId="3" type="noConversion"/>
  </si>
  <si>
    <t>한라-파주</t>
    <phoneticPr fontId="3" type="noConversion"/>
  </si>
  <si>
    <t>5CLH/S+5로이</t>
    <phoneticPr fontId="3" type="noConversion"/>
  </si>
  <si>
    <t>5CLH/S+5로이H/S</t>
    <phoneticPr fontId="3" type="noConversion"/>
  </si>
  <si>
    <t>5DURA MAX(비강화용)</t>
    <phoneticPr fontId="3" type="noConversion"/>
  </si>
  <si>
    <t>26-1262</t>
    <phoneticPr fontId="3" type="noConversion"/>
  </si>
  <si>
    <t>로이재단</t>
    <phoneticPr fontId="3" type="noConversion"/>
  </si>
  <si>
    <t>26-1265</t>
    <phoneticPr fontId="3" type="noConversion"/>
  </si>
  <si>
    <t>로이재단 - 4~6번 재단</t>
    <phoneticPr fontId="3" type="noConversion"/>
  </si>
  <si>
    <t>26-1088</t>
    <phoneticPr fontId="3" type="noConversion"/>
  </si>
  <si>
    <t>대화-충주</t>
    <phoneticPr fontId="3" type="noConversion"/>
  </si>
  <si>
    <t>5SKN154IIH/HS+5CLH/S+5SKN154IIH/S</t>
    <phoneticPr fontId="3" type="noConversion"/>
  </si>
  <si>
    <t>5SKN154II</t>
    <phoneticPr fontId="3" type="noConversion"/>
  </si>
  <si>
    <t>일면로이 재단 - 강화불량</t>
    <phoneticPr fontId="3" type="noConversion"/>
  </si>
  <si>
    <t>26-1536</t>
    <phoneticPr fontId="3" type="noConversion"/>
  </si>
  <si>
    <t>5CL+5로이</t>
    <phoneticPr fontId="3" type="noConversion"/>
  </si>
  <si>
    <t>5CL</t>
    <phoneticPr fontId="3" type="noConversion"/>
  </si>
  <si>
    <t>26-1537</t>
    <phoneticPr fontId="3" type="noConversion"/>
  </si>
  <si>
    <t>26-1736</t>
  </si>
  <si>
    <t>엘엑스-지북</t>
  </si>
  <si>
    <t>엘엑스-지북</t>
    <phoneticPr fontId="3" type="noConversion"/>
  </si>
  <si>
    <t>6newGNh/s+6로이h/s</t>
  </si>
  <si>
    <t>6newGN</t>
  </si>
  <si>
    <t>6듀라맥스</t>
  </si>
  <si>
    <t>6CHh/s+6로이h/s</t>
  </si>
  <si>
    <t>6CL</t>
  </si>
  <si>
    <t>6CL</t>
    <phoneticPr fontId="3" type="noConversion"/>
  </si>
  <si>
    <t>26-1793</t>
    <phoneticPr fontId="3" type="noConversion"/>
  </si>
  <si>
    <t>활림-불무</t>
    <phoneticPr fontId="3" type="noConversion"/>
  </si>
  <si>
    <t>6SKN154+6CL</t>
    <phoneticPr fontId="3" type="noConversion"/>
  </si>
  <si>
    <t>6SKN154</t>
    <phoneticPr fontId="3" type="noConversion"/>
  </si>
  <si>
    <t>26-1634</t>
    <phoneticPr fontId="3" type="noConversion"/>
  </si>
  <si>
    <t>보미-청주대</t>
    <phoneticPr fontId="3" type="noConversion"/>
  </si>
  <si>
    <t>5ONE+5newGNh/s+5ONE</t>
    <phoneticPr fontId="3" type="noConversion"/>
  </si>
  <si>
    <t>5newGN</t>
    <phoneticPr fontId="3" type="noConversion"/>
  </si>
  <si>
    <t>그린 오도시 - 강화불량</t>
    <phoneticPr fontId="3" type="noConversion"/>
  </si>
  <si>
    <t>26-1632</t>
    <phoneticPr fontId="3" type="noConversion"/>
  </si>
  <si>
    <t>보미-청주대</t>
    <phoneticPr fontId="3" type="noConversion"/>
  </si>
  <si>
    <t>5newGN</t>
    <phoneticPr fontId="3" type="noConversion"/>
  </si>
  <si>
    <t>26-1146</t>
    <phoneticPr fontId="3" type="noConversion"/>
  </si>
  <si>
    <t>에스지-삼평동</t>
    <phoneticPr fontId="3" type="noConversion"/>
  </si>
  <si>
    <t>5SKN154IIh/s+5CLh/s</t>
    <phoneticPr fontId="3" type="noConversion"/>
  </si>
  <si>
    <t>26-1148</t>
    <phoneticPr fontId="3" type="noConversion"/>
  </si>
  <si>
    <t>26-1660</t>
    <phoneticPr fontId="3" type="noConversion"/>
  </si>
  <si>
    <t>5CL</t>
    <phoneticPr fontId="3" type="noConversion"/>
  </si>
  <si>
    <t>26-1147</t>
    <phoneticPr fontId="3" type="noConversion"/>
  </si>
  <si>
    <t>26-1148</t>
    <phoneticPr fontId="3" type="noConversion"/>
  </si>
  <si>
    <t>26-1660</t>
    <phoneticPr fontId="3" type="noConversion"/>
  </si>
  <si>
    <t>26-1661</t>
    <phoneticPr fontId="3" type="noConversion"/>
  </si>
  <si>
    <t>16-1663</t>
    <phoneticPr fontId="3" type="noConversion"/>
  </si>
  <si>
    <t>5SKN154II</t>
    <phoneticPr fontId="3" type="noConversion"/>
  </si>
  <si>
    <t>26-1663</t>
    <phoneticPr fontId="3" type="noConversion"/>
  </si>
  <si>
    <t>투명재단 - 강화불량, 1146, 1148, 1660, 1663, 1659 같이재단</t>
    <phoneticPr fontId="3" type="noConversion"/>
  </si>
  <si>
    <t>5SKN154IIh/s+5CL</t>
    <phoneticPr fontId="3" type="noConversion"/>
  </si>
  <si>
    <t>26-1537</t>
    <phoneticPr fontId="3" type="noConversion"/>
  </si>
  <si>
    <t>한라-파주선</t>
    <phoneticPr fontId="3" type="noConversion"/>
  </si>
  <si>
    <t>5CLh/s+5로이</t>
    <phoneticPr fontId="3" type="noConversion"/>
  </si>
  <si>
    <t>5듀라맥스(비강화)</t>
    <phoneticPr fontId="3" type="noConversion"/>
  </si>
  <si>
    <t>5듀라맥스(비강화)</t>
    <phoneticPr fontId="3" type="noConversion"/>
  </si>
  <si>
    <t>26-1811</t>
    <phoneticPr fontId="3" type="noConversion"/>
  </si>
  <si>
    <t>금성백조-이천중리</t>
    <phoneticPr fontId="3" type="noConversion"/>
  </si>
  <si>
    <t>5CL+5로이</t>
    <phoneticPr fontId="3" type="noConversion"/>
  </si>
  <si>
    <t>투명 오도시</t>
    <phoneticPr fontId="3" type="noConversion"/>
  </si>
  <si>
    <t>26-1270</t>
    <phoneticPr fontId="3" type="noConversion"/>
  </si>
  <si>
    <t>5newGNh/s+5로이h/s</t>
    <phoneticPr fontId="3" type="noConversion"/>
  </si>
  <si>
    <t>5newGNh/s+5로이</t>
    <phoneticPr fontId="3" type="noConversion"/>
  </si>
  <si>
    <t>5newGN</t>
    <phoneticPr fontId="3" type="noConversion"/>
  </si>
  <si>
    <t>5SUPER PULS2.0</t>
    <phoneticPr fontId="3" type="noConversion"/>
  </si>
  <si>
    <t>그린 1-3 같이재단</t>
    <phoneticPr fontId="3" type="noConversion"/>
  </si>
  <si>
    <t>로이 1-3 같이재단</t>
    <phoneticPr fontId="3" type="noConversion"/>
  </si>
  <si>
    <t>5newGN+5로이</t>
    <phoneticPr fontId="3" type="noConversion"/>
  </si>
  <si>
    <t>26-1278</t>
    <phoneticPr fontId="3" type="noConversion"/>
  </si>
  <si>
    <t>26-1265</t>
    <phoneticPr fontId="3" type="noConversion"/>
  </si>
  <si>
    <t>엘엑스-지북</t>
    <phoneticPr fontId="3" type="noConversion"/>
  </si>
  <si>
    <t>야간</t>
    <phoneticPr fontId="3" type="noConversion"/>
  </si>
  <si>
    <t>26-1270</t>
    <phoneticPr fontId="3" type="noConversion"/>
  </si>
  <si>
    <t>엘엑스-지북</t>
    <phoneticPr fontId="3" type="noConversion"/>
  </si>
  <si>
    <t>5CL+5로이</t>
    <phoneticPr fontId="3" type="noConversion"/>
  </si>
  <si>
    <t>5CL</t>
    <phoneticPr fontId="3" type="noConversion"/>
  </si>
  <si>
    <t>26-1473</t>
    <phoneticPr fontId="3" type="noConversion"/>
  </si>
  <si>
    <t>신동아-건강보험</t>
    <phoneticPr fontId="3" type="noConversion"/>
  </si>
  <si>
    <t>6MZT128H/S+6CLH/S</t>
    <phoneticPr fontId="3" type="noConversion"/>
  </si>
  <si>
    <t>6MZT128</t>
    <phoneticPr fontId="3" type="noConversion"/>
  </si>
  <si>
    <t>로이재단 - 3~7번 재단</t>
    <phoneticPr fontId="3" type="noConversion"/>
  </si>
  <si>
    <t>오도시 - 생산파손</t>
    <phoneticPr fontId="3" type="noConversion"/>
  </si>
  <si>
    <t>그린 오도시 - 강화파손</t>
    <phoneticPr fontId="3" type="noConversion"/>
  </si>
  <si>
    <t>26-1659</t>
    <phoneticPr fontId="3" type="noConversion"/>
  </si>
  <si>
    <t>투명재단 - 재단불량, 1146, 1148, 1660, 1663, 1659 같이재단</t>
    <phoneticPr fontId="3" type="noConversion"/>
  </si>
  <si>
    <t>로이재단 - 강화불량, 1147, 1148, 1661, 1663 같이재단</t>
    <phoneticPr fontId="3" type="noConversion"/>
  </si>
  <si>
    <t>투명+로이재단</t>
    <phoneticPr fontId="3" type="noConversion"/>
  </si>
  <si>
    <t>로이재단</t>
    <phoneticPr fontId="3" type="noConversion"/>
  </si>
  <si>
    <t>투명재단</t>
    <phoneticPr fontId="3" type="noConversion"/>
  </si>
  <si>
    <t>26-1777</t>
    <phoneticPr fontId="3" type="noConversion"/>
  </si>
  <si>
    <t>남선-충북대</t>
    <phoneticPr fontId="3" type="noConversion"/>
  </si>
  <si>
    <t>5MZT152H/S+5CL</t>
    <phoneticPr fontId="3" type="noConversion"/>
  </si>
  <si>
    <t>5MZT152</t>
    <phoneticPr fontId="3" type="noConversion"/>
  </si>
  <si>
    <t>6MZT128H/S+6CL</t>
    <phoneticPr fontId="3" type="noConversion"/>
  </si>
  <si>
    <t>6CL</t>
    <phoneticPr fontId="3" type="noConversion"/>
  </si>
  <si>
    <t>투명재단 - 31번 재단</t>
    <phoneticPr fontId="3" type="noConversion"/>
  </si>
  <si>
    <t>6MZT128</t>
    <phoneticPr fontId="3" type="noConversion"/>
  </si>
  <si>
    <t>6CL</t>
    <phoneticPr fontId="3" type="noConversion"/>
  </si>
  <si>
    <t>26-1474</t>
    <phoneticPr fontId="3" type="noConversion"/>
  </si>
  <si>
    <t>로이재단 - 8~18번 재단 - 26-1473, 1474 같이재단</t>
    <phoneticPr fontId="3" type="noConversion"/>
  </si>
  <si>
    <t>로이재단 - 26-1473, 1474 같이재단</t>
    <phoneticPr fontId="3" type="noConversion"/>
  </si>
  <si>
    <t>로이재단 - 강화불량 - 26-1473, 1474 같이재단</t>
    <phoneticPr fontId="3" type="noConversion"/>
  </si>
  <si>
    <t>투명재단 - 189조 중 91조 재단 - 26-1473, 1474 같이재단</t>
    <phoneticPr fontId="3" type="noConversion"/>
  </si>
  <si>
    <t>투명재단 - 강화불량 - 26-1473, 1474 같이재단</t>
    <phoneticPr fontId="3" type="noConversion"/>
  </si>
  <si>
    <t>야간</t>
    <phoneticPr fontId="3" type="noConversion"/>
  </si>
  <si>
    <t>26-1812</t>
    <phoneticPr fontId="3" type="noConversion"/>
  </si>
  <si>
    <t>서림-탕정</t>
    <phoneticPr fontId="3" type="noConversion"/>
  </si>
  <si>
    <t>5SKN154IIH/S+5CL</t>
    <phoneticPr fontId="3" type="noConversion"/>
  </si>
  <si>
    <t>5SKN154IIH/S+5CLH/S+5SKN154IIH/S</t>
    <phoneticPr fontId="3" type="noConversion"/>
  </si>
  <si>
    <t>6SKN154IIH/S+6CLH/S+6SKN154IIH/S</t>
    <phoneticPr fontId="3" type="noConversion"/>
  </si>
  <si>
    <t>오도시</t>
    <phoneticPr fontId="3" type="noConversion"/>
  </si>
  <si>
    <t>26-1738</t>
    <phoneticPr fontId="3" type="noConversion"/>
  </si>
  <si>
    <t>한국유리-용인</t>
    <phoneticPr fontId="3" type="noConversion"/>
  </si>
  <si>
    <t>5CL+5로이</t>
    <phoneticPr fontId="3" type="noConversion"/>
  </si>
  <si>
    <t>6CL+6로이</t>
    <phoneticPr fontId="3" type="noConversion"/>
  </si>
  <si>
    <t>5CL</t>
    <phoneticPr fontId="3" type="noConversion"/>
  </si>
  <si>
    <t>5DURA MAX(비강화용)</t>
    <phoneticPr fontId="3" type="noConversion"/>
  </si>
  <si>
    <t>6DURA MAX</t>
    <phoneticPr fontId="3" type="noConversion"/>
  </si>
  <si>
    <t>투명 오도시 재단</t>
    <phoneticPr fontId="3" type="noConversion"/>
  </si>
  <si>
    <t>26-1737</t>
    <phoneticPr fontId="3" type="noConversion"/>
  </si>
  <si>
    <t>현산-광주</t>
    <phoneticPr fontId="3" type="noConversion"/>
  </si>
  <si>
    <t>5SKN154IIH/S+5CLH/S</t>
    <phoneticPr fontId="3" type="noConversion"/>
  </si>
  <si>
    <t>5SKN154II</t>
    <phoneticPr fontId="3" type="noConversion"/>
  </si>
  <si>
    <t>5MZT152</t>
    <phoneticPr fontId="3" type="noConversion"/>
  </si>
  <si>
    <t>로이, 투명 재단</t>
    <phoneticPr fontId="3" type="noConversion"/>
  </si>
  <si>
    <t>26-1491</t>
    <phoneticPr fontId="3" type="noConversion"/>
  </si>
  <si>
    <t>일성-울산</t>
    <phoneticPr fontId="3" type="noConversion"/>
  </si>
  <si>
    <t>5newGN</t>
    <phoneticPr fontId="3" type="noConversion"/>
  </si>
  <si>
    <t>5NX</t>
    <phoneticPr fontId="3" type="noConversion"/>
  </si>
  <si>
    <t>26-1492</t>
    <phoneticPr fontId="3" type="noConversion"/>
  </si>
  <si>
    <t>26-1493</t>
    <phoneticPr fontId="3" type="noConversion"/>
  </si>
  <si>
    <t>382조 중 210조 재단</t>
    <phoneticPr fontId="3" type="noConversion"/>
  </si>
  <si>
    <t>26-1367</t>
    <phoneticPr fontId="3" type="noConversion"/>
  </si>
  <si>
    <t>제일-장성지구</t>
    <phoneticPr fontId="3" type="noConversion"/>
  </si>
  <si>
    <t>5newGNH/S+5로이H/S</t>
    <phoneticPr fontId="3" type="noConversion"/>
  </si>
  <si>
    <t>5newGN+5로이</t>
    <phoneticPr fontId="3" type="noConversion"/>
  </si>
  <si>
    <t>5CL+5로이</t>
    <phoneticPr fontId="3" type="noConversion"/>
  </si>
  <si>
    <t>5CL</t>
    <phoneticPr fontId="3" type="noConversion"/>
  </si>
  <si>
    <t>26-1366</t>
    <phoneticPr fontId="3" type="noConversion"/>
  </si>
  <si>
    <t>26-1803</t>
    <phoneticPr fontId="3" type="noConversion"/>
  </si>
  <si>
    <t>정석-청주테크노</t>
    <phoneticPr fontId="3" type="noConversion"/>
  </si>
  <si>
    <t>5newGN+5DURA MAX</t>
    <phoneticPr fontId="3" type="noConversion"/>
  </si>
  <si>
    <t>5CL+5DURA MAX</t>
    <phoneticPr fontId="3" type="noConversion"/>
  </si>
  <si>
    <t>26-1278</t>
    <phoneticPr fontId="3" type="noConversion"/>
  </si>
  <si>
    <t>엘엑스-지북</t>
    <phoneticPr fontId="3" type="noConversion"/>
  </si>
  <si>
    <t>5newGN+5로이</t>
    <phoneticPr fontId="3" type="noConversion"/>
  </si>
  <si>
    <t>5NX</t>
    <phoneticPr fontId="3" type="noConversion"/>
  </si>
  <si>
    <t>5SUPERPLUS2.0</t>
    <phoneticPr fontId="3" type="noConversion"/>
  </si>
  <si>
    <t>26-1265</t>
    <phoneticPr fontId="3" type="noConversion"/>
  </si>
  <si>
    <t>로이재단 - 7~11번 재단</t>
    <phoneticPr fontId="3" type="noConversion"/>
  </si>
  <si>
    <t>5CL+5로이</t>
    <phoneticPr fontId="3" type="noConversion"/>
  </si>
  <si>
    <t>5CL</t>
    <phoneticPr fontId="3" type="noConversion"/>
  </si>
  <si>
    <t>382조 중 172조 재단</t>
    <phoneticPr fontId="3" type="noConversion"/>
  </si>
  <si>
    <t>야간</t>
    <phoneticPr fontId="3" type="noConversion"/>
  </si>
  <si>
    <t>26-1797</t>
    <phoneticPr fontId="3" type="noConversion"/>
  </si>
  <si>
    <t>에스지-삼평동</t>
    <phoneticPr fontId="3" type="noConversion"/>
  </si>
  <si>
    <t>5SKN154IIH/S+5CLH/S</t>
    <phoneticPr fontId="3" type="noConversion"/>
  </si>
  <si>
    <t>5SKN154II</t>
    <phoneticPr fontId="3" type="noConversion"/>
  </si>
  <si>
    <t>26-1798</t>
    <phoneticPr fontId="3" type="noConversion"/>
  </si>
  <si>
    <t>5SKN154IIH/S+5CL</t>
    <phoneticPr fontId="3" type="noConversion"/>
  </si>
  <si>
    <t>26-1716</t>
    <phoneticPr fontId="3" type="noConversion"/>
  </si>
  <si>
    <t>남선-충북대</t>
    <phoneticPr fontId="3" type="noConversion"/>
  </si>
  <si>
    <t>26-1717</t>
    <phoneticPr fontId="3" type="noConversion"/>
  </si>
  <si>
    <t>26-1718</t>
    <phoneticPr fontId="3" type="noConversion"/>
  </si>
  <si>
    <t>로이재단 - 강화불량 - 26-1716, 1717, 1718 같이재단</t>
    <phoneticPr fontId="3" type="noConversion"/>
  </si>
  <si>
    <t>투명재단 - 오도시 - 재단불량</t>
    <phoneticPr fontId="3" type="noConversion"/>
  </si>
  <si>
    <t>26-1808</t>
    <phoneticPr fontId="3" type="noConversion"/>
  </si>
  <si>
    <t>신성-삼평동</t>
    <phoneticPr fontId="3" type="noConversion"/>
  </si>
  <si>
    <t>로이재단</t>
    <phoneticPr fontId="3" type="noConversion"/>
  </si>
  <si>
    <t>26-1795</t>
    <phoneticPr fontId="3" type="noConversion"/>
  </si>
  <si>
    <t>26-1796</t>
    <phoneticPr fontId="3" type="noConversion"/>
  </si>
  <si>
    <t>26-1274</t>
    <phoneticPr fontId="3" type="noConversion"/>
  </si>
  <si>
    <t>엘엑스-지북</t>
    <phoneticPr fontId="3" type="noConversion"/>
  </si>
  <si>
    <t>5NX</t>
    <phoneticPr fontId="3" type="noConversion"/>
  </si>
  <si>
    <t>5CL</t>
    <phoneticPr fontId="3" type="noConversion"/>
  </si>
  <si>
    <t>26-1795</t>
    <phoneticPr fontId="3" type="noConversion"/>
  </si>
  <si>
    <t>신성-삼평동</t>
    <phoneticPr fontId="3" type="noConversion"/>
  </si>
  <si>
    <t>5SKN154IIH/S+5CLH/S</t>
    <phoneticPr fontId="3" type="noConversion"/>
  </si>
  <si>
    <t>26-1808</t>
    <phoneticPr fontId="3" type="noConversion"/>
  </si>
  <si>
    <t>26-1475</t>
    <phoneticPr fontId="3" type="noConversion"/>
  </si>
  <si>
    <t>에칭용 투명 재단 - 557조 중 132조 재단</t>
    <phoneticPr fontId="3" type="noConversion"/>
  </si>
  <si>
    <t>5CL</t>
    <phoneticPr fontId="3" type="noConversion"/>
  </si>
  <si>
    <t>26-1274</t>
    <phoneticPr fontId="3" type="noConversion"/>
  </si>
  <si>
    <t>엘엑스-지북</t>
    <phoneticPr fontId="3" type="noConversion"/>
  </si>
  <si>
    <t>5NX</t>
    <phoneticPr fontId="3" type="noConversion"/>
  </si>
  <si>
    <t>5SUPERPLUS2.0</t>
    <phoneticPr fontId="3" type="noConversion"/>
  </si>
  <si>
    <t>26-1804</t>
    <phoneticPr fontId="3" type="noConversion"/>
  </si>
  <si>
    <t>극동-성남</t>
    <phoneticPr fontId="3" type="noConversion"/>
  </si>
  <si>
    <t>5DURA MAX(비강화용)</t>
    <phoneticPr fontId="3" type="noConversion"/>
  </si>
  <si>
    <t>26-1805</t>
    <phoneticPr fontId="3" type="noConversion"/>
  </si>
  <si>
    <t>그린, 로이재단</t>
    <phoneticPr fontId="3" type="noConversion"/>
  </si>
  <si>
    <t>로이재단</t>
    <phoneticPr fontId="3" type="noConversion"/>
  </si>
  <si>
    <t>26-1477</t>
    <phoneticPr fontId="3" type="noConversion"/>
  </si>
  <si>
    <t>태영-부산</t>
    <phoneticPr fontId="3" type="noConversion"/>
  </si>
  <si>
    <t>5CL+5로이</t>
    <phoneticPr fontId="3" type="noConversion"/>
  </si>
  <si>
    <t>26-1651</t>
    <phoneticPr fontId="3" type="noConversion"/>
  </si>
  <si>
    <t>신동아-건강보험</t>
    <phoneticPr fontId="3" type="noConversion"/>
  </si>
  <si>
    <t>6MZT128H/S+6CLH/S</t>
    <phoneticPr fontId="3" type="noConversion"/>
  </si>
  <si>
    <t>6MZT128H/S+6CL</t>
    <phoneticPr fontId="3" type="noConversion"/>
  </si>
  <si>
    <t>6MZT128H/S+6CLH/S 이형</t>
    <phoneticPr fontId="3" type="noConversion"/>
  </si>
  <si>
    <t>6MZT128</t>
    <phoneticPr fontId="3" type="noConversion"/>
  </si>
  <si>
    <t>26-1796</t>
    <phoneticPr fontId="3" type="noConversion"/>
  </si>
  <si>
    <t>신성-삼평동</t>
    <phoneticPr fontId="3" type="noConversion"/>
  </si>
  <si>
    <t>5SKN154IIH/S+5CL</t>
    <phoneticPr fontId="3" type="noConversion"/>
  </si>
  <si>
    <t>5CL</t>
    <phoneticPr fontId="3" type="noConversion"/>
  </si>
  <si>
    <t>투명재단</t>
    <phoneticPr fontId="3" type="noConversion"/>
  </si>
  <si>
    <t>투명재단 - 3~30번 재단</t>
    <phoneticPr fontId="3" type="noConversion"/>
  </si>
  <si>
    <t>13-20 투명재단</t>
    <phoneticPr fontId="3" type="noConversion"/>
  </si>
  <si>
    <t>26-1804</t>
    <phoneticPr fontId="3" type="noConversion"/>
  </si>
  <si>
    <t>극동-성남</t>
    <phoneticPr fontId="3" type="noConversion"/>
  </si>
  <si>
    <t>6newGN+6로이</t>
    <phoneticPr fontId="3" type="noConversion"/>
  </si>
  <si>
    <t>5NX</t>
    <phoneticPr fontId="3" type="noConversion"/>
  </si>
  <si>
    <t>5CL</t>
    <phoneticPr fontId="3" type="noConversion"/>
  </si>
  <si>
    <t>5DURA MAX(비강화용)</t>
    <phoneticPr fontId="3" type="noConversion"/>
  </si>
  <si>
    <t>6NX</t>
    <phoneticPr fontId="3" type="noConversion"/>
  </si>
  <si>
    <t>26-1805</t>
    <phoneticPr fontId="3" type="noConversion"/>
  </si>
  <si>
    <t>26-1804, 1805 같이재단</t>
    <phoneticPr fontId="3" type="noConversion"/>
  </si>
  <si>
    <t>투명재단</t>
    <phoneticPr fontId="3" type="noConversion"/>
  </si>
  <si>
    <t>26-1815</t>
    <phoneticPr fontId="3" type="noConversion"/>
  </si>
  <si>
    <t>정원창호</t>
    <phoneticPr fontId="3" type="noConversion"/>
  </si>
  <si>
    <t>5CL+5DURA MAX</t>
    <phoneticPr fontId="3" type="noConversion"/>
  </si>
  <si>
    <t>6DURA MAX</t>
    <phoneticPr fontId="3" type="noConversion"/>
  </si>
  <si>
    <t>26-1809</t>
    <phoneticPr fontId="3" type="noConversion"/>
  </si>
  <si>
    <t>디엘-대전</t>
    <phoneticPr fontId="3" type="noConversion"/>
  </si>
  <si>
    <t>10투명강화</t>
    <phoneticPr fontId="3" type="noConversion"/>
  </si>
  <si>
    <t>8투명강화</t>
    <phoneticPr fontId="3" type="noConversion"/>
  </si>
  <si>
    <t>6로이+6CL</t>
    <phoneticPr fontId="3" type="noConversion"/>
  </si>
  <si>
    <t>오도시</t>
    <phoneticPr fontId="3" type="noConversion"/>
  </si>
  <si>
    <t>10CL</t>
    <phoneticPr fontId="3" type="noConversion"/>
  </si>
  <si>
    <t>26-1832</t>
    <phoneticPr fontId="3" type="noConversion"/>
  </si>
  <si>
    <t>신동아-건강보험</t>
    <phoneticPr fontId="3" type="noConversion"/>
  </si>
  <si>
    <t>6MZT128H/S+6CL</t>
    <phoneticPr fontId="3" type="noConversion"/>
  </si>
  <si>
    <t>6CL</t>
    <phoneticPr fontId="3" type="noConversion"/>
  </si>
  <si>
    <t>로이 오도시 재단</t>
    <phoneticPr fontId="3" type="noConversion"/>
  </si>
  <si>
    <t>26-1723</t>
    <phoneticPr fontId="3" type="noConversion"/>
  </si>
  <si>
    <t>엘엑스-지북</t>
    <phoneticPr fontId="3" type="noConversion"/>
  </si>
  <si>
    <t>5newGNH/S+5로이</t>
    <phoneticPr fontId="3" type="noConversion"/>
  </si>
  <si>
    <t>5SUPERPLUS2.0</t>
    <phoneticPr fontId="3" type="noConversion"/>
  </si>
  <si>
    <t>26-1722</t>
    <phoneticPr fontId="3" type="noConversion"/>
  </si>
  <si>
    <t>5newGNH/S+5로이H/S</t>
    <phoneticPr fontId="3" type="noConversion"/>
  </si>
  <si>
    <t>26-1777</t>
    <phoneticPr fontId="3" type="noConversion"/>
  </si>
  <si>
    <t>남선-충북대</t>
    <phoneticPr fontId="3" type="noConversion"/>
  </si>
  <si>
    <t>5MZT152H/S+5CL</t>
    <phoneticPr fontId="3" type="noConversion"/>
  </si>
  <si>
    <t>5MZT152</t>
    <phoneticPr fontId="3" type="noConversion"/>
  </si>
  <si>
    <t>로이재단 - 생산불량</t>
    <phoneticPr fontId="3" type="noConversion"/>
  </si>
  <si>
    <t>투명재단 - 생산불량</t>
    <phoneticPr fontId="3" type="noConversion"/>
  </si>
  <si>
    <t>26-1841</t>
    <phoneticPr fontId="3" type="noConversion"/>
  </si>
  <si>
    <t>5MZT152H/S+5CL+5MZT152H/S</t>
    <phoneticPr fontId="3" type="noConversion"/>
  </si>
  <si>
    <t>투명재단 - 2번 재단</t>
    <phoneticPr fontId="3" type="noConversion"/>
  </si>
  <si>
    <t>26-1679</t>
    <phoneticPr fontId="3" type="noConversion"/>
  </si>
  <si>
    <t>26-1857</t>
    <phoneticPr fontId="3" type="noConversion"/>
  </si>
  <si>
    <t>6NUETRAL SILVER50/33+6CL</t>
    <phoneticPr fontId="3" type="noConversion"/>
  </si>
  <si>
    <t>6NUETRAL SILVER50/33</t>
    <phoneticPr fontId="3" type="noConversion"/>
  </si>
  <si>
    <t>26-1816</t>
    <phoneticPr fontId="3" type="noConversion"/>
  </si>
  <si>
    <t>26-1842</t>
    <phoneticPr fontId="3" type="noConversion"/>
  </si>
  <si>
    <t>26-1680</t>
    <phoneticPr fontId="3" type="noConversion"/>
  </si>
  <si>
    <t>정석개발 원판 사용</t>
    <phoneticPr fontId="3" type="noConversion"/>
  </si>
  <si>
    <t>26-1681</t>
    <phoneticPr fontId="3" type="noConversion"/>
  </si>
  <si>
    <t>26-1842</t>
    <phoneticPr fontId="3" type="noConversion"/>
  </si>
  <si>
    <t>남선-충북대</t>
    <phoneticPr fontId="3" type="noConversion"/>
  </si>
  <si>
    <t>5CL</t>
    <phoneticPr fontId="3" type="noConversion"/>
  </si>
  <si>
    <t>투명재단</t>
    <phoneticPr fontId="3" type="noConversion"/>
  </si>
  <si>
    <t>26-1499</t>
    <phoneticPr fontId="3" type="noConversion"/>
  </si>
  <si>
    <t>계룡-부천</t>
    <phoneticPr fontId="3" type="noConversion"/>
  </si>
  <si>
    <t>5CL+5로이</t>
    <phoneticPr fontId="3" type="noConversion"/>
  </si>
  <si>
    <t>5CL</t>
    <phoneticPr fontId="3" type="noConversion"/>
  </si>
  <si>
    <t>5DURA MAX(비강화용)</t>
    <phoneticPr fontId="3" type="noConversion"/>
  </si>
  <si>
    <t>26-1682</t>
    <phoneticPr fontId="3" type="noConversion"/>
  </si>
  <si>
    <t>정석개발 원판 사용</t>
    <phoneticPr fontId="3" type="noConversion"/>
  </si>
  <si>
    <t>26-1810</t>
    <phoneticPr fontId="3" type="noConversion"/>
  </si>
  <si>
    <t>엘엑스-대우</t>
    <phoneticPr fontId="3" type="noConversion"/>
  </si>
  <si>
    <t>5CL+5SUPERPLUS2.0</t>
    <phoneticPr fontId="3" type="noConversion"/>
  </si>
  <si>
    <t>10.76투명접합+5SUPERPLUS2.0</t>
    <phoneticPr fontId="3" type="noConversion"/>
  </si>
  <si>
    <t>5SUPERPLUS2.0</t>
  </si>
  <si>
    <t>26-1681</t>
    <phoneticPr fontId="3" type="noConversion"/>
  </si>
  <si>
    <t>그린, 로이재단 - 정석개발 원판 사용</t>
    <phoneticPr fontId="3" type="noConversion"/>
  </si>
  <si>
    <t>로이재단 - 정석개발 원판 사용</t>
    <phoneticPr fontId="3" type="noConversion"/>
  </si>
  <si>
    <t>26-1819</t>
    <phoneticPr fontId="3" type="noConversion"/>
  </si>
  <si>
    <t>디엘-내포</t>
    <phoneticPr fontId="3" type="noConversion"/>
  </si>
  <si>
    <t>12투명강화</t>
    <phoneticPr fontId="3" type="noConversion"/>
  </si>
  <si>
    <t>8투명강화</t>
    <phoneticPr fontId="3" type="noConversion"/>
  </si>
  <si>
    <t>12CL</t>
    <phoneticPr fontId="3" type="noConversion"/>
  </si>
  <si>
    <t>8CL</t>
    <phoneticPr fontId="3" type="noConversion"/>
  </si>
  <si>
    <t>26-1817</t>
    <phoneticPr fontId="3" type="noConversion"/>
  </si>
  <si>
    <t>현산-신월</t>
    <phoneticPr fontId="3" type="noConversion"/>
  </si>
  <si>
    <t>26-1734</t>
    <phoneticPr fontId="3" type="noConversion"/>
  </si>
  <si>
    <t>신동아-건강보험</t>
    <phoneticPr fontId="3" type="noConversion"/>
  </si>
  <si>
    <t>6MZT128H/S+6CLH/S</t>
    <phoneticPr fontId="3" type="noConversion"/>
  </si>
  <si>
    <t>6MZT128H/S+6CL</t>
    <phoneticPr fontId="3" type="noConversion"/>
  </si>
  <si>
    <t>6MZT128</t>
    <phoneticPr fontId="3" type="noConversion"/>
  </si>
  <si>
    <t>6CL</t>
    <phoneticPr fontId="3" type="noConversion"/>
  </si>
  <si>
    <t>26-1735</t>
    <phoneticPr fontId="3" type="noConversion"/>
  </si>
  <si>
    <t>26-1799</t>
    <phoneticPr fontId="3" type="noConversion"/>
  </si>
  <si>
    <t>6MZT128H/S+6CL 스텝</t>
    <phoneticPr fontId="3" type="noConversion"/>
  </si>
  <si>
    <t>6MZT128H/S+6CLH/S 스텝</t>
    <phoneticPr fontId="3" type="noConversion"/>
  </si>
  <si>
    <t>26-1795</t>
    <phoneticPr fontId="3" type="noConversion"/>
  </si>
  <si>
    <t>신성-삼평동</t>
    <phoneticPr fontId="3" type="noConversion"/>
  </si>
  <si>
    <t>5SKN154IIH/S+5CLH/S</t>
    <phoneticPr fontId="3" type="noConversion"/>
  </si>
  <si>
    <t>로이재단 - 오도시 - 강화불량</t>
    <phoneticPr fontId="3" type="noConversion"/>
  </si>
  <si>
    <t>투명재단 - 오도시 - 강화불량</t>
    <phoneticPr fontId="3" type="noConversion"/>
  </si>
  <si>
    <t>26-1677</t>
    <phoneticPr fontId="3" type="noConversion"/>
  </si>
  <si>
    <t>6MZT128H/S+6CLH/S 이형</t>
    <phoneticPr fontId="3" type="noConversion"/>
  </si>
  <si>
    <t>26-1399</t>
    <phoneticPr fontId="3" type="noConversion"/>
  </si>
  <si>
    <t>케이씨씨-여이도</t>
    <phoneticPr fontId="3" type="noConversion"/>
  </si>
  <si>
    <t>5MCT172H/S+5CLH/S</t>
    <phoneticPr fontId="3" type="noConversion"/>
  </si>
  <si>
    <t>5로이+5CLH/S+5CL</t>
    <phoneticPr fontId="3" type="noConversion"/>
  </si>
  <si>
    <t>26-1863</t>
    <phoneticPr fontId="3" type="noConversion"/>
  </si>
  <si>
    <t>5SKN154IIH/S+5CL</t>
    <phoneticPr fontId="3" type="noConversion"/>
  </si>
  <si>
    <t>26-1866</t>
    <phoneticPr fontId="3" type="noConversion"/>
  </si>
  <si>
    <t>5SKNS154II</t>
    <phoneticPr fontId="3" type="noConversion"/>
  </si>
  <si>
    <t>26-1863, 1866 같이재단</t>
    <phoneticPr fontId="3" type="noConversion"/>
  </si>
  <si>
    <t>26-1865</t>
    <phoneticPr fontId="3" type="noConversion"/>
  </si>
  <si>
    <t>태영-부산</t>
    <phoneticPr fontId="3" type="noConversion"/>
  </si>
  <si>
    <t>6CL+6ONE</t>
    <phoneticPr fontId="3" type="noConversion"/>
  </si>
  <si>
    <t>6ONE+6CL</t>
    <phoneticPr fontId="3" type="noConversion"/>
  </si>
  <si>
    <t>5PLAONE</t>
    <phoneticPr fontId="3" type="noConversion"/>
  </si>
  <si>
    <t>26-1865, 1817 같이재단</t>
    <phoneticPr fontId="3" type="noConversion"/>
  </si>
  <si>
    <t>5UGA+5SUPERPLUS1.0+8.76투명접합</t>
    <phoneticPr fontId="3" type="noConversion"/>
  </si>
  <si>
    <t>5CL+5SUPERPLUS1.0+5SUPERPLUS1.0</t>
    <phoneticPr fontId="3" type="noConversion"/>
  </si>
  <si>
    <t>5UGA156</t>
    <phoneticPr fontId="3" type="noConversion"/>
  </si>
  <si>
    <t>5SUPERPLUS1.0</t>
    <phoneticPr fontId="3" type="noConversion"/>
  </si>
  <si>
    <t>5SUPERPLUS2.0</t>
    <phoneticPr fontId="3" type="noConversion"/>
  </si>
  <si>
    <t>투명 오도시 재단</t>
    <phoneticPr fontId="3" type="noConversion"/>
  </si>
  <si>
    <t>26-1733</t>
    <phoneticPr fontId="3" type="noConversion"/>
  </si>
  <si>
    <t>26-1768</t>
    <phoneticPr fontId="3" type="noConversion"/>
  </si>
  <si>
    <t>대원-용인</t>
    <phoneticPr fontId="3" type="noConversion"/>
  </si>
  <si>
    <t>5CL+5로이</t>
    <phoneticPr fontId="3" type="noConversion"/>
  </si>
  <si>
    <t>6로이+6CL</t>
    <phoneticPr fontId="3" type="noConversion"/>
  </si>
  <si>
    <t>5CL</t>
    <phoneticPr fontId="3" type="noConversion"/>
  </si>
  <si>
    <t>5마스터원</t>
    <phoneticPr fontId="3" type="noConversion"/>
  </si>
  <si>
    <t>6CL</t>
    <phoneticPr fontId="3" type="noConversion"/>
  </si>
  <si>
    <t>6DURA MAX</t>
    <phoneticPr fontId="3" type="noConversion"/>
  </si>
  <si>
    <t>26-1910</t>
    <phoneticPr fontId="3" type="noConversion"/>
  </si>
  <si>
    <t>미도사</t>
    <phoneticPr fontId="3" type="noConversion"/>
  </si>
  <si>
    <t>5newGN+5CL</t>
    <phoneticPr fontId="3" type="noConversion"/>
  </si>
  <si>
    <t>5NX</t>
    <phoneticPr fontId="3" type="noConversion"/>
  </si>
  <si>
    <t>26-1817</t>
    <phoneticPr fontId="3" type="noConversion"/>
  </si>
  <si>
    <t>현산-신월</t>
    <phoneticPr fontId="3" type="noConversion"/>
  </si>
  <si>
    <t>5투명</t>
    <phoneticPr fontId="3" type="noConversion"/>
  </si>
  <si>
    <t>26-1865</t>
    <phoneticPr fontId="3" type="noConversion"/>
  </si>
  <si>
    <t>태영-부산</t>
    <phoneticPr fontId="3" type="noConversion"/>
  </si>
  <si>
    <t>10투명강화</t>
    <phoneticPr fontId="3" type="noConversion"/>
  </si>
  <si>
    <t>10CL</t>
    <phoneticPr fontId="3" type="noConversion"/>
  </si>
  <si>
    <t>26-1683</t>
    <phoneticPr fontId="3" type="noConversion"/>
  </si>
  <si>
    <t>26-1255</t>
    <phoneticPr fontId="3" type="noConversion"/>
  </si>
  <si>
    <t>엘엑스-지북</t>
    <phoneticPr fontId="3" type="noConversion"/>
  </si>
  <si>
    <t>5newGNH/S+5로이H/S</t>
    <phoneticPr fontId="3" type="noConversion"/>
  </si>
  <si>
    <t>5newGNH/S+5로이</t>
    <phoneticPr fontId="3" type="noConversion"/>
  </si>
  <si>
    <t>26-1274</t>
    <phoneticPr fontId="3" type="noConversion"/>
  </si>
  <si>
    <t>그린재단 - 강화불량 - 26-1255, 1274 같이재단</t>
    <phoneticPr fontId="3" type="noConversion"/>
  </si>
  <si>
    <t>그린재단 - 원판기포 - 26-1255, 1274 같이재단</t>
    <phoneticPr fontId="3" type="noConversion"/>
  </si>
  <si>
    <t>로이재단 - 강화불량 - 26-1255, 1274 같이재단</t>
    <phoneticPr fontId="3" type="noConversion"/>
  </si>
  <si>
    <t>5SUPERPLUS2.0</t>
    <phoneticPr fontId="3" type="noConversion"/>
  </si>
  <si>
    <t>26-1819</t>
    <phoneticPr fontId="3" type="noConversion"/>
  </si>
  <si>
    <t>디엘-내포</t>
    <phoneticPr fontId="3" type="noConversion"/>
  </si>
  <si>
    <t>26-1684</t>
    <phoneticPr fontId="3" type="noConversion"/>
  </si>
  <si>
    <t>5DURA MAX</t>
    <phoneticPr fontId="3" type="noConversion"/>
  </si>
  <si>
    <t>로이재단 - 정석개발 원판 사용</t>
    <phoneticPr fontId="3" type="noConversion"/>
  </si>
  <si>
    <t>투명, 로이 재단 - 정석개발 원판 사용</t>
    <phoneticPr fontId="3" type="noConversion"/>
  </si>
  <si>
    <t>26-1850</t>
    <phoneticPr fontId="3" type="noConversion"/>
  </si>
  <si>
    <t>5SKN154IIH/S+5CL</t>
    <phoneticPr fontId="3" type="noConversion"/>
  </si>
  <si>
    <t>5SKN154II</t>
    <phoneticPr fontId="3" type="noConversion"/>
  </si>
  <si>
    <t>5DKN154II+5CL</t>
    <phoneticPr fontId="3" type="noConversion"/>
  </si>
  <si>
    <t>5DKN154II+5CL 이형</t>
    <phoneticPr fontId="3" type="noConversion"/>
  </si>
  <si>
    <t>6SKN154+6CL</t>
    <phoneticPr fontId="3" type="noConversion"/>
  </si>
  <si>
    <t>오도시</t>
    <phoneticPr fontId="3" type="noConversion"/>
  </si>
  <si>
    <t>26-1806</t>
    <phoneticPr fontId="3" type="noConversion"/>
  </si>
  <si>
    <t>신동아-건강보험</t>
    <phoneticPr fontId="3" type="noConversion"/>
  </si>
  <si>
    <t>6MZT128H/S+6CLH/S</t>
    <phoneticPr fontId="3" type="noConversion"/>
  </si>
  <si>
    <t>6MZT128H/S+6CL</t>
    <phoneticPr fontId="3" type="noConversion"/>
  </si>
  <si>
    <t>6MZT128H/S+6CLH/S스텝</t>
    <phoneticPr fontId="3" type="noConversion"/>
  </si>
  <si>
    <t>6MZT128H/S+6CL스텝</t>
    <phoneticPr fontId="3" type="noConversion"/>
  </si>
  <si>
    <t>6MZT128</t>
    <phoneticPr fontId="3" type="noConversion"/>
  </si>
  <si>
    <t>26-1842</t>
    <phoneticPr fontId="3" type="noConversion"/>
  </si>
  <si>
    <t>남선-충북대</t>
    <phoneticPr fontId="3" type="noConversion"/>
  </si>
  <si>
    <t>로이재단 - 강화불량</t>
    <phoneticPr fontId="3" type="noConversion"/>
  </si>
  <si>
    <t>투명재단 - 재단불량</t>
    <phoneticPr fontId="3" type="noConversion"/>
  </si>
  <si>
    <t>26-1858</t>
    <phoneticPr fontId="3" type="noConversion"/>
  </si>
  <si>
    <t>현산-마곡</t>
    <phoneticPr fontId="3" type="noConversion"/>
  </si>
  <si>
    <t>5MCT150H/S+5CL</t>
    <phoneticPr fontId="3" type="noConversion"/>
  </si>
  <si>
    <t>5MCT150</t>
    <phoneticPr fontId="3" type="noConversion"/>
  </si>
  <si>
    <t>투명 오도시 재단</t>
    <phoneticPr fontId="3" type="noConversion"/>
  </si>
  <si>
    <t>26-1797</t>
    <phoneticPr fontId="3" type="noConversion"/>
  </si>
  <si>
    <t>26-1798</t>
    <phoneticPr fontId="3" type="noConversion"/>
  </si>
  <si>
    <t>26-1796</t>
    <phoneticPr fontId="3" type="noConversion"/>
  </si>
  <si>
    <t>26-1808</t>
    <phoneticPr fontId="3" type="noConversion"/>
  </si>
  <si>
    <t>신성-삼평동</t>
    <phoneticPr fontId="3" type="noConversion"/>
  </si>
  <si>
    <t>5SKN154IIH/S+5CLH/S</t>
    <phoneticPr fontId="3" type="noConversion"/>
  </si>
  <si>
    <t>로이재단 - 강화불량 - 26-1797, 1798, 1796, 1808 같이재단</t>
    <phoneticPr fontId="3" type="noConversion"/>
  </si>
  <si>
    <t>투명재단 - 재단불량 - 오도시</t>
    <phoneticPr fontId="3" type="noConversion"/>
  </si>
  <si>
    <t>투명재단 - 강화불량 - 오도시</t>
    <phoneticPr fontId="3" type="noConversion"/>
  </si>
  <si>
    <t>26-1733</t>
    <phoneticPr fontId="3" type="noConversion"/>
  </si>
  <si>
    <t>6MZT128H/S+6CLH/S 이형</t>
    <phoneticPr fontId="3" type="noConversion"/>
  </si>
  <si>
    <t>6MZT128H/S+6CLH/S 스텝</t>
    <phoneticPr fontId="3" type="noConversion"/>
  </si>
  <si>
    <t>6MZT128H/S+6CL 스텝</t>
    <phoneticPr fontId="3" type="noConversion"/>
  </si>
  <si>
    <t>26-1684</t>
    <phoneticPr fontId="3" type="noConversion"/>
  </si>
  <si>
    <t>26-1685</t>
    <phoneticPr fontId="3" type="noConversion"/>
  </si>
  <si>
    <t>5DURA MAX</t>
    <phoneticPr fontId="3" type="noConversion"/>
  </si>
  <si>
    <t>5DURA MAX</t>
    <phoneticPr fontId="3" type="noConversion"/>
  </si>
  <si>
    <t>26-1686</t>
    <phoneticPr fontId="3" type="noConversion"/>
  </si>
  <si>
    <t>26-1687</t>
    <phoneticPr fontId="3" type="noConversion"/>
  </si>
  <si>
    <t>26-1476</t>
    <phoneticPr fontId="3" type="noConversion"/>
  </si>
  <si>
    <t>케이씨씨-오송역</t>
    <phoneticPr fontId="3" type="noConversion"/>
  </si>
  <si>
    <t>5CL</t>
    <phoneticPr fontId="3" type="noConversion"/>
  </si>
  <si>
    <t>에칭용</t>
    <phoneticPr fontId="3" type="noConversion"/>
  </si>
  <si>
    <t>26-1909</t>
    <phoneticPr fontId="3" type="noConversion"/>
  </si>
  <si>
    <t>포스코-아산탕정</t>
    <phoneticPr fontId="3" type="noConversion"/>
  </si>
  <si>
    <t>5CL+5로이</t>
    <phoneticPr fontId="3" type="noConversion"/>
  </si>
  <si>
    <t>5CL</t>
    <phoneticPr fontId="3" type="noConversion"/>
  </si>
  <si>
    <t>5DURA MAX(비강화)</t>
    <phoneticPr fontId="3" type="noConversion"/>
  </si>
  <si>
    <t>5CL+5로이</t>
    <phoneticPr fontId="3" type="noConversion"/>
  </si>
  <si>
    <t>5CL+5CL</t>
    <phoneticPr fontId="3" type="noConversion"/>
  </si>
  <si>
    <t>5CL+5CL</t>
    <phoneticPr fontId="3" type="noConversion"/>
  </si>
  <si>
    <t>5SKN154+5CL</t>
    <phoneticPr fontId="3" type="noConversion"/>
  </si>
  <si>
    <t>19~25 투명 같이 재단</t>
    <phoneticPr fontId="3" type="noConversion"/>
  </si>
  <si>
    <t>1~18 투명, 로이 같이재단</t>
    <phoneticPr fontId="3" type="noConversion"/>
  </si>
  <si>
    <t>5SKN154</t>
    <phoneticPr fontId="3" type="noConversion"/>
  </si>
  <si>
    <t>26-1908</t>
    <phoneticPr fontId="3" type="noConversion"/>
  </si>
  <si>
    <t>케이씨씨-오송역</t>
    <phoneticPr fontId="3" type="noConversion"/>
  </si>
  <si>
    <t>10.76(5newGN+0.76+5CL)+5로이</t>
    <phoneticPr fontId="3" type="noConversion"/>
  </si>
  <si>
    <t>5newGNh/s+5로이</t>
    <phoneticPr fontId="3" type="noConversion"/>
  </si>
  <si>
    <t>5NX</t>
    <phoneticPr fontId="3" type="noConversion"/>
  </si>
  <si>
    <t>로이 오도시</t>
    <phoneticPr fontId="3" type="noConversion"/>
  </si>
  <si>
    <t>5마스터원</t>
    <phoneticPr fontId="3" type="noConversion"/>
  </si>
  <si>
    <t>26-1842</t>
    <phoneticPr fontId="3" type="noConversion"/>
  </si>
  <si>
    <t>5SKN154IIh/s+5CL</t>
    <phoneticPr fontId="3" type="noConversion"/>
  </si>
  <si>
    <t>5SKN154II</t>
    <phoneticPr fontId="3" type="noConversion"/>
  </si>
  <si>
    <t>26-1856</t>
    <phoneticPr fontId="3" type="noConversion"/>
  </si>
  <si>
    <t>대원-K-과학자</t>
    <phoneticPr fontId="3" type="noConversion"/>
  </si>
  <si>
    <t>5SKN154IIh/s+5CL+5ONE</t>
    <phoneticPr fontId="3" type="noConversion"/>
  </si>
  <si>
    <t>5SKN154II</t>
    <phoneticPr fontId="3" type="noConversion"/>
  </si>
  <si>
    <t>5ONE</t>
    <phoneticPr fontId="3" type="noConversion"/>
  </si>
  <si>
    <t>5마스터원으로 재단</t>
    <phoneticPr fontId="3" type="noConversion"/>
  </si>
  <si>
    <t>5CL+5로이h/s</t>
    <phoneticPr fontId="3" type="noConversion"/>
  </si>
  <si>
    <t>26-1851</t>
    <phoneticPr fontId="3" type="noConversion"/>
  </si>
  <si>
    <t>5CL+5로이h/s이형</t>
    <phoneticPr fontId="3" type="noConversion"/>
  </si>
  <si>
    <t>5CL</t>
    <phoneticPr fontId="3" type="noConversion"/>
  </si>
  <si>
    <t>5유라맥스(강화용)</t>
    <phoneticPr fontId="3" type="noConversion"/>
  </si>
  <si>
    <t>강화불량 - 오도시</t>
    <phoneticPr fontId="3" type="noConversion"/>
  </si>
  <si>
    <t>5듀라맥스(강화용)</t>
    <phoneticPr fontId="3" type="noConversion"/>
  </si>
  <si>
    <t>26-1913</t>
    <phoneticPr fontId="3" type="noConversion"/>
  </si>
  <si>
    <t>광희-한국교통대</t>
    <phoneticPr fontId="3" type="noConversion"/>
  </si>
  <si>
    <t>26-1874</t>
    <phoneticPr fontId="3" type="noConversion"/>
  </si>
  <si>
    <t>5ONE+5NXH/S+5ONE</t>
    <phoneticPr fontId="3" type="noConversion"/>
  </si>
  <si>
    <t>26-1875</t>
    <phoneticPr fontId="3" type="noConversion"/>
  </si>
  <si>
    <t>5NX+5DURA MAX</t>
    <phoneticPr fontId="3" type="noConversion"/>
  </si>
  <si>
    <t>로이1번,8번재단, 정석개발 원판 사용</t>
    <phoneticPr fontId="3" type="noConversion"/>
  </si>
  <si>
    <t>26-1688</t>
    <phoneticPr fontId="3" type="noConversion"/>
  </si>
  <si>
    <t>26-1820</t>
    <phoneticPr fontId="3" type="noConversion"/>
  </si>
  <si>
    <t>5CL+로이H/S</t>
    <phoneticPr fontId="3" type="noConversion"/>
  </si>
  <si>
    <t>5DURA MAX</t>
    <phoneticPr fontId="3" type="noConversion"/>
  </si>
  <si>
    <t>5DURA MAX</t>
    <phoneticPr fontId="3" type="noConversion"/>
  </si>
  <si>
    <t>5로이H/S+5CL+5ONE</t>
    <phoneticPr fontId="3" type="noConversion"/>
  </si>
  <si>
    <t>11,12,.18번 재단 정석개발 원판 사용</t>
    <phoneticPr fontId="3" type="noConversion"/>
  </si>
  <si>
    <t>26-1821</t>
    <phoneticPr fontId="3" type="noConversion"/>
  </si>
  <si>
    <t>26-1927</t>
    <phoneticPr fontId="3" type="noConversion"/>
  </si>
  <si>
    <t>한우창호</t>
    <phoneticPr fontId="3" type="noConversion"/>
  </si>
  <si>
    <t>5CLH/S+5CLH/S</t>
    <phoneticPr fontId="3" type="noConversion"/>
  </si>
  <si>
    <t>5CL</t>
    <phoneticPr fontId="3" type="noConversion"/>
  </si>
  <si>
    <t>26-1852</t>
    <phoneticPr fontId="3" type="noConversion"/>
  </si>
  <si>
    <t>금성백조-이천</t>
    <phoneticPr fontId="3" type="noConversion"/>
  </si>
  <si>
    <t>10그린강화</t>
    <phoneticPr fontId="3" type="noConversion"/>
  </si>
  <si>
    <t>5CL에칭+5로이</t>
    <phoneticPr fontId="3" type="noConversion"/>
  </si>
  <si>
    <t>10NX</t>
    <phoneticPr fontId="3" type="noConversion"/>
  </si>
  <si>
    <t>오도시</t>
    <phoneticPr fontId="3" type="noConversion"/>
  </si>
  <si>
    <t>26-1855</t>
    <phoneticPr fontId="3" type="noConversion"/>
  </si>
  <si>
    <t>대화-충주</t>
    <phoneticPr fontId="3" type="noConversion"/>
  </si>
  <si>
    <t>10투명강화</t>
    <phoneticPr fontId="3" type="noConversion"/>
  </si>
  <si>
    <t>10CL</t>
    <phoneticPr fontId="3" type="noConversion"/>
  </si>
  <si>
    <t>26-1840</t>
    <phoneticPr fontId="3" type="noConversion"/>
  </si>
  <si>
    <t>현엔-화성기아</t>
    <phoneticPr fontId="3" type="noConversion"/>
  </si>
  <si>
    <t>5BLH/S+5로이</t>
    <phoneticPr fontId="3" type="noConversion"/>
  </si>
  <si>
    <t>5BL</t>
    <phoneticPr fontId="3" type="noConversion"/>
  </si>
  <si>
    <t>5마스터원</t>
    <phoneticPr fontId="3" type="noConversion"/>
  </si>
  <si>
    <t>26-1807</t>
    <phoneticPr fontId="3" type="noConversion"/>
  </si>
  <si>
    <t>정석개발 원판 사용</t>
    <phoneticPr fontId="3" type="noConversion"/>
  </si>
  <si>
    <t>26-1688</t>
    <phoneticPr fontId="3" type="noConversion"/>
  </si>
  <si>
    <t>로이재단 - 13~17번, 19~20번 재단 정석개발 원판 사용</t>
    <phoneticPr fontId="3" type="noConversion"/>
  </si>
  <si>
    <t>26-1255</t>
    <phoneticPr fontId="3" type="noConversion"/>
  </si>
  <si>
    <t>엘엑스-지북</t>
    <phoneticPr fontId="3" type="noConversion"/>
  </si>
  <si>
    <t>5newGNH/S+5로이</t>
    <phoneticPr fontId="3" type="noConversion"/>
  </si>
  <si>
    <t>그린재단 - 강화불량</t>
    <phoneticPr fontId="3" type="noConversion"/>
  </si>
  <si>
    <t>26-1818</t>
    <phoneticPr fontId="3" type="noConversion"/>
  </si>
  <si>
    <t>한양-울산</t>
    <phoneticPr fontId="3" type="noConversion"/>
  </si>
  <si>
    <t>5CL+5PLTDURA+</t>
    <phoneticPr fontId="3" type="noConversion"/>
  </si>
  <si>
    <t>5PLTDURA+</t>
    <phoneticPr fontId="3" type="noConversion"/>
  </si>
  <si>
    <t>26-1537</t>
    <phoneticPr fontId="3" type="noConversion"/>
  </si>
  <si>
    <t>한라-파주</t>
    <phoneticPr fontId="3" type="noConversion"/>
  </si>
  <si>
    <t>5CLH/S+5로이</t>
    <phoneticPr fontId="3" type="noConversion"/>
  </si>
  <si>
    <t>투명재단 - 강화불량</t>
    <phoneticPr fontId="3" type="noConversion"/>
  </si>
  <si>
    <t>5CL+5로이</t>
    <phoneticPr fontId="3" type="noConversion"/>
  </si>
  <si>
    <t>투명재단 - 생산불량 - 오도시</t>
    <phoneticPr fontId="3" type="noConversion"/>
  </si>
  <si>
    <t>5DURA MAX(비강화용)</t>
    <phoneticPr fontId="3" type="noConversion"/>
  </si>
  <si>
    <t>로이재단 - 생산불량</t>
    <phoneticPr fontId="3" type="noConversion"/>
  </si>
  <si>
    <t>26-1922</t>
    <phoneticPr fontId="3" type="noConversion"/>
  </si>
  <si>
    <t>동성-태성</t>
    <phoneticPr fontId="3" type="noConversion"/>
  </si>
  <si>
    <t>6SKN154IIH/S+6CLH/S+6ONEIIH/S</t>
    <phoneticPr fontId="3" type="noConversion"/>
  </si>
  <si>
    <t>6SKN154II</t>
    <phoneticPr fontId="3" type="noConversion"/>
  </si>
  <si>
    <t>6PLAONEII</t>
    <phoneticPr fontId="3" type="noConversion"/>
  </si>
  <si>
    <t>6CL</t>
    <phoneticPr fontId="3" type="noConversion"/>
  </si>
  <si>
    <t>26-1921</t>
    <phoneticPr fontId="3" type="noConversion"/>
  </si>
  <si>
    <t>5SKN154IIH/S+5CL</t>
    <phoneticPr fontId="3" type="noConversion"/>
  </si>
  <si>
    <t>5SKN154II</t>
    <phoneticPr fontId="3" type="noConversion"/>
  </si>
  <si>
    <t>26-1819</t>
    <phoneticPr fontId="3" type="noConversion"/>
  </si>
  <si>
    <t>디엘-내포</t>
    <phoneticPr fontId="3" type="noConversion"/>
  </si>
  <si>
    <t>5SKN154+5CL이형</t>
    <phoneticPr fontId="3" type="noConversion"/>
  </si>
  <si>
    <t>5SKN154</t>
    <phoneticPr fontId="3" type="noConversion"/>
  </si>
  <si>
    <t>생산파손</t>
    <phoneticPr fontId="3" type="noConversion"/>
  </si>
  <si>
    <t>26-1916</t>
    <phoneticPr fontId="3" type="noConversion"/>
  </si>
  <si>
    <t>5ONEIIH/S+5CLH/S+5ONEIIH/S</t>
    <phoneticPr fontId="3" type="noConversion"/>
  </si>
  <si>
    <t>5PLAONEII</t>
    <phoneticPr fontId="3" type="noConversion"/>
  </si>
  <si>
    <t>5로이+5CL+5ONE</t>
    <phoneticPr fontId="3" type="noConversion"/>
  </si>
  <si>
    <t>5DURA MAX</t>
    <phoneticPr fontId="3" type="noConversion"/>
  </si>
  <si>
    <t>투명재단</t>
    <phoneticPr fontId="3" type="noConversion"/>
  </si>
  <si>
    <t>5ONE -&gt; 5마스터원으로 재단</t>
    <phoneticPr fontId="3" type="noConversion"/>
  </si>
  <si>
    <t>26-1479</t>
    <phoneticPr fontId="3" type="noConversion"/>
  </si>
  <si>
    <t>태영-부산</t>
    <phoneticPr fontId="3" type="noConversion"/>
  </si>
  <si>
    <t>(4CL+4CL)+5로이</t>
    <phoneticPr fontId="3" type="noConversion"/>
  </si>
  <si>
    <t>8.76투명접합+5로이H/S+5로이</t>
    <phoneticPr fontId="3" type="noConversion"/>
  </si>
  <si>
    <t>26-1480</t>
    <phoneticPr fontId="3" type="noConversion"/>
  </si>
  <si>
    <t>26-1479, 1480 같이재단</t>
    <phoneticPr fontId="3" type="noConversion"/>
  </si>
  <si>
    <t>26-1809</t>
    <phoneticPr fontId="3" type="noConversion"/>
  </si>
  <si>
    <t>디엘-대전</t>
    <phoneticPr fontId="3" type="noConversion"/>
  </si>
  <si>
    <t>5투명</t>
    <phoneticPr fontId="3" type="noConversion"/>
  </si>
  <si>
    <t>5CL</t>
    <phoneticPr fontId="3" type="noConversion"/>
  </si>
  <si>
    <t>26-1725</t>
    <phoneticPr fontId="3" type="noConversion"/>
  </si>
  <si>
    <t>엘엑스-지북</t>
    <phoneticPr fontId="3" type="noConversion"/>
  </si>
  <si>
    <t>5newGNH/S+5로이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</si>
  <si>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</si>
  <si>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</si>
  <si>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</si>
  <si>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5SUPERPLUS2.0</t>
    <phoneticPr fontId="3" type="noConversion"/>
  </si>
  <si>
    <t>26-1933</t>
    <phoneticPr fontId="3" type="noConversion"/>
  </si>
  <si>
    <t>5BZ+5DURA MAX</t>
    <phoneticPr fontId="3" type="noConversion"/>
  </si>
  <si>
    <t>5DURA MAX(비강화용)</t>
    <phoneticPr fontId="3" type="noConversion"/>
  </si>
  <si>
    <t>브론즈-오도시 재단</t>
    <phoneticPr fontId="3" type="noConversion"/>
  </si>
  <si>
    <t>다솔산업</t>
    <phoneticPr fontId="3" type="noConversion"/>
  </si>
  <si>
    <t>26-1724</t>
    <phoneticPr fontId="3" type="noConversion"/>
  </si>
  <si>
    <t>5newGNH/S+5로이H/S</t>
    <phoneticPr fontId="3" type="noConversion"/>
  </si>
  <si>
    <t>26-1818</t>
    <phoneticPr fontId="3" type="noConversion"/>
  </si>
  <si>
    <t>한양-울산</t>
    <phoneticPr fontId="3" type="noConversion"/>
  </si>
  <si>
    <t>5newGN+5CL</t>
    <phoneticPr fontId="3" type="noConversion"/>
  </si>
  <si>
    <t>6CL+6PLTDURA+</t>
    <phoneticPr fontId="3" type="noConversion"/>
  </si>
  <si>
    <t>오도시</t>
    <phoneticPr fontId="3" type="noConversion"/>
  </si>
  <si>
    <t>26-1741</t>
    <phoneticPr fontId="3" type="noConversion"/>
  </si>
  <si>
    <t>그린재단 - 3~5번, 7번 재단</t>
    <phoneticPr fontId="3" type="noConversion"/>
  </si>
  <si>
    <t>26-1479</t>
    <phoneticPr fontId="3" type="noConversion"/>
  </si>
  <si>
    <t>태영-부산</t>
    <phoneticPr fontId="3" type="noConversion"/>
  </si>
  <si>
    <t>26-1478</t>
    <phoneticPr fontId="3" type="noConversion"/>
  </si>
  <si>
    <t>26-1480</t>
    <phoneticPr fontId="3" type="noConversion"/>
  </si>
  <si>
    <t>그린재단 - 6번, 8~10번 재단</t>
    <phoneticPr fontId="3" type="noConversion"/>
  </si>
  <si>
    <t>5newGNH/S+5로이H/S</t>
    <phoneticPr fontId="3" type="noConversion"/>
  </si>
  <si>
    <t>5NX</t>
    <phoneticPr fontId="3" type="noConversion"/>
  </si>
  <si>
    <t>5CL</t>
    <phoneticPr fontId="3" type="noConversion"/>
  </si>
  <si>
    <t>5SUPERPLUS2.0</t>
    <phoneticPr fontId="3" type="noConversion"/>
  </si>
  <si>
    <t>로이재단</t>
    <phoneticPr fontId="3" type="noConversion"/>
  </si>
  <si>
    <t>26-1245</t>
    <phoneticPr fontId="3" type="noConversion"/>
  </si>
  <si>
    <t>대진-산성역</t>
    <phoneticPr fontId="3" type="noConversion"/>
  </si>
  <si>
    <t>대진원판사용</t>
    <phoneticPr fontId="3" type="noConversion"/>
  </si>
  <si>
    <t>26-1246</t>
    <phoneticPr fontId="3" type="noConversion"/>
  </si>
  <si>
    <t>6CL+6CL</t>
    <phoneticPr fontId="3" type="noConversion"/>
  </si>
  <si>
    <t>6CL+6로이</t>
    <phoneticPr fontId="3" type="noConversion"/>
  </si>
  <si>
    <t>6CL</t>
    <phoneticPr fontId="3" type="noConversion"/>
  </si>
  <si>
    <t>투명재단 - 10~11번 재단 - 대진원판사용</t>
    <phoneticPr fontId="3" type="noConversion"/>
  </si>
  <si>
    <t>야간</t>
    <phoneticPr fontId="3" type="noConversion"/>
  </si>
  <si>
    <t>26-1316</t>
    <phoneticPr fontId="3" type="noConversion"/>
  </si>
  <si>
    <t>계룡-증산도</t>
    <phoneticPr fontId="3" type="noConversion"/>
  </si>
  <si>
    <t>6SKG149TH/S+6CL</t>
    <phoneticPr fontId="3" type="noConversion"/>
  </si>
  <si>
    <t>6SKG149TH/S+6CLH/S</t>
    <phoneticPr fontId="3" type="noConversion"/>
  </si>
  <si>
    <t>투명재단</t>
    <phoneticPr fontId="3" type="noConversion"/>
  </si>
  <si>
    <t>26-1743</t>
    <phoneticPr fontId="3" type="noConversion"/>
  </si>
  <si>
    <t>신동아-건강보험</t>
    <phoneticPr fontId="3" type="noConversion"/>
  </si>
  <si>
    <t>6MZT128H/S+6CLH/S</t>
    <phoneticPr fontId="3" type="noConversion"/>
  </si>
  <si>
    <t>6MZT128H/S+6CL</t>
    <phoneticPr fontId="3" type="noConversion"/>
  </si>
  <si>
    <t>로이재단 - 강화불량</t>
    <phoneticPr fontId="3" type="noConversion"/>
  </si>
  <si>
    <t>투명재단 - 강화불량</t>
    <phoneticPr fontId="3" type="noConversion"/>
  </si>
  <si>
    <t>26-1081</t>
    <phoneticPr fontId="3" type="noConversion"/>
  </si>
  <si>
    <t>26-1473</t>
    <phoneticPr fontId="3" type="noConversion"/>
  </si>
  <si>
    <t>26-1651</t>
    <phoneticPr fontId="3" type="noConversion"/>
  </si>
  <si>
    <t>5MZT128H/S+5CLH/S</t>
    <phoneticPr fontId="3" type="noConversion"/>
  </si>
  <si>
    <t>5MZT128</t>
    <phoneticPr fontId="3" type="noConversion"/>
  </si>
  <si>
    <t>26-1081, 1473, 1651 같이재단</t>
    <phoneticPr fontId="3" type="noConversion"/>
  </si>
  <si>
    <t>5CL</t>
    <phoneticPr fontId="3" type="noConversion"/>
  </si>
  <si>
    <t>투명재단 - 정석개발 원판사용</t>
    <phoneticPr fontId="3" type="noConversion"/>
  </si>
  <si>
    <t>26-1247</t>
    <phoneticPr fontId="3" type="noConversion"/>
  </si>
  <si>
    <t>투명재단 - 7~9번 재단 - 대진원판사용</t>
    <phoneticPr fontId="3" type="noConversion"/>
  </si>
  <si>
    <t>26-1245</t>
    <phoneticPr fontId="3" type="noConversion"/>
  </si>
  <si>
    <t>10.76투명접합+6로이</t>
    <phoneticPr fontId="3" type="noConversion"/>
  </si>
  <si>
    <t>6마스터원</t>
    <phoneticPr fontId="3" type="noConversion"/>
  </si>
  <si>
    <t>26-1925</t>
    <phoneticPr fontId="3" type="noConversion"/>
  </si>
  <si>
    <t>남선-충북대</t>
    <phoneticPr fontId="3" type="noConversion"/>
  </si>
  <si>
    <t>5MZT152H/S+5CL+5MZT152H/S</t>
    <phoneticPr fontId="3" type="noConversion"/>
  </si>
  <si>
    <t>5MZT152</t>
    <phoneticPr fontId="3" type="noConversion"/>
  </si>
  <si>
    <t>26-1932</t>
    <phoneticPr fontId="3" type="noConversion"/>
  </si>
  <si>
    <t>대보-핸복도시</t>
    <phoneticPr fontId="3" type="noConversion"/>
  </si>
  <si>
    <t>5SKN176IIH/S+5CL</t>
    <phoneticPr fontId="3" type="noConversion"/>
  </si>
  <si>
    <t>5SKN176II</t>
    <phoneticPr fontId="3" type="noConversion"/>
  </si>
  <si>
    <t>26-1931</t>
    <phoneticPr fontId="3" type="noConversion"/>
  </si>
  <si>
    <t>서희-광주</t>
    <phoneticPr fontId="3" type="noConversion"/>
  </si>
  <si>
    <t>6투명+6로이</t>
    <phoneticPr fontId="3" type="noConversion"/>
  </si>
  <si>
    <t>오도시</t>
    <phoneticPr fontId="3" type="noConversion"/>
  </si>
  <si>
    <t>26-1929</t>
    <phoneticPr fontId="3" type="noConversion"/>
  </si>
  <si>
    <t>동성-태성</t>
    <phoneticPr fontId="3" type="noConversion"/>
  </si>
  <si>
    <t>5SKN154IIH/S+5CL</t>
    <phoneticPr fontId="3" type="noConversion"/>
  </si>
  <si>
    <t>6SKN154IIH/S+6CLH/S+6ONEIIH/S</t>
    <phoneticPr fontId="3" type="noConversion"/>
  </si>
  <si>
    <t>26-1820</t>
    <phoneticPr fontId="3" type="noConversion"/>
  </si>
  <si>
    <t>대원-과학자마을</t>
    <phoneticPr fontId="3" type="noConversion"/>
  </si>
  <si>
    <t>5CL+5로이H/S</t>
    <phoneticPr fontId="3" type="noConversion"/>
  </si>
  <si>
    <t>투명재단 - 오도시 - 재단불량</t>
    <phoneticPr fontId="3" type="noConversion"/>
  </si>
  <si>
    <t>5로이H/S+5CL+5ONE</t>
    <phoneticPr fontId="3" type="noConversion"/>
  </si>
  <si>
    <t>5마스터원</t>
    <phoneticPr fontId="3" type="noConversion"/>
  </si>
  <si>
    <t>비강화용 로이재단 - 원판 기포</t>
    <phoneticPr fontId="3" type="noConversion"/>
  </si>
  <si>
    <t>26-1536</t>
    <phoneticPr fontId="3" type="noConversion"/>
  </si>
  <si>
    <t>한라-파주</t>
    <phoneticPr fontId="3" type="noConversion"/>
  </si>
  <si>
    <t>5CLH/S+5로이</t>
    <phoneticPr fontId="3" type="noConversion"/>
  </si>
  <si>
    <t>투명재단 - 오도시 - 강화불량</t>
    <phoneticPr fontId="3" type="noConversion"/>
  </si>
  <si>
    <t>26-1317</t>
    <phoneticPr fontId="3" type="noConversion"/>
  </si>
  <si>
    <t>계룡-증산도</t>
    <phoneticPr fontId="3" type="noConversion"/>
  </si>
  <si>
    <t>6SKG149TH/S+6CL</t>
    <phoneticPr fontId="3" type="noConversion"/>
  </si>
  <si>
    <t>6SKG149TH/S+6CLH/S</t>
    <phoneticPr fontId="3" type="noConversion"/>
  </si>
  <si>
    <t>6CL</t>
    <phoneticPr fontId="3" type="noConversion"/>
  </si>
  <si>
    <t>투명재단</t>
    <phoneticPr fontId="3" type="noConversion"/>
  </si>
  <si>
    <t>6마스터원</t>
    <phoneticPr fontId="3" type="noConversion"/>
  </si>
  <si>
    <t>로이재단 - 대진원판사용</t>
    <phoneticPr fontId="3" type="noConversion"/>
  </si>
  <si>
    <t>26-1754</t>
    <phoneticPr fontId="3" type="noConversion"/>
  </si>
  <si>
    <t>26-1755</t>
    <phoneticPr fontId="3" type="noConversion"/>
  </si>
  <si>
    <t>26-1756</t>
    <phoneticPr fontId="3" type="noConversion"/>
  </si>
  <si>
    <t>10.76투명접합+6로이</t>
    <phoneticPr fontId="3" type="noConversion"/>
  </si>
  <si>
    <t>6CL+6CL</t>
    <phoneticPr fontId="3" type="noConversion"/>
  </si>
  <si>
    <t>6CL+6로이</t>
    <phoneticPr fontId="3" type="noConversion"/>
  </si>
  <si>
    <t>6CL</t>
    <phoneticPr fontId="3" type="noConversion"/>
  </si>
  <si>
    <t>26-1734</t>
    <phoneticPr fontId="3" type="noConversion"/>
  </si>
  <si>
    <t>신동아-건강보험</t>
    <phoneticPr fontId="3" type="noConversion"/>
  </si>
  <si>
    <t>6MZT128H/S+6CLH/S</t>
    <phoneticPr fontId="3" type="noConversion"/>
  </si>
  <si>
    <t>6MZT128</t>
    <phoneticPr fontId="3" type="noConversion"/>
  </si>
  <si>
    <t>로이재단 - 강화불량</t>
    <phoneticPr fontId="3" type="noConversion"/>
  </si>
  <si>
    <t>26-1754, 1755, 1756 같이재단 - 대진원판 사용</t>
    <phoneticPr fontId="3" type="noConversion"/>
  </si>
  <si>
    <t>26-1243</t>
    <phoneticPr fontId="3" type="noConversion"/>
  </si>
  <si>
    <t>26-1244</t>
    <phoneticPr fontId="3" type="noConversion"/>
  </si>
  <si>
    <t>투명재단 - 26-1243, 1244 같이재단 - 대진원판 사용</t>
    <phoneticPr fontId="3" type="noConversion"/>
  </si>
  <si>
    <t>야간</t>
    <phoneticPr fontId="3" type="noConversion"/>
  </si>
  <si>
    <t>26-1843</t>
    <phoneticPr fontId="3" type="noConversion"/>
  </si>
  <si>
    <t>대원-과학자마을</t>
    <phoneticPr fontId="3" type="noConversion"/>
  </si>
  <si>
    <t>5CL+5로이H/S</t>
    <phoneticPr fontId="3" type="noConversion"/>
  </si>
  <si>
    <t>5DURA MAX</t>
    <phoneticPr fontId="3" type="noConversion"/>
  </si>
  <si>
    <t>5CL</t>
    <phoneticPr fontId="3" type="noConversion"/>
  </si>
  <si>
    <t>26-1916</t>
    <phoneticPr fontId="3" type="noConversion"/>
  </si>
  <si>
    <t>한우창호</t>
    <phoneticPr fontId="3" type="noConversion"/>
  </si>
  <si>
    <t>5ONEIIH/S+5CLH/S+5ONEIIH/S</t>
    <phoneticPr fontId="3" type="noConversion"/>
  </si>
  <si>
    <t>5PLAONEII</t>
    <phoneticPr fontId="3" type="noConversion"/>
  </si>
  <si>
    <t>투명재단 - 강화불량</t>
    <phoneticPr fontId="3" type="noConversion"/>
  </si>
  <si>
    <t>26-1925</t>
    <phoneticPr fontId="3" type="noConversion"/>
  </si>
  <si>
    <t>남선-충북대</t>
    <phoneticPr fontId="3" type="noConversion"/>
  </si>
  <si>
    <t>5MZT152H/S+5CL+5MZT152H/S</t>
    <phoneticPr fontId="3" type="noConversion"/>
  </si>
  <si>
    <t>로이재단 - 오도시 - 강화불량</t>
    <phoneticPr fontId="3" type="noConversion"/>
  </si>
  <si>
    <t>26-1874</t>
    <phoneticPr fontId="3" type="noConversion"/>
  </si>
  <si>
    <t>보미-청주대</t>
    <phoneticPr fontId="3" type="noConversion"/>
  </si>
  <si>
    <t>5ONE+5newGNH/S+5ONE</t>
    <phoneticPr fontId="3" type="noConversion"/>
  </si>
  <si>
    <t>그린재단 - 오도시 - 강화불량</t>
    <phoneticPr fontId="3" type="noConversion"/>
  </si>
  <si>
    <t>26-1735</t>
    <phoneticPr fontId="3" type="noConversion"/>
  </si>
  <si>
    <t>6MZT128H/S+6CL</t>
    <phoneticPr fontId="3" type="noConversion"/>
  </si>
  <si>
    <t>26-1733</t>
    <phoneticPr fontId="3" type="noConversion"/>
  </si>
  <si>
    <t>6MZT128H/S+6CLH/S이형</t>
    <phoneticPr fontId="3" type="noConversion"/>
  </si>
  <si>
    <t>6MZT128H/S+6CL스텝</t>
    <phoneticPr fontId="3" type="noConversion"/>
  </si>
  <si>
    <t>26-1806</t>
    <phoneticPr fontId="3" type="noConversion"/>
  </si>
  <si>
    <t>로이재단 - 강화불량 - 26-1735, 1733, 1806 같이재단</t>
    <phoneticPr fontId="3" type="noConversion"/>
  </si>
  <si>
    <t>로이재단 - 전용채 과장 지시 오류 - 26-1735, 1733, 1806 같이재단</t>
    <phoneticPr fontId="3" type="noConversion"/>
  </si>
  <si>
    <t>투명재단 - 강화불량 - 26-1735, 1733, 1806 같이재단</t>
    <phoneticPr fontId="3" type="noConversion"/>
  </si>
  <si>
    <t>투명재단 - 전용채 과장 지시 오류 - 26-1735, 1733, 1806 같이재단</t>
    <phoneticPr fontId="3" type="noConversion"/>
  </si>
  <si>
    <t>26-1908</t>
    <phoneticPr fontId="3" type="noConversion"/>
  </si>
  <si>
    <t>케이시씨-오송</t>
    <phoneticPr fontId="3" type="noConversion"/>
  </si>
  <si>
    <t>5newGNh/s+5로이</t>
    <phoneticPr fontId="3" type="noConversion"/>
  </si>
  <si>
    <t>그린재단 - 오도시 - 원판 기포</t>
    <phoneticPr fontId="3" type="noConversion"/>
  </si>
  <si>
    <t>로이재단 - 오도시 - 재단기스</t>
    <phoneticPr fontId="3" type="noConversion"/>
  </si>
  <si>
    <t>26-1821</t>
    <phoneticPr fontId="3" type="noConversion"/>
  </si>
  <si>
    <t>오도시 - 생산파손</t>
    <phoneticPr fontId="3" type="noConversion"/>
  </si>
  <si>
    <t>26-1820</t>
    <phoneticPr fontId="3" type="noConversion"/>
  </si>
  <si>
    <t>5로이H/S+5CL+5ONE</t>
    <phoneticPr fontId="3" type="noConversion"/>
  </si>
  <si>
    <t>로이재단 - 오도시 - 원판기포</t>
    <phoneticPr fontId="3" type="noConversion"/>
  </si>
  <si>
    <t>투명재단 - 오도시 - 원판기포</t>
    <phoneticPr fontId="3" type="noConversion"/>
  </si>
  <si>
    <t>26-1936</t>
    <phoneticPr fontId="3" type="noConversion"/>
  </si>
  <si>
    <t>현엔-아산</t>
    <phoneticPr fontId="3" type="noConversion"/>
  </si>
  <si>
    <t>5CL+5로이</t>
    <phoneticPr fontId="3" type="noConversion"/>
  </si>
  <si>
    <t>5마스터원</t>
    <phoneticPr fontId="3" type="noConversion"/>
  </si>
  <si>
    <t>26-1536</t>
    <phoneticPr fontId="3" type="noConversion"/>
  </si>
  <si>
    <t>한라-파주</t>
    <phoneticPr fontId="3" type="noConversion"/>
  </si>
  <si>
    <t>투명재단 - 오도시 - 재단불량</t>
    <phoneticPr fontId="3" type="noConversion"/>
  </si>
  <si>
    <t>26-1475</t>
    <phoneticPr fontId="3" type="noConversion"/>
  </si>
  <si>
    <t>케이씨씨-오송</t>
    <phoneticPr fontId="3" type="noConversion"/>
  </si>
  <si>
    <t>5CL+5CL에칭</t>
    <phoneticPr fontId="3" type="noConversion"/>
  </si>
  <si>
    <t>일면 투명 재단 - 557조 중 425조 재단</t>
    <phoneticPr fontId="3" type="noConversion"/>
  </si>
  <si>
    <t>26-1246</t>
    <phoneticPr fontId="3" type="noConversion"/>
  </si>
  <si>
    <t>6CL+6CL</t>
    <phoneticPr fontId="3" type="noConversion"/>
  </si>
  <si>
    <t>6CL</t>
    <phoneticPr fontId="3" type="noConversion"/>
  </si>
  <si>
    <t>원판기포 - 대진원판 사용</t>
    <phoneticPr fontId="3" type="noConversion"/>
  </si>
  <si>
    <t>26-1722</t>
    <phoneticPr fontId="3" type="noConversion"/>
  </si>
  <si>
    <t>엘엑스-지북</t>
    <phoneticPr fontId="3" type="noConversion"/>
  </si>
  <si>
    <t>5newGNH/S+5로이H/S</t>
    <phoneticPr fontId="3" type="noConversion"/>
  </si>
  <si>
    <t>로이재단 - 오도시 - 강화불량</t>
    <phoneticPr fontId="3" type="noConversion"/>
  </si>
  <si>
    <t>26-1243</t>
    <phoneticPr fontId="3" type="noConversion"/>
  </si>
  <si>
    <t>10.76투명+6로이</t>
    <phoneticPr fontId="3" type="noConversion"/>
  </si>
  <si>
    <t>6마스터원</t>
    <phoneticPr fontId="3" type="noConversion"/>
  </si>
  <si>
    <t>26-1759</t>
    <phoneticPr fontId="3" type="noConversion"/>
  </si>
  <si>
    <t>대진원판사용</t>
    <phoneticPr fontId="3" type="noConversion"/>
  </si>
  <si>
    <t>로이재단 - 대진원판사용</t>
    <phoneticPr fontId="3" type="noConversion"/>
  </si>
  <si>
    <t>26-1758</t>
    <phoneticPr fontId="3" type="noConversion"/>
  </si>
  <si>
    <t>일면투명재단 - 26-1759, 1758 같이재단 - 대진원판사용</t>
    <phoneticPr fontId="3" type="noConversion"/>
  </si>
  <si>
    <t>26-1757</t>
    <phoneticPr fontId="3" type="noConversion"/>
  </si>
  <si>
    <t>이면투명재단 - 26-1759, 1758, 1757 같이재단 - 대진원판사용</t>
    <phoneticPr fontId="3" type="noConversion"/>
  </si>
  <si>
    <t>26-1759, 1758, 1757 같이재단 - 대진원판사용</t>
  </si>
  <si>
    <t>투명재단 - 26-1759, 1758, 1757 같이재단 - 대진원판사용</t>
    <phoneticPr fontId="3" type="noConversion"/>
  </si>
  <si>
    <t>10.76투명접합+6로이</t>
    <phoneticPr fontId="3" type="noConversion"/>
  </si>
  <si>
    <t>6마스터원</t>
    <phoneticPr fontId="3" type="noConversion"/>
  </si>
  <si>
    <t>26-1762</t>
    <phoneticPr fontId="3" type="noConversion"/>
  </si>
  <si>
    <t>26-1761</t>
    <phoneticPr fontId="3" type="noConversion"/>
  </si>
  <si>
    <t>6CL</t>
    <phoneticPr fontId="3" type="noConversion"/>
  </si>
  <si>
    <t>로이재단 - 대진원판사용</t>
    <phoneticPr fontId="3" type="noConversion"/>
  </si>
  <si>
    <t xml:space="preserve"> 대진원판사용</t>
    <phoneticPr fontId="3" type="noConversion"/>
  </si>
  <si>
    <t>야간</t>
    <phoneticPr fontId="3" type="noConversion"/>
  </si>
  <si>
    <t>26-1907</t>
    <phoneticPr fontId="3" type="noConversion"/>
  </si>
  <si>
    <t>제일-인천</t>
    <phoneticPr fontId="3" type="noConversion"/>
  </si>
  <si>
    <t>5newGN+5로이</t>
    <phoneticPr fontId="3" type="noConversion"/>
  </si>
  <si>
    <t>5NX</t>
    <phoneticPr fontId="3" type="noConversion"/>
  </si>
  <si>
    <t>5마스터원</t>
    <phoneticPr fontId="3" type="noConversion"/>
  </si>
  <si>
    <t>5DURA MAX(비강화용)</t>
    <phoneticPr fontId="3" type="noConversion"/>
  </si>
  <si>
    <t>26-1820</t>
    <phoneticPr fontId="3" type="noConversion"/>
  </si>
  <si>
    <t>대원-과학자마을</t>
    <phoneticPr fontId="3" type="noConversion"/>
  </si>
  <si>
    <t>5로이H/S+5CL+5ONE</t>
    <phoneticPr fontId="3" type="noConversion"/>
  </si>
  <si>
    <t>삼면 로이재단 - 원판 기포 - 5ONE -&gt; 5마스터원으로 재단</t>
    <phoneticPr fontId="3" type="noConversion"/>
  </si>
  <si>
    <t>26-1851</t>
    <phoneticPr fontId="3" type="noConversion"/>
  </si>
  <si>
    <t>5CL+5로이H/S</t>
    <phoneticPr fontId="3" type="noConversion"/>
  </si>
  <si>
    <t>오도시 - 생산파손</t>
    <phoneticPr fontId="3" type="noConversion"/>
  </si>
  <si>
    <t>26-1913</t>
    <phoneticPr fontId="3" type="noConversion"/>
  </si>
  <si>
    <t>광희-교통대</t>
    <phoneticPr fontId="3" type="noConversion"/>
  </si>
  <si>
    <t>5SKN154IIH/S+5CLH/S</t>
    <phoneticPr fontId="3" type="noConversion"/>
  </si>
  <si>
    <t>투명재단 - 오도시 - 강화불량</t>
    <phoneticPr fontId="3" type="noConversion"/>
  </si>
  <si>
    <t>로이재단 - 오도시 - 강화불량</t>
    <phoneticPr fontId="3" type="noConversion"/>
  </si>
  <si>
    <t>26-1916</t>
    <phoneticPr fontId="3" type="noConversion"/>
  </si>
  <si>
    <t>한우창호</t>
    <phoneticPr fontId="3" type="noConversion"/>
  </si>
  <si>
    <t>5ONEIIH/S+5CLH/S+5ONEIIH/S</t>
    <phoneticPr fontId="3" type="noConversion"/>
  </si>
  <si>
    <t>5CL</t>
    <phoneticPr fontId="3" type="noConversion"/>
  </si>
  <si>
    <t>투명재단 - 강화불량</t>
    <phoneticPr fontId="3" type="noConversion"/>
  </si>
  <si>
    <t>일면 투명 재단 - 557조 중 132조 재단</t>
    <phoneticPr fontId="3" type="noConversion"/>
  </si>
  <si>
    <t>26-1760</t>
    <phoneticPr fontId="3" type="noConversion"/>
  </si>
  <si>
    <t>6CL</t>
    <phoneticPr fontId="3" type="noConversion"/>
  </si>
  <si>
    <t>6마스터원</t>
    <phoneticPr fontId="3" type="noConversion"/>
  </si>
  <si>
    <t>26-1742</t>
    <phoneticPr fontId="3" type="noConversion"/>
  </si>
  <si>
    <t>엘엑스-지북</t>
    <phoneticPr fontId="3" type="noConversion"/>
  </si>
  <si>
    <t>5newGNH/S+5로이H/S</t>
    <phoneticPr fontId="3" type="noConversion"/>
  </si>
  <si>
    <t>5newGNH/S+5로이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</si>
  <si>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</si>
  <si>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</si>
  <si>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</si>
  <si>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5CL</t>
    <phoneticPr fontId="3" type="noConversion"/>
  </si>
  <si>
    <t>5SUPERPLUS2.0</t>
    <phoneticPr fontId="3" type="noConversion"/>
  </si>
  <si>
    <t>26-1743</t>
    <phoneticPr fontId="3" type="noConversion"/>
  </si>
  <si>
    <t>그린, 로이재단</t>
    <phoneticPr fontId="3" type="noConversion"/>
  </si>
  <si>
    <t>로이재단</t>
    <phoneticPr fontId="3" type="noConversion"/>
  </si>
  <si>
    <t>26-1744</t>
    <phoneticPr fontId="3" type="noConversion"/>
  </si>
  <si>
    <t>26-1745</t>
    <phoneticPr fontId="3" type="noConversion"/>
  </si>
  <si>
    <t>26-1943</t>
    <phoneticPr fontId="3" type="noConversion"/>
  </si>
  <si>
    <t>미도사</t>
    <phoneticPr fontId="3" type="noConversion"/>
  </si>
  <si>
    <t>5newGN+5CL</t>
    <phoneticPr fontId="3" type="noConversion"/>
  </si>
  <si>
    <t>오도시</t>
    <phoneticPr fontId="3" type="noConversion"/>
  </si>
  <si>
    <t>26-1937</t>
    <phoneticPr fontId="3" type="noConversion"/>
  </si>
  <si>
    <t>케이씨씨-여의도</t>
    <phoneticPr fontId="3" type="noConversion"/>
  </si>
  <si>
    <t>5로이+5CLH/S+5CL</t>
    <phoneticPr fontId="3" type="noConversion"/>
  </si>
  <si>
    <t>5MVT172+5CL</t>
    <phoneticPr fontId="3" type="noConversion"/>
  </si>
  <si>
    <t>5MVT172H/S+5CLH/S</t>
    <phoneticPr fontId="3" type="noConversion"/>
  </si>
  <si>
    <t>5MVT172</t>
    <phoneticPr fontId="3" type="noConversion"/>
  </si>
  <si>
    <t>로이 오도시 재단</t>
    <phoneticPr fontId="3" type="noConversion"/>
  </si>
  <si>
    <t>26-1853</t>
    <phoneticPr fontId="3" type="noConversion"/>
  </si>
  <si>
    <t>계룡-증산도</t>
    <phoneticPr fontId="3" type="noConversion"/>
  </si>
  <si>
    <t>6SKG149TH/S+6CL</t>
    <phoneticPr fontId="3" type="noConversion"/>
  </si>
  <si>
    <t>6SKG149TH/S+6CLH/S</t>
    <phoneticPr fontId="3" type="noConversion"/>
  </si>
  <si>
    <t>6SKG149T</t>
    <phoneticPr fontId="3" type="noConversion"/>
  </si>
  <si>
    <t>6CL</t>
    <phoneticPr fontId="3" type="noConversion"/>
  </si>
  <si>
    <t>5newGN+5로이</t>
    <phoneticPr fontId="3" type="noConversion"/>
  </si>
  <si>
    <t>26-1744</t>
    <phoneticPr fontId="3" type="noConversion"/>
  </si>
  <si>
    <t>5CL+5로이</t>
    <phoneticPr fontId="3" type="noConversion"/>
  </si>
  <si>
    <t>5CL</t>
    <phoneticPr fontId="3" type="noConversion"/>
  </si>
  <si>
    <t>26-1743</t>
    <phoneticPr fontId="3" type="noConversion"/>
  </si>
  <si>
    <t>26-1964</t>
    <phoneticPr fontId="3" type="noConversion"/>
  </si>
  <si>
    <t>6MZT128h/s+6CLh/s이형</t>
    <phoneticPr fontId="3" type="noConversion"/>
  </si>
  <si>
    <t>6MZT128</t>
    <phoneticPr fontId="3" type="noConversion"/>
  </si>
  <si>
    <t>26-1964</t>
    <phoneticPr fontId="3" type="noConversion"/>
  </si>
  <si>
    <t>신동아-건강보험</t>
    <phoneticPr fontId="3" type="noConversion"/>
  </si>
  <si>
    <t>같이 재단</t>
    <phoneticPr fontId="3" type="noConversion"/>
  </si>
  <si>
    <t>26-1854</t>
    <phoneticPr fontId="3" type="noConversion"/>
  </si>
  <si>
    <t>6CL</t>
    <phoneticPr fontId="3" type="noConversion"/>
  </si>
  <si>
    <t>6CL 같이 재단</t>
    <phoneticPr fontId="3" type="noConversion"/>
  </si>
  <si>
    <t>26-1473</t>
    <phoneticPr fontId="3" type="noConversion"/>
  </si>
  <si>
    <t>6MZT128H/S+6CLH/S</t>
    <phoneticPr fontId="3" type="noConversion"/>
  </si>
  <si>
    <t>6MZT128h/s+6CL</t>
    <phoneticPr fontId="3" type="noConversion"/>
  </si>
  <si>
    <t>6MZT128 같이 재단</t>
    <phoneticPr fontId="3" type="noConversion"/>
  </si>
  <si>
    <t>로이재단 - 4~7번, 9~11번 재단</t>
    <phoneticPr fontId="3" type="noConversion"/>
  </si>
  <si>
    <t>26-1939</t>
    <phoneticPr fontId="3" type="noConversion"/>
  </si>
  <si>
    <t>제일-장성지구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</si>
  <si>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</si>
  <si>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</si>
  <si>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</si>
  <si>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5CL</t>
    <phoneticPr fontId="3" type="noConversion"/>
  </si>
  <si>
    <t>로이 오도시 재단</t>
    <phoneticPr fontId="3" type="noConversion"/>
  </si>
  <si>
    <t>26-1940</t>
    <phoneticPr fontId="3" type="noConversion"/>
  </si>
  <si>
    <t>제일-인천</t>
    <phoneticPr fontId="3" type="noConversion"/>
  </si>
  <si>
    <t>5투명</t>
    <phoneticPr fontId="3" type="noConversion"/>
  </si>
  <si>
    <t>26-1962</t>
    <phoneticPr fontId="3" type="noConversion"/>
  </si>
  <si>
    <t>엘엑스-지북</t>
    <phoneticPr fontId="3" type="noConversion"/>
  </si>
  <si>
    <t>26-1963</t>
    <phoneticPr fontId="3" type="noConversion"/>
  </si>
  <si>
    <t>남선산업개발</t>
    <phoneticPr fontId="3" type="noConversion"/>
  </si>
  <si>
    <t>5MZT152H/S+5CL+5MZT152H/S</t>
    <phoneticPr fontId="3" type="noConversion"/>
  </si>
  <si>
    <t>5MZT152H/S+5CL</t>
    <phoneticPr fontId="3" type="noConversion"/>
  </si>
  <si>
    <t>5MZT152</t>
    <phoneticPr fontId="3" type="noConversion"/>
  </si>
  <si>
    <t>로이재단 - 8번 재단</t>
    <phoneticPr fontId="3" type="noConversion"/>
  </si>
  <si>
    <t>그린재단</t>
    <phoneticPr fontId="3" type="noConversion"/>
  </si>
  <si>
    <t>투명재단</t>
    <phoneticPr fontId="3" type="noConversion"/>
  </si>
  <si>
    <t>26-1480</t>
    <phoneticPr fontId="3" type="noConversion"/>
  </si>
  <si>
    <t>태영-부산</t>
    <phoneticPr fontId="3" type="noConversion"/>
  </si>
  <si>
    <t>5CLH/S+5로이</t>
    <phoneticPr fontId="3" type="noConversion"/>
  </si>
  <si>
    <t>투명재단 - 오도시 - 강화불량</t>
    <phoneticPr fontId="3" type="noConversion"/>
  </si>
  <si>
    <t>26-1922</t>
    <phoneticPr fontId="3" type="noConversion"/>
  </si>
  <si>
    <t>동성-태성</t>
    <phoneticPr fontId="3" type="noConversion"/>
  </si>
  <si>
    <t>6SKN154IIH/S+6CLH/S+6ONEIIH/S</t>
    <phoneticPr fontId="3" type="noConversion"/>
  </si>
  <si>
    <t>26-1961</t>
    <phoneticPr fontId="3" type="noConversion"/>
  </si>
  <si>
    <t>한우창호</t>
    <phoneticPr fontId="3" type="noConversion"/>
  </si>
  <si>
    <t>5SKN176IIH/S+5CLH/S</t>
    <phoneticPr fontId="3" type="noConversion"/>
  </si>
  <si>
    <t>5SKN176IIH/S+5CLH/S+5ONEIIH/S</t>
    <phoneticPr fontId="3" type="noConversion"/>
  </si>
  <si>
    <t>5SKN176II</t>
    <phoneticPr fontId="3" type="noConversion"/>
  </si>
  <si>
    <t>5PLAONEII</t>
    <phoneticPr fontId="3" type="noConversion"/>
  </si>
  <si>
    <t>26-1969</t>
    <phoneticPr fontId="3" type="noConversion"/>
  </si>
  <si>
    <t>케이씨씨-여의도</t>
    <phoneticPr fontId="3" type="noConversion"/>
  </si>
  <si>
    <t>5MVT172H/S+5CLH/S</t>
    <phoneticPr fontId="3" type="noConversion"/>
  </si>
  <si>
    <t>5MVT172</t>
    <phoneticPr fontId="3" type="noConversion"/>
  </si>
  <si>
    <t>26-1965</t>
    <phoneticPr fontId="3" type="noConversion"/>
  </si>
  <si>
    <t>5SKN154II+5CL</t>
    <phoneticPr fontId="3" type="noConversion"/>
  </si>
  <si>
    <t>5SKN154II</t>
    <phoneticPr fontId="3" type="noConversion"/>
  </si>
  <si>
    <t>한화기업</t>
    <phoneticPr fontId="3" type="noConversion"/>
  </si>
  <si>
    <t>26-1966</t>
    <phoneticPr fontId="3" type="noConversion"/>
  </si>
  <si>
    <t>신동아-건강보험</t>
    <phoneticPr fontId="3" type="noConversion"/>
  </si>
  <si>
    <t>6MZT128H/S+6CLH/S</t>
    <phoneticPr fontId="3" type="noConversion"/>
  </si>
  <si>
    <t>6MZT128H/S+6CLH/S이형</t>
    <phoneticPr fontId="3" type="noConversion"/>
  </si>
  <si>
    <t>6MZT128H/S+6CLH/S이형 스텝</t>
    <phoneticPr fontId="3" type="noConversion"/>
  </si>
  <si>
    <t>6MZT128H/S+6CLH/S스텝</t>
    <phoneticPr fontId="3" type="noConversion"/>
  </si>
  <si>
    <t>6MZT128H/S+6CL스텝</t>
    <phoneticPr fontId="3" type="noConversion"/>
  </si>
  <si>
    <t>6MZT128H/S+6CL</t>
    <phoneticPr fontId="3" type="noConversion"/>
  </si>
  <si>
    <t>6MZT128</t>
    <phoneticPr fontId="3" type="noConversion"/>
  </si>
  <si>
    <t>6CL</t>
    <phoneticPr fontId="3" type="noConversion"/>
  </si>
  <si>
    <t>26-1977</t>
    <phoneticPr fontId="3" type="noConversion"/>
  </si>
  <si>
    <t>현대샷시</t>
    <phoneticPr fontId="3" type="noConversion"/>
  </si>
  <si>
    <t>5newGN+5CL</t>
    <phoneticPr fontId="3" type="noConversion"/>
  </si>
  <si>
    <t>5CL</t>
    <phoneticPr fontId="3" type="noConversion"/>
  </si>
  <si>
    <t>26-1973</t>
    <phoneticPr fontId="3" type="noConversion"/>
  </si>
  <si>
    <t>미도사</t>
    <phoneticPr fontId="3" type="noConversion"/>
  </si>
  <si>
    <t>5CL에칭+5CL</t>
    <phoneticPr fontId="3" type="noConversion"/>
  </si>
  <si>
    <t>그린 오도시 재단 - 26-1977, 1973 같이재단</t>
    <phoneticPr fontId="3" type="noConversion"/>
  </si>
  <si>
    <t>26-1977, 1973 같이재단</t>
  </si>
  <si>
    <t>26-0713</t>
    <phoneticPr fontId="3" type="noConversion"/>
  </si>
  <si>
    <t>신동아-건강보험</t>
    <phoneticPr fontId="3" type="noConversion"/>
  </si>
  <si>
    <t>26-0714</t>
    <phoneticPr fontId="3" type="noConversion"/>
  </si>
  <si>
    <t>26-1163</t>
    <phoneticPr fontId="3" type="noConversion"/>
  </si>
  <si>
    <t>26-1656</t>
    <phoneticPr fontId="3" type="noConversion"/>
  </si>
  <si>
    <t>6MZT135H/S+6CL</t>
    <phoneticPr fontId="3" type="noConversion"/>
  </si>
  <si>
    <t>6MZT135H/S+6CLH/S</t>
    <phoneticPr fontId="3" type="noConversion"/>
  </si>
  <si>
    <t>6MZT135</t>
    <phoneticPr fontId="3" type="noConversion"/>
  </si>
  <si>
    <t>로이재단 - 강화불량</t>
    <phoneticPr fontId="3" type="noConversion"/>
  </si>
  <si>
    <t>6MZT128</t>
    <phoneticPr fontId="3" type="noConversion"/>
  </si>
  <si>
    <t>26-1079</t>
    <phoneticPr fontId="3" type="noConversion"/>
  </si>
  <si>
    <t>26-1814</t>
    <phoneticPr fontId="3" type="noConversion"/>
  </si>
  <si>
    <t>로이재단  - 26-0713, 1163, 1656, 1814 같이재단</t>
    <phoneticPr fontId="3" type="noConversion"/>
  </si>
  <si>
    <t>로이재단 - 강화불량 - 26-0713, 1163, 1656, 1814 같이재단</t>
    <phoneticPr fontId="3" type="noConversion"/>
  </si>
  <si>
    <t>6CL</t>
    <phoneticPr fontId="3" type="noConversion"/>
  </si>
  <si>
    <t>투명재단 - 강화불량 - 26-0713, 0714, 1079, 1163, 1656, 1814 같이재단</t>
    <phoneticPr fontId="3" type="noConversion"/>
  </si>
  <si>
    <t>투명재단 - 26-0713, 0714, 1079, 1163, 1656, 1814 같이재단</t>
    <phoneticPr fontId="3" type="noConversion"/>
  </si>
  <si>
    <t>26-1746</t>
    <phoneticPr fontId="3" type="noConversion"/>
  </si>
  <si>
    <t>엘엑스-지북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</si>
  <si>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</si>
  <si>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</si>
  <si>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</si>
  <si>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5SUPERPLUS2.0</t>
    <phoneticPr fontId="3" type="noConversion"/>
  </si>
  <si>
    <t>26-1982</t>
    <phoneticPr fontId="3" type="noConversion"/>
  </si>
  <si>
    <t>5CLH/S+5DURA MAXH/S</t>
    <phoneticPr fontId="3" type="noConversion"/>
  </si>
  <si>
    <t>5DURA MAX</t>
    <phoneticPr fontId="3" type="noConversion"/>
  </si>
  <si>
    <t>투명재단 - 원판 기포</t>
    <phoneticPr fontId="3" type="noConversion"/>
  </si>
  <si>
    <t>26-1974</t>
    <phoneticPr fontId="3" type="noConversion"/>
  </si>
  <si>
    <t>계룡-KT인재개발원</t>
    <phoneticPr fontId="3" type="noConversion"/>
  </si>
  <si>
    <t>5newGN+5ONE</t>
    <phoneticPr fontId="3" type="noConversion"/>
  </si>
  <si>
    <t>5ONE -&gt; 5DURA MAX로 재단</t>
    <phoneticPr fontId="3" type="noConversion"/>
  </si>
  <si>
    <t>26-1983</t>
    <phoneticPr fontId="3" type="noConversion"/>
  </si>
  <si>
    <t>케이씨씨-여의도</t>
    <phoneticPr fontId="3" type="noConversion"/>
  </si>
  <si>
    <t>5MVT172+5CL</t>
    <phoneticPr fontId="3" type="noConversion"/>
  </si>
  <si>
    <t>오도시</t>
    <phoneticPr fontId="3" type="noConversion"/>
  </si>
  <si>
    <t>26-1978</t>
    <phoneticPr fontId="3" type="noConversion"/>
  </si>
  <si>
    <t>대원-과학자마을</t>
    <phoneticPr fontId="3" type="noConversion"/>
  </si>
  <si>
    <t>5CL+5로이H/S</t>
    <phoneticPr fontId="3" type="noConversion"/>
  </si>
  <si>
    <t>26-1966</t>
    <phoneticPr fontId="3" type="noConversion"/>
  </si>
  <si>
    <t>6MZT128H/S+6CLH/S</t>
    <phoneticPr fontId="3" type="noConversion"/>
  </si>
  <si>
    <t>26-1677</t>
    <phoneticPr fontId="3" type="noConversion"/>
  </si>
  <si>
    <t>6MZT128H/S+6CLH/S이형</t>
    <phoneticPr fontId="3" type="noConversion"/>
  </si>
  <si>
    <t>로이재단 - 강화불량 - 26-1966, 1677 같이재단</t>
    <phoneticPr fontId="3" type="noConversion"/>
  </si>
  <si>
    <t>26-1678</t>
    <phoneticPr fontId="3" type="noConversion"/>
  </si>
  <si>
    <t>이랜드-수원</t>
    <phoneticPr fontId="3" type="noConversion"/>
  </si>
  <si>
    <t>투명재단</t>
    <phoneticPr fontId="3" type="noConversion"/>
  </si>
  <si>
    <t>5DURA MAX(비강화용)</t>
    <phoneticPr fontId="3" type="noConversion"/>
  </si>
  <si>
    <t>로이재단 - 1~2번,5~8번  재단</t>
    <phoneticPr fontId="3" type="noConversion"/>
  </si>
  <si>
    <t>26-1979</t>
    <phoneticPr fontId="3" type="noConversion"/>
  </si>
  <si>
    <t>디엘-내포</t>
    <phoneticPr fontId="3" type="noConversion"/>
  </si>
  <si>
    <t>8투명강화</t>
    <phoneticPr fontId="3" type="noConversion"/>
  </si>
  <si>
    <t>8cl</t>
    <phoneticPr fontId="3" type="noConversion"/>
  </si>
  <si>
    <t>26-1747</t>
    <phoneticPr fontId="3" type="noConversion"/>
  </si>
  <si>
    <t>엘엑스-지북</t>
    <phoneticPr fontId="3" type="noConversion"/>
  </si>
  <si>
    <t>5newGNH/S+5로이H/S</t>
    <phoneticPr fontId="3" type="noConversion"/>
  </si>
  <si>
    <t>5newGNH/S+5로이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</si>
  <si>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</si>
  <si>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</si>
  <si>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</si>
  <si>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5CL</t>
    <phoneticPr fontId="3" type="noConversion"/>
  </si>
  <si>
    <t>5SUPERPLUS2.0</t>
    <phoneticPr fontId="3" type="noConversion"/>
  </si>
  <si>
    <t>그린,로이재단</t>
    <phoneticPr fontId="3" type="noConversion"/>
  </si>
  <si>
    <t>투명재단</t>
    <phoneticPr fontId="3" type="noConversion"/>
  </si>
  <si>
    <t>26-1746</t>
    <phoneticPr fontId="3" type="noConversion"/>
  </si>
  <si>
    <t>26-1745</t>
    <phoneticPr fontId="3" type="noConversion"/>
  </si>
  <si>
    <t>그린재단 - 강화 기스 및 기포</t>
    <phoneticPr fontId="3" type="noConversion"/>
  </si>
  <si>
    <t>26-1744</t>
    <phoneticPr fontId="3" type="noConversion"/>
  </si>
  <si>
    <t>원판 기포</t>
    <phoneticPr fontId="3" type="noConversion"/>
  </si>
  <si>
    <t>26-1974</t>
    <phoneticPr fontId="3" type="noConversion"/>
  </si>
  <si>
    <t>계룡-KT인재개발원</t>
    <phoneticPr fontId="3" type="noConversion"/>
  </si>
  <si>
    <t>12투명강화</t>
    <phoneticPr fontId="3" type="noConversion"/>
  </si>
  <si>
    <t>12CL</t>
    <phoneticPr fontId="3" type="noConversion"/>
  </si>
  <si>
    <t>26-1967</t>
    <phoneticPr fontId="3" type="noConversion"/>
  </si>
  <si>
    <t>현산-신월</t>
    <phoneticPr fontId="3" type="noConversion"/>
  </si>
  <si>
    <t>5투명강화</t>
    <phoneticPr fontId="3" type="noConversion"/>
  </si>
  <si>
    <t>5MZT128H/S+5CLH/S</t>
    <phoneticPr fontId="3" type="noConversion"/>
  </si>
  <si>
    <t>5MZT128</t>
    <phoneticPr fontId="3" type="noConversion"/>
  </si>
  <si>
    <t>26-1995</t>
    <phoneticPr fontId="3" type="noConversion"/>
  </si>
  <si>
    <t>신동아-건강보험</t>
    <phoneticPr fontId="3" type="noConversion"/>
  </si>
  <si>
    <t>6MZT128H/S+6CLH/S</t>
    <phoneticPr fontId="3" type="noConversion"/>
  </si>
  <si>
    <t>6MZT128H/S+6CL</t>
    <phoneticPr fontId="3" type="noConversion"/>
  </si>
  <si>
    <t>6MZT128H/S+6CLH/S스텝</t>
    <phoneticPr fontId="3" type="noConversion"/>
  </si>
  <si>
    <t>6MZT135H/S+6CLH/S</t>
    <phoneticPr fontId="3" type="noConversion"/>
  </si>
  <si>
    <t>6MZT135H/S+6CL</t>
    <phoneticPr fontId="3" type="noConversion"/>
  </si>
  <si>
    <t>6MZT128</t>
    <phoneticPr fontId="3" type="noConversion"/>
  </si>
  <si>
    <t>6CL</t>
    <phoneticPr fontId="3" type="noConversion"/>
  </si>
  <si>
    <t>6MZT135</t>
    <phoneticPr fontId="3" type="noConversion"/>
  </si>
  <si>
    <t>26-1976</t>
    <phoneticPr fontId="3" type="noConversion"/>
  </si>
  <si>
    <t>6MZT128H/S+6CL스텝</t>
    <phoneticPr fontId="3" type="noConversion"/>
  </si>
  <si>
    <t>26-1975</t>
    <phoneticPr fontId="3" type="noConversion"/>
  </si>
  <si>
    <t>26-1941</t>
    <phoneticPr fontId="3" type="noConversion"/>
  </si>
  <si>
    <t>5SKN154IIH/S+5CL</t>
    <phoneticPr fontId="3" type="noConversion"/>
  </si>
  <si>
    <t>6SKN154+6CL</t>
    <phoneticPr fontId="3" type="noConversion"/>
  </si>
  <si>
    <t>5SKN154II</t>
    <phoneticPr fontId="3" type="noConversion"/>
  </si>
  <si>
    <t>6SKN154</t>
    <phoneticPr fontId="3" type="noConversion"/>
  </si>
  <si>
    <t>26-1992</t>
    <phoneticPr fontId="3" type="noConversion"/>
  </si>
  <si>
    <t>보미-청주대</t>
    <phoneticPr fontId="3" type="noConversion"/>
  </si>
  <si>
    <t>5newGNH/S+5ONEIIH/S</t>
    <phoneticPr fontId="3" type="noConversion"/>
  </si>
  <si>
    <t>5ONE+5newGNH/S+5ONE</t>
    <phoneticPr fontId="3" type="noConversion"/>
  </si>
  <si>
    <t>5PLAONEII</t>
    <phoneticPr fontId="3" type="noConversion"/>
  </si>
  <si>
    <t>5PLAONE</t>
    <phoneticPr fontId="3" type="noConversion"/>
  </si>
  <si>
    <t>26-1678</t>
    <phoneticPr fontId="3" type="noConversion"/>
  </si>
  <si>
    <t>로이재단 - 3~4번  재단</t>
    <phoneticPr fontId="3" type="noConversion"/>
  </si>
  <si>
    <t>26-1316</t>
    <phoneticPr fontId="3" type="noConversion"/>
  </si>
  <si>
    <t>계룡-증산도</t>
    <phoneticPr fontId="3" type="noConversion"/>
  </si>
  <si>
    <t>5SKG149TH/S+5CL</t>
    <phoneticPr fontId="3" type="noConversion"/>
  </si>
  <si>
    <t>6SKG149TH/S+6CL</t>
    <phoneticPr fontId="3" type="noConversion"/>
  </si>
  <si>
    <t>투명재단 - 오도시 - 재단불량</t>
    <phoneticPr fontId="3" type="noConversion"/>
  </si>
  <si>
    <t>로이재단 - 오도시 - 강화기스</t>
    <phoneticPr fontId="3" type="noConversion"/>
  </si>
  <si>
    <t>26-1317</t>
    <phoneticPr fontId="3" type="noConversion"/>
  </si>
  <si>
    <t>로이재단 - 오도시 - 원판불량</t>
    <phoneticPr fontId="3" type="noConversion"/>
  </si>
  <si>
    <t>26-1942</t>
    <phoneticPr fontId="3" type="noConversion"/>
  </si>
  <si>
    <t>26-2002</t>
    <phoneticPr fontId="3" type="noConversion"/>
  </si>
  <si>
    <t>에스티웍스</t>
    <phoneticPr fontId="3" type="noConversion"/>
  </si>
  <si>
    <t>5CL(PNLC)+5ONE</t>
    <phoneticPr fontId="3" type="noConversion"/>
  </si>
  <si>
    <t>5CL(PNLC)+5ONE+5ONE</t>
    <phoneticPr fontId="3" type="noConversion"/>
  </si>
  <si>
    <t>(5CL(PNLC)+5CL)+5ONE+5ONE</t>
    <phoneticPr fontId="3" type="noConversion"/>
  </si>
  <si>
    <t>로이재단 - 원판기포 - 대진원판 사용</t>
    <phoneticPr fontId="3" type="noConversion"/>
  </si>
  <si>
    <t>투명재단 - 원판기포 - 26-1245, 1758, 1244, 1755 - 동일원판사용</t>
    <phoneticPr fontId="3" type="noConversion"/>
  </si>
  <si>
    <t>26-1980</t>
    <phoneticPr fontId="3" type="noConversion"/>
  </si>
  <si>
    <t>26-1748</t>
    <phoneticPr fontId="3" type="noConversion"/>
  </si>
  <si>
    <t>그린재단 - 4~7번, 10~11번 재단</t>
    <phoneticPr fontId="3" type="noConversion"/>
  </si>
  <si>
    <t>26-1998</t>
    <phoneticPr fontId="3" type="noConversion"/>
  </si>
  <si>
    <t>26-1997</t>
    <phoneticPr fontId="3" type="noConversion"/>
  </si>
  <si>
    <t>5MZT152+5CLH/S</t>
    <phoneticPr fontId="3" type="noConversion"/>
  </si>
  <si>
    <t>일면로이재단 - 강화 기스</t>
    <phoneticPr fontId="3" type="noConversion"/>
  </si>
  <si>
    <t>삼면로이재단 - 강화 기스</t>
    <phoneticPr fontId="3" type="noConversion"/>
  </si>
  <si>
    <t>투명재단 - 강화기스</t>
    <phoneticPr fontId="3" type="noConversion"/>
  </si>
  <si>
    <t>로이재단-오도시-강화기스</t>
    <phoneticPr fontId="3" type="noConversion"/>
  </si>
  <si>
    <t>26-2003</t>
    <phoneticPr fontId="3" type="noConversion"/>
  </si>
  <si>
    <t>시동아-간강보험</t>
    <phoneticPr fontId="3" type="noConversion"/>
  </si>
  <si>
    <t>26-1934</t>
    <phoneticPr fontId="3" type="noConversion"/>
  </si>
  <si>
    <t>26-1935</t>
    <phoneticPr fontId="3" type="noConversion"/>
  </si>
  <si>
    <t>로이재단 - 강화기스</t>
    <phoneticPr fontId="3" type="noConversion"/>
  </si>
  <si>
    <t>투명재단-오도시-강화기스</t>
    <phoneticPr fontId="3" type="noConversion"/>
  </si>
  <si>
    <t>일면 투명 재단 - 1번 재단</t>
    <phoneticPr fontId="3" type="noConversion"/>
  </si>
  <si>
    <t>한우창호</t>
    <phoneticPr fontId="3" type="noConversion"/>
  </si>
  <si>
    <t>37,51,54 생산불량-로이재단</t>
    <phoneticPr fontId="3" type="noConversion"/>
  </si>
  <si>
    <t>5ONEII</t>
    <phoneticPr fontId="3" type="noConversion"/>
  </si>
  <si>
    <t>26,51 생산불량-로이재단</t>
    <phoneticPr fontId="3" type="noConversion"/>
  </si>
  <si>
    <t>26-1749</t>
    <phoneticPr fontId="3" type="noConversion"/>
  </si>
  <si>
    <t>26-1996</t>
    <phoneticPr fontId="3" type="noConversion"/>
  </si>
  <si>
    <t>26-2059</t>
    <phoneticPr fontId="3" type="noConversion"/>
  </si>
  <si>
    <t>26-2060</t>
    <phoneticPr fontId="3" type="noConversion"/>
  </si>
  <si>
    <t>26-2043</t>
    <phoneticPr fontId="3" type="noConversion"/>
  </si>
  <si>
    <t>26-1970</t>
    <phoneticPr fontId="3" type="noConversion"/>
  </si>
  <si>
    <t>5SKN154IIH/S+(6CLH/S+6CLH/S)</t>
    <phoneticPr fontId="3" type="noConversion"/>
  </si>
  <si>
    <t>일면 투명 재단 - 2~6번 재단</t>
    <phoneticPr fontId="3" type="noConversion"/>
  </si>
  <si>
    <t>로이 오도시 재단 - 생산 불량</t>
    <phoneticPr fontId="3" type="noConversion"/>
  </si>
  <si>
    <t>26-1981</t>
    <phoneticPr fontId="3" type="noConversion"/>
  </si>
  <si>
    <t>26-1993</t>
    <phoneticPr fontId="3" type="noConversion"/>
  </si>
  <si>
    <t>6MCT154H/S+6CLH/S</t>
    <phoneticPr fontId="3" type="noConversion"/>
  </si>
  <si>
    <t>26-1923</t>
    <phoneticPr fontId="3" type="noConversion"/>
  </si>
  <si>
    <t>26-1924</t>
    <phoneticPr fontId="3" type="noConversion"/>
  </si>
  <si>
    <t>그린재단 - 1~8번재단 - 정석개발 원판 사용</t>
    <phoneticPr fontId="3" type="noConversion"/>
  </si>
  <si>
    <t>17~21번 재단 - 정석개발 원판 사용</t>
    <phoneticPr fontId="3" type="noConversion"/>
  </si>
  <si>
    <t>26-2092</t>
    <phoneticPr fontId="3" type="noConversion"/>
  </si>
  <si>
    <t>26-1984</t>
    <phoneticPr fontId="3" type="noConversion"/>
  </si>
  <si>
    <t>생산 불량</t>
    <phoneticPr fontId="3" type="noConversion"/>
  </si>
  <si>
    <t>로이재단 - 오도시 - 재단불량</t>
    <phoneticPr fontId="3" type="noConversion"/>
  </si>
  <si>
    <t>26-2063</t>
    <phoneticPr fontId="3" type="noConversion"/>
  </si>
  <si>
    <t>그린재단 - 생산파손</t>
    <phoneticPr fontId="3" type="noConversion"/>
  </si>
  <si>
    <t>26-2064</t>
    <phoneticPr fontId="3" type="noConversion"/>
  </si>
  <si>
    <t>26-2061</t>
    <phoneticPr fontId="3" type="noConversion"/>
  </si>
  <si>
    <t>26-2062</t>
    <phoneticPr fontId="3" type="noConversion"/>
  </si>
  <si>
    <t>26-1985</t>
    <phoneticPr fontId="3" type="noConversion"/>
  </si>
  <si>
    <t>투명재단 - 1~27번 재단</t>
    <phoneticPr fontId="3" type="noConversion"/>
  </si>
  <si>
    <t>남영유리상사</t>
    <phoneticPr fontId="3" type="noConversion"/>
  </si>
  <si>
    <t>26-2051</t>
    <phoneticPr fontId="3" type="noConversion"/>
  </si>
  <si>
    <t>대화-충주반다비</t>
    <phoneticPr fontId="3" type="noConversion"/>
  </si>
  <si>
    <t>26-1924</t>
    <phoneticPr fontId="3" type="noConversion"/>
  </si>
  <si>
    <t>5newGN</t>
    <phoneticPr fontId="3" type="noConversion"/>
  </si>
  <si>
    <t>9-16번 정석개발 원판 사용</t>
    <phoneticPr fontId="3" type="noConversion"/>
  </si>
  <si>
    <t>22-27번 정석개발 원판 사용</t>
    <phoneticPr fontId="3" type="noConversion"/>
  </si>
  <si>
    <t>1-8번 그린 정석개발 원판 사용</t>
    <phoneticPr fontId="3" type="noConversion"/>
  </si>
  <si>
    <t>26-2065</t>
    <phoneticPr fontId="3" type="noConversion"/>
  </si>
  <si>
    <t>류진종합건축</t>
    <phoneticPr fontId="3" type="noConversion"/>
  </si>
  <si>
    <t>8T투명강화</t>
    <phoneticPr fontId="3" type="noConversion"/>
  </si>
  <si>
    <t>10T투명강화</t>
    <phoneticPr fontId="3" type="noConversion"/>
  </si>
  <si>
    <t>8CL</t>
    <phoneticPr fontId="3" type="noConversion"/>
  </si>
  <si>
    <t>26-2052</t>
    <phoneticPr fontId="3" type="noConversion"/>
  </si>
  <si>
    <t>우신-한양대</t>
    <phoneticPr fontId="3" type="noConversion"/>
  </si>
  <si>
    <t>5T투명강화</t>
    <phoneticPr fontId="3" type="noConversion"/>
  </si>
  <si>
    <t>11, 14, 23번 투명재단</t>
    <phoneticPr fontId="3" type="noConversion"/>
  </si>
  <si>
    <t>26-2091</t>
    <phoneticPr fontId="3" type="noConversion"/>
  </si>
  <si>
    <t>미도사</t>
    <phoneticPr fontId="3" type="noConversion"/>
  </si>
  <si>
    <t>5newGN+5CL</t>
    <phoneticPr fontId="3" type="noConversion"/>
  </si>
  <si>
    <t>26-1918</t>
    <phoneticPr fontId="3" type="noConversion"/>
  </si>
  <si>
    <t>경동-부산대</t>
    <phoneticPr fontId="3" type="noConversion"/>
  </si>
  <si>
    <t>5ONEIIh/s+5CL</t>
    <phoneticPr fontId="3" type="noConversion"/>
  </si>
  <si>
    <t>26-1986</t>
    <phoneticPr fontId="3" type="noConversion"/>
  </si>
  <si>
    <t>26-1985</t>
    <phoneticPr fontId="3" type="noConversion"/>
  </si>
  <si>
    <t>5DURA MAX(강화용)</t>
    <phoneticPr fontId="3" type="noConversion"/>
  </si>
  <si>
    <t>26-1970</t>
    <phoneticPr fontId="3" type="noConversion"/>
  </si>
  <si>
    <t>활림-아산</t>
    <phoneticPr fontId="3" type="noConversion"/>
  </si>
  <si>
    <t>5SKN154IIh/s+12.76(6clh/s+0.76+6clh/s)접합</t>
    <phoneticPr fontId="3" type="noConversion"/>
  </si>
  <si>
    <t>5SKN154II</t>
    <phoneticPr fontId="3" type="noConversion"/>
  </si>
  <si>
    <t>원판불량</t>
    <phoneticPr fontId="3" type="noConversion"/>
  </si>
  <si>
    <t>26-1733</t>
    <phoneticPr fontId="3" type="noConversion"/>
  </si>
  <si>
    <t>신동아-건강보험</t>
    <phoneticPr fontId="3" type="noConversion"/>
  </si>
  <si>
    <t>6MZT128h/s+6CLh/s이형</t>
    <phoneticPr fontId="3" type="noConversion"/>
  </si>
  <si>
    <t>6MZT128</t>
    <phoneticPr fontId="3" type="noConversion"/>
  </si>
  <si>
    <t>26-2043</t>
    <phoneticPr fontId="3" type="noConversion"/>
  </si>
  <si>
    <t>신성-삼평동</t>
    <phoneticPr fontId="3" type="noConversion"/>
  </si>
  <si>
    <t>26-1316</t>
    <phoneticPr fontId="3" type="noConversion"/>
  </si>
  <si>
    <t>계룡-증산도</t>
    <phoneticPr fontId="3" type="noConversion"/>
  </si>
  <si>
    <t>26-1997</t>
    <phoneticPr fontId="3" type="noConversion"/>
  </si>
  <si>
    <t>광희-교통태</t>
    <phoneticPr fontId="3" type="noConversion"/>
  </si>
  <si>
    <t>야간</t>
    <phoneticPr fontId="3" type="noConversion"/>
  </si>
  <si>
    <t>야간</t>
    <phoneticPr fontId="3" type="noConversion"/>
  </si>
  <si>
    <t>26-2001</t>
    <phoneticPr fontId="3" type="noConversion"/>
  </si>
  <si>
    <t>활림-불무</t>
    <phoneticPr fontId="3" type="noConversion"/>
  </si>
  <si>
    <t>10투명강화</t>
    <phoneticPr fontId="3" type="noConversion"/>
  </si>
  <si>
    <t>10CL</t>
    <phoneticPr fontId="3" type="noConversion"/>
  </si>
  <si>
    <t>26-2064</t>
    <phoneticPr fontId="3" type="noConversion"/>
  </si>
  <si>
    <t>보미-청주대</t>
    <phoneticPr fontId="3" type="noConversion"/>
  </si>
  <si>
    <t>12투명강화</t>
    <phoneticPr fontId="3" type="noConversion"/>
  </si>
  <si>
    <t>12CL</t>
    <phoneticPr fontId="3" type="noConversion"/>
  </si>
  <si>
    <t>26-2000</t>
    <phoneticPr fontId="3" type="noConversion"/>
  </si>
  <si>
    <t>26-1999</t>
    <phoneticPr fontId="3" type="noConversion"/>
  </si>
  <si>
    <t>6SKG149TH/S+6CL</t>
    <phoneticPr fontId="3" type="noConversion"/>
  </si>
  <si>
    <t>5MZT152+5CLH/S</t>
    <phoneticPr fontId="3" type="noConversion"/>
  </si>
  <si>
    <t xml:space="preserve"> 로이재단 - 26-1317,1316 같이재단 - 강화불량</t>
    <phoneticPr fontId="3" type="noConversion"/>
  </si>
  <si>
    <t>5SKN154IIH/S+5CL</t>
    <phoneticPr fontId="3" type="noConversion"/>
  </si>
  <si>
    <t>5DURA MAX(비강화용)</t>
    <phoneticPr fontId="3" type="noConversion"/>
  </si>
  <si>
    <t>로이재단</t>
    <phoneticPr fontId="3" type="noConversion"/>
  </si>
  <si>
    <t>5CL</t>
    <phoneticPr fontId="3" type="noConversion"/>
  </si>
  <si>
    <t>투명재단 - 28~34번 재단</t>
    <phoneticPr fontId="3" type="noConversion"/>
  </si>
  <si>
    <t>로이재단 - 장기 보관으로 인한 손상 - 26-1733,1651 같이재단</t>
    <phoneticPr fontId="3" type="noConversion"/>
  </si>
  <si>
    <t>로이재단 - 강화불량 - 26-1733, 1651 같이재단</t>
    <phoneticPr fontId="3" type="noConversion"/>
  </si>
  <si>
    <t>투명재단</t>
    <phoneticPr fontId="3" type="noConversion"/>
  </si>
  <si>
    <t>26-1919</t>
    <phoneticPr fontId="3" type="noConversion"/>
  </si>
  <si>
    <t>로이재단 - 5ONEII -&gt; 5마스터원으로 재단</t>
    <phoneticPr fontId="3" type="noConversion"/>
  </si>
  <si>
    <t>5마스터원</t>
    <phoneticPr fontId="3" type="noConversion"/>
  </si>
  <si>
    <t>26-1920</t>
    <phoneticPr fontId="3" type="noConversion"/>
  </si>
  <si>
    <t>26-2114</t>
    <phoneticPr fontId="3" type="noConversion"/>
  </si>
  <si>
    <t>현산-신월</t>
    <phoneticPr fontId="3" type="noConversion"/>
  </si>
  <si>
    <t>5투명강화</t>
    <phoneticPr fontId="3" type="noConversion"/>
  </si>
  <si>
    <t>5CL</t>
    <phoneticPr fontId="3" type="noConversion"/>
  </si>
  <si>
    <t>26-2052</t>
    <phoneticPr fontId="3" type="noConversion"/>
  </si>
  <si>
    <t>7~10, 12~13, 15~22번 재단</t>
    <phoneticPr fontId="3" type="noConversion"/>
  </si>
  <si>
    <t>24~44번 재단</t>
    <phoneticPr fontId="3" type="noConversion"/>
  </si>
  <si>
    <t>야간</t>
    <phoneticPr fontId="3" type="noConversion"/>
  </si>
  <si>
    <t>26-1994</t>
    <phoneticPr fontId="3" type="noConversion"/>
  </si>
  <si>
    <t>우미-울산</t>
    <phoneticPr fontId="3" type="noConversion"/>
  </si>
  <si>
    <t>6newGN+6로이</t>
    <phoneticPr fontId="3" type="noConversion"/>
  </si>
  <si>
    <t>6NX</t>
    <phoneticPr fontId="3" type="noConversion"/>
  </si>
  <si>
    <t>6DURA MAX</t>
    <phoneticPr fontId="3" type="noConversion"/>
  </si>
  <si>
    <t>투명재단</t>
    <phoneticPr fontId="3" type="noConversion"/>
  </si>
  <si>
    <t>26-2125</t>
    <phoneticPr fontId="3" type="noConversion"/>
  </si>
  <si>
    <t>남영유리</t>
    <phoneticPr fontId="3" type="noConversion"/>
  </si>
  <si>
    <t>5SKN154+5CL</t>
    <phoneticPr fontId="3" type="noConversion"/>
  </si>
  <si>
    <t>오도시</t>
    <phoneticPr fontId="3" type="noConversion"/>
  </si>
  <si>
    <t>26-1860</t>
    <phoneticPr fontId="3" type="noConversion"/>
  </si>
  <si>
    <t>극동-성남</t>
    <phoneticPr fontId="3" type="noConversion"/>
  </si>
  <si>
    <t>5newGN+5로이</t>
    <phoneticPr fontId="3" type="noConversion"/>
  </si>
  <si>
    <t>5NX</t>
    <phoneticPr fontId="3" type="noConversion"/>
  </si>
  <si>
    <t>그린재단</t>
    <phoneticPr fontId="3" type="noConversion"/>
  </si>
  <si>
    <t>5CL+5로이</t>
    <phoneticPr fontId="3" type="noConversion"/>
  </si>
  <si>
    <t>5CL</t>
    <phoneticPr fontId="3" type="noConversion"/>
  </si>
  <si>
    <t>투명재단</t>
    <phoneticPr fontId="3" type="noConversion"/>
  </si>
  <si>
    <t>로이재단 - 8번 재단</t>
    <phoneticPr fontId="3" type="noConversion"/>
  </si>
  <si>
    <t>26-2141</t>
    <phoneticPr fontId="3" type="noConversion"/>
  </si>
  <si>
    <t>한우창호</t>
    <phoneticPr fontId="3" type="noConversion"/>
  </si>
  <si>
    <t>5SKN176IIH/S+5CLH/S+5ONEIIH/S</t>
    <phoneticPr fontId="3" type="noConversion"/>
  </si>
  <si>
    <t>5SKN176II+5CL+5ONEII</t>
    <phoneticPr fontId="3" type="noConversion"/>
  </si>
  <si>
    <t>오도시</t>
    <phoneticPr fontId="3" type="noConversion"/>
  </si>
  <si>
    <t>26-1896</t>
    <phoneticPr fontId="3" type="noConversion"/>
  </si>
  <si>
    <t>제일-장성지구</t>
    <phoneticPr fontId="3" type="noConversion"/>
  </si>
  <si>
    <t>5newGNH/S+5로이H/S</t>
    <phoneticPr fontId="3" type="noConversion"/>
  </si>
  <si>
    <t>26-1897</t>
    <phoneticPr fontId="3" type="noConversion"/>
  </si>
  <si>
    <t>26-1898</t>
    <phoneticPr fontId="3" type="noConversion"/>
  </si>
  <si>
    <t>26-1899</t>
    <phoneticPr fontId="3" type="noConversion"/>
  </si>
  <si>
    <t>26-1900</t>
    <phoneticPr fontId="3" type="noConversion"/>
  </si>
  <si>
    <t>26-1901</t>
    <phoneticPr fontId="3" type="noConversion"/>
  </si>
  <si>
    <t>26-1902</t>
    <phoneticPr fontId="3" type="noConversion"/>
  </si>
  <si>
    <t>26-1896, 1897, 1898, 1899, 1900, 1901, 1902 같이재단</t>
    <phoneticPr fontId="3" type="noConversion"/>
  </si>
  <si>
    <t>5DURA MAX</t>
    <phoneticPr fontId="3" type="noConversion"/>
  </si>
  <si>
    <t>5DURA MAX(비강화용)</t>
    <phoneticPr fontId="3" type="noConversion"/>
  </si>
  <si>
    <t>그린재단 - 8~9번</t>
    <phoneticPr fontId="3" type="noConversion"/>
  </si>
  <si>
    <t>로이재단 - 2~7번,9~10번재단 - 정석개발 원판 사용</t>
    <phoneticPr fontId="3" type="noConversion"/>
  </si>
  <si>
    <t>26-1860</t>
    <phoneticPr fontId="3" type="noConversion"/>
  </si>
  <si>
    <t>26-1861</t>
    <phoneticPr fontId="3" type="noConversion"/>
  </si>
  <si>
    <t>6newGN+6로이</t>
    <phoneticPr fontId="3" type="noConversion"/>
  </si>
  <si>
    <t>로이재단 - 7번, 9~12번 재단</t>
    <phoneticPr fontId="3" type="noConversion"/>
  </si>
  <si>
    <t>로이재단</t>
    <phoneticPr fontId="3" type="noConversion"/>
  </si>
  <si>
    <t>6NX</t>
    <phoneticPr fontId="3" type="noConversion"/>
  </si>
  <si>
    <t>6DURA MAX</t>
    <phoneticPr fontId="3" type="noConversion"/>
  </si>
  <si>
    <t>26-1860, 1861 같이재단</t>
    <phoneticPr fontId="3" type="noConversion"/>
  </si>
  <si>
    <t>26-1748</t>
    <phoneticPr fontId="3" type="noConversion"/>
  </si>
  <si>
    <t>엘엑스-지북</t>
    <phoneticPr fontId="3" type="noConversion"/>
  </si>
  <si>
    <t>5CL+5로이</t>
    <phoneticPr fontId="3" type="noConversion"/>
  </si>
  <si>
    <t>5CL</t>
    <phoneticPr fontId="3" type="noConversion"/>
  </si>
  <si>
    <t>투명재단 - 원판 기포</t>
    <phoneticPr fontId="3" type="noConversion"/>
  </si>
  <si>
    <t>26-1747</t>
    <phoneticPr fontId="3" type="noConversion"/>
  </si>
  <si>
    <t>5newGNH/S+5로이H/S</t>
    <phoneticPr fontId="3" type="noConversion"/>
  </si>
  <si>
    <t>5newGNH/S+5로이</t>
    <phoneticPr fontId="3" type="noConversion"/>
  </si>
  <si>
    <t>5SUPERPLUS2.0</t>
    <phoneticPr fontId="3" type="noConversion"/>
  </si>
  <si>
    <t>로이재단 - 강화기스</t>
    <phoneticPr fontId="3" type="noConversion"/>
  </si>
  <si>
    <t>로이재단 - 기스</t>
    <phoneticPr fontId="3" type="noConversion"/>
  </si>
  <si>
    <t>45~69번 재단</t>
    <phoneticPr fontId="3" type="noConversion"/>
  </si>
  <si>
    <t>야간</t>
    <phoneticPr fontId="3" type="noConversion"/>
  </si>
  <si>
    <t>26-2143</t>
    <phoneticPr fontId="3" type="noConversion"/>
  </si>
  <si>
    <t>현산-신월</t>
    <phoneticPr fontId="3" type="noConversion"/>
  </si>
  <si>
    <t>5ONE+5ONE</t>
    <phoneticPr fontId="3" type="noConversion"/>
  </si>
  <si>
    <t>오도시</t>
    <phoneticPr fontId="3" type="noConversion"/>
  </si>
  <si>
    <t>26-2142</t>
    <phoneticPr fontId="3" type="noConversion"/>
  </si>
  <si>
    <t>신동아-건강보험</t>
    <phoneticPr fontId="3" type="noConversion"/>
  </si>
  <si>
    <t>6MZT128H/S+6CLH/S스텝</t>
    <phoneticPr fontId="3" type="noConversion"/>
  </si>
  <si>
    <t>6MZT128H/S+6CL</t>
    <phoneticPr fontId="3" type="noConversion"/>
  </si>
  <si>
    <t>6MZT128H/S+6CLH/S</t>
    <phoneticPr fontId="3" type="noConversion"/>
  </si>
  <si>
    <t>6MZT128</t>
    <phoneticPr fontId="3" type="noConversion"/>
  </si>
  <si>
    <t>6CL</t>
    <phoneticPr fontId="3" type="noConversion"/>
  </si>
  <si>
    <t>26-1853</t>
    <phoneticPr fontId="3" type="noConversion"/>
  </si>
  <si>
    <t>계룡-증산도</t>
    <phoneticPr fontId="3" type="noConversion"/>
  </si>
  <si>
    <t>6SKG149TH/S+6CL</t>
    <phoneticPr fontId="3" type="noConversion"/>
  </si>
  <si>
    <t>6SKG149TH/S+6CLH/S</t>
    <phoneticPr fontId="3" type="noConversion"/>
  </si>
  <si>
    <t>6SKG149T</t>
    <phoneticPr fontId="3" type="noConversion"/>
  </si>
  <si>
    <t>로이재단 - 마감파손 - 26-1853,1854 같이재단</t>
    <phoneticPr fontId="3" type="noConversion"/>
  </si>
  <si>
    <t>로이재단 - 강화불량 - 26-1853,1854 같이재단</t>
    <phoneticPr fontId="3" type="noConversion"/>
  </si>
  <si>
    <t>26-1854</t>
    <phoneticPr fontId="3" type="noConversion"/>
  </si>
  <si>
    <t>투명재단 - 마감파손2조, 강화기스 1조  - 26-1853,1854 같이재단</t>
    <phoneticPr fontId="3" type="noConversion"/>
  </si>
  <si>
    <t>투명재단 - 원판기포 1조, 강화기스 3조 - 26-1853,1854 같이재단</t>
    <phoneticPr fontId="3" type="noConversion"/>
  </si>
  <si>
    <t>투명재단 - 강화불량 - 26-1853,1854 같이재단</t>
    <phoneticPr fontId="3" type="noConversion"/>
  </si>
  <si>
    <t>26-1897</t>
    <phoneticPr fontId="3" type="noConversion"/>
  </si>
  <si>
    <t>제일-장성지구</t>
    <phoneticPr fontId="3" type="noConversion"/>
  </si>
  <si>
    <t>5newGN+5로이</t>
    <phoneticPr fontId="3" type="noConversion"/>
  </si>
  <si>
    <t>5NX</t>
    <phoneticPr fontId="3" type="noConversion"/>
  </si>
  <si>
    <t>5DURA MAX(비강화용)</t>
    <phoneticPr fontId="3" type="noConversion"/>
  </si>
  <si>
    <t>26-1475</t>
    <phoneticPr fontId="3" type="noConversion"/>
  </si>
  <si>
    <t>케이씨씨-오송</t>
    <phoneticPr fontId="3" type="noConversion"/>
  </si>
  <si>
    <t>5CL+5CL에칭</t>
    <phoneticPr fontId="3" type="noConversion"/>
  </si>
  <si>
    <t>26-1746</t>
    <phoneticPr fontId="3" type="noConversion"/>
  </si>
  <si>
    <t>일면투명재단 - 원판 기스 - 26-1475, 1746 같이재단</t>
    <phoneticPr fontId="3" type="noConversion"/>
  </si>
  <si>
    <t>26-1896</t>
    <phoneticPr fontId="3" type="noConversion"/>
  </si>
  <si>
    <t>26-2145</t>
    <phoneticPr fontId="3" type="noConversion"/>
  </si>
  <si>
    <t>제일-의왕</t>
    <phoneticPr fontId="3" type="noConversion"/>
  </si>
  <si>
    <t>5newGN+5로이</t>
    <phoneticPr fontId="3" type="noConversion"/>
  </si>
  <si>
    <t>5CL</t>
    <phoneticPr fontId="3" type="noConversion"/>
  </si>
  <si>
    <t>5NX</t>
    <phoneticPr fontId="3" type="noConversion"/>
  </si>
  <si>
    <t>5CL+5로이</t>
    <phoneticPr fontId="3" type="noConversion"/>
  </si>
  <si>
    <t>26-2148</t>
    <phoneticPr fontId="3" type="noConversion"/>
  </si>
  <si>
    <t>태영-부산</t>
    <phoneticPr fontId="3" type="noConversion"/>
  </si>
  <si>
    <t>투명재단 - 1~9번 재단</t>
    <phoneticPr fontId="3" type="noConversion"/>
  </si>
  <si>
    <t>5DURA MAX(비강화용)</t>
    <phoneticPr fontId="3" type="noConversion"/>
  </si>
  <si>
    <t>로이재단 - 1~5번 재단</t>
    <phoneticPr fontId="3" type="noConversion"/>
  </si>
  <si>
    <t>26-2108</t>
    <phoneticPr fontId="3" type="noConversion"/>
  </si>
  <si>
    <t>활림-불무</t>
    <phoneticPr fontId="3" type="noConversion"/>
  </si>
  <si>
    <t>5SKN154+5CL</t>
    <phoneticPr fontId="3" type="noConversion"/>
  </si>
  <si>
    <t>5SKN154</t>
    <phoneticPr fontId="3" type="noConversion"/>
  </si>
  <si>
    <t>26-2109</t>
    <phoneticPr fontId="3" type="noConversion"/>
  </si>
  <si>
    <t>로이재단</t>
    <phoneticPr fontId="3" type="noConversion"/>
  </si>
  <si>
    <t>26-1825</t>
    <phoneticPr fontId="3" type="noConversion"/>
  </si>
  <si>
    <t>한라-파주</t>
    <phoneticPr fontId="3" type="noConversion"/>
  </si>
  <si>
    <t>5CLH/S+5로이</t>
    <phoneticPr fontId="3" type="noConversion"/>
  </si>
  <si>
    <t>5CL</t>
    <phoneticPr fontId="3" type="noConversion"/>
  </si>
  <si>
    <t>투명재단</t>
    <phoneticPr fontId="3" type="noConversion"/>
  </si>
  <si>
    <t>26-1823</t>
    <phoneticPr fontId="3" type="noConversion"/>
  </si>
  <si>
    <t>26-1824</t>
    <phoneticPr fontId="3" type="noConversion"/>
  </si>
  <si>
    <t>26-1822</t>
    <phoneticPr fontId="3" type="noConversion"/>
  </si>
  <si>
    <t>로이재단 - 6~9번 재단</t>
    <phoneticPr fontId="3" type="noConversion"/>
  </si>
  <si>
    <t>26-1861</t>
    <phoneticPr fontId="3" type="noConversion"/>
  </si>
  <si>
    <t>극동-성남</t>
    <phoneticPr fontId="3" type="noConversion"/>
  </si>
  <si>
    <t>5newGN+5로이</t>
    <phoneticPr fontId="3" type="noConversion"/>
  </si>
  <si>
    <t>5NX</t>
    <phoneticPr fontId="3" type="noConversion"/>
  </si>
  <si>
    <t>그린재단 - 1~2번 재단</t>
    <phoneticPr fontId="3" type="noConversion"/>
  </si>
  <si>
    <t>26-2120</t>
    <phoneticPr fontId="3" type="noConversion"/>
  </si>
  <si>
    <t>활림-불무</t>
    <phoneticPr fontId="3" type="noConversion"/>
  </si>
  <si>
    <t>5SKN154+5CL</t>
    <phoneticPr fontId="3" type="noConversion"/>
  </si>
  <si>
    <t>5SKN154</t>
    <phoneticPr fontId="3" type="noConversion"/>
  </si>
  <si>
    <t>26-2112</t>
    <phoneticPr fontId="3" type="noConversion"/>
  </si>
  <si>
    <t>26-2113</t>
    <phoneticPr fontId="3" type="noConversion"/>
  </si>
  <si>
    <t>6SKN154+6CL</t>
    <phoneticPr fontId="3" type="noConversion"/>
  </si>
  <si>
    <t>26-2112, 2113 같이재단</t>
    <phoneticPr fontId="3" type="noConversion"/>
  </si>
  <si>
    <t>6SKN154</t>
    <phoneticPr fontId="3" type="noConversion"/>
  </si>
  <si>
    <t>6CL</t>
    <phoneticPr fontId="3" type="noConversion"/>
  </si>
  <si>
    <t>26-2111</t>
    <phoneticPr fontId="3" type="noConversion"/>
  </si>
  <si>
    <t>26-2110</t>
    <phoneticPr fontId="3" type="noConversion"/>
  </si>
  <si>
    <t>26-1993</t>
    <phoneticPr fontId="3" type="noConversion"/>
  </si>
  <si>
    <t>현대-원자력</t>
    <phoneticPr fontId="3" type="noConversion"/>
  </si>
  <si>
    <t>6MCT154H/S+6CLH/S</t>
    <phoneticPr fontId="3" type="noConversion"/>
  </si>
  <si>
    <t>투명재단-오도시-강화 기스</t>
    <phoneticPr fontId="3" type="noConversion"/>
  </si>
  <si>
    <t>26-2139</t>
    <phoneticPr fontId="3" type="noConversion"/>
  </si>
  <si>
    <t>26-2153</t>
    <phoneticPr fontId="3" type="noConversion"/>
  </si>
  <si>
    <t>26-1763</t>
    <phoneticPr fontId="3" type="noConversion"/>
  </si>
  <si>
    <t>26-1764</t>
    <phoneticPr fontId="3" type="noConversion"/>
  </si>
  <si>
    <t>투명재단 - 26-1763, 1764 같이재단 - 대진원판사용</t>
    <phoneticPr fontId="3" type="noConversion"/>
  </si>
  <si>
    <t>그린재단 - 3~6번 재단</t>
    <phoneticPr fontId="3" type="noConversion"/>
  </si>
  <si>
    <t>26-2164</t>
    <phoneticPr fontId="3" type="noConversion"/>
  </si>
  <si>
    <t>흠화-핸정중심복합도시</t>
    <phoneticPr fontId="3" type="noConversion"/>
  </si>
  <si>
    <t>5U.GREY+5로이</t>
    <phoneticPr fontId="3" type="noConversion"/>
  </si>
  <si>
    <t>5C.GREY+5로이</t>
    <phoneticPr fontId="3" type="noConversion"/>
  </si>
  <si>
    <t>26-2150</t>
    <phoneticPr fontId="3" type="noConversion"/>
  </si>
  <si>
    <t>26-2144</t>
    <phoneticPr fontId="3" type="noConversion"/>
  </si>
  <si>
    <t>26-2151</t>
    <phoneticPr fontId="3" type="noConversion"/>
  </si>
  <si>
    <t>26-2144, 2151 같이재단</t>
    <phoneticPr fontId="3" type="noConversion"/>
  </si>
  <si>
    <t>26-2149</t>
    <phoneticPr fontId="3" type="noConversion"/>
  </si>
  <si>
    <t>26-2155</t>
    <phoneticPr fontId="3" type="noConversion"/>
  </si>
  <si>
    <t>26-2154</t>
    <phoneticPr fontId="3" type="noConversion"/>
  </si>
  <si>
    <t>26-2156</t>
    <phoneticPr fontId="3" type="noConversion"/>
  </si>
  <si>
    <t>26-2157</t>
    <phoneticPr fontId="3" type="noConversion"/>
  </si>
  <si>
    <t>26-2158</t>
    <phoneticPr fontId="3" type="noConversion"/>
  </si>
  <si>
    <t>대원-흥덕</t>
    <phoneticPr fontId="3" type="noConversion"/>
  </si>
  <si>
    <t>5CL+5로이</t>
    <phoneticPr fontId="3" type="noConversion"/>
  </si>
  <si>
    <t>5CL</t>
    <phoneticPr fontId="3" type="noConversion"/>
  </si>
  <si>
    <t>5마스터원</t>
    <phoneticPr fontId="3" type="noConversion"/>
  </si>
  <si>
    <t>26-1763</t>
    <phoneticPr fontId="3" type="noConversion"/>
  </si>
  <si>
    <t>대진-대우</t>
    <phoneticPr fontId="3" type="noConversion"/>
  </si>
  <si>
    <t>10.76투명접합+6로이</t>
    <phoneticPr fontId="3" type="noConversion"/>
  </si>
  <si>
    <t>6CL+6로이</t>
    <phoneticPr fontId="3" type="noConversion"/>
  </si>
  <si>
    <t>대진 원판 사용</t>
    <phoneticPr fontId="3" type="noConversion"/>
  </si>
  <si>
    <t>로이재단 - 대진 원판 사용</t>
    <phoneticPr fontId="3" type="noConversion"/>
  </si>
  <si>
    <t>26-1765</t>
    <phoneticPr fontId="3" type="noConversion"/>
  </si>
  <si>
    <t>6CL</t>
    <phoneticPr fontId="3" type="noConversion"/>
  </si>
  <si>
    <t>투명재단 - 대진 원판 사용</t>
    <phoneticPr fontId="3" type="noConversion"/>
  </si>
  <si>
    <t>투명재단 - 9~10번재단 - 대진 원판 사용</t>
    <phoneticPr fontId="3" type="noConversion"/>
  </si>
  <si>
    <t>26-2052</t>
    <phoneticPr fontId="3" type="noConversion"/>
  </si>
  <si>
    <t>우신-한양대</t>
    <phoneticPr fontId="3" type="noConversion"/>
  </si>
  <si>
    <t>1번, 5번 재단</t>
    <phoneticPr fontId="3" type="noConversion"/>
  </si>
  <si>
    <t>26-2159</t>
    <phoneticPr fontId="3" type="noConversion"/>
  </si>
  <si>
    <t>디엘-탕정</t>
    <phoneticPr fontId="3" type="noConversion"/>
  </si>
  <si>
    <t>5SKN154</t>
    <phoneticPr fontId="3" type="noConversion"/>
  </si>
  <si>
    <t>5SKN154+5CL</t>
    <phoneticPr fontId="3" type="noConversion"/>
  </si>
  <si>
    <t>투명 오도시</t>
    <phoneticPr fontId="3" type="noConversion"/>
  </si>
  <si>
    <t>26-2149</t>
    <phoneticPr fontId="3" type="noConversion"/>
  </si>
  <si>
    <t>5PLAONE</t>
    <phoneticPr fontId="3" type="noConversion"/>
  </si>
  <si>
    <t>26-2156</t>
    <phoneticPr fontId="3" type="noConversion"/>
  </si>
  <si>
    <t>씨타-춘천</t>
    <phoneticPr fontId="3" type="noConversion"/>
  </si>
  <si>
    <t>5MZT152H/S+5CL</t>
    <phoneticPr fontId="3" type="noConversion"/>
  </si>
  <si>
    <t>투명재단</t>
    <phoneticPr fontId="3" type="noConversion"/>
  </si>
  <si>
    <t>26-2160</t>
    <phoneticPr fontId="3" type="noConversion"/>
  </si>
  <si>
    <t>26-2161</t>
    <phoneticPr fontId="3" type="noConversion"/>
  </si>
  <si>
    <t>26-2162</t>
    <phoneticPr fontId="3" type="noConversion"/>
  </si>
  <si>
    <t>5newGNH/S+5ONE</t>
    <phoneticPr fontId="3" type="noConversion"/>
  </si>
  <si>
    <t>5NX</t>
    <phoneticPr fontId="3" type="noConversion"/>
  </si>
  <si>
    <t>그린재단 - 26-2160, 2161, 2162 같이재단</t>
    <phoneticPr fontId="3" type="noConversion"/>
  </si>
  <si>
    <t>26-1749</t>
    <phoneticPr fontId="3" type="noConversion"/>
  </si>
  <si>
    <t>엘엑스-지북</t>
    <phoneticPr fontId="3" type="noConversion"/>
  </si>
  <si>
    <t>5newGNH/S+5로이H/S</t>
    <phoneticPr fontId="3" type="noConversion"/>
  </si>
  <si>
    <t>5newGNH/S+5로이</t>
    <phoneticPr fontId="3" type="noConversion"/>
  </si>
  <si>
    <t>로이재단 - 강화불량</t>
    <phoneticPr fontId="3" type="noConversion"/>
  </si>
  <si>
    <t>로이재단 - 재단불량</t>
    <phoneticPr fontId="3" type="noConversion"/>
  </si>
  <si>
    <t>5SUPERPLUS2.0</t>
    <phoneticPr fontId="3" type="noConversion"/>
  </si>
  <si>
    <t>5NX</t>
    <phoneticPr fontId="3" type="noConversion"/>
  </si>
  <si>
    <t>그린재단 - 강화불량</t>
    <phoneticPr fontId="3" type="noConversion"/>
  </si>
  <si>
    <t>26-1475</t>
    <phoneticPr fontId="3" type="noConversion"/>
  </si>
  <si>
    <t>케이씨씨-오송</t>
    <phoneticPr fontId="3" type="noConversion"/>
  </si>
  <si>
    <t>5CL+5CL에칭</t>
    <phoneticPr fontId="3" type="noConversion"/>
  </si>
  <si>
    <t>일면투명재단 - 오도시 - 원판불량</t>
    <phoneticPr fontId="3" type="noConversion"/>
  </si>
  <si>
    <t>26-1477</t>
    <phoneticPr fontId="3" type="noConversion"/>
  </si>
  <si>
    <t>태영-부산</t>
    <phoneticPr fontId="3" type="noConversion"/>
  </si>
  <si>
    <t>(4CL+4CL)+5로이</t>
    <phoneticPr fontId="3" type="noConversion"/>
  </si>
  <si>
    <t>오도시-생산불량</t>
    <phoneticPr fontId="3" type="noConversion"/>
  </si>
  <si>
    <t>4번, 6번 재단</t>
    <phoneticPr fontId="3" type="noConversion"/>
  </si>
  <si>
    <t>26-1776</t>
    <phoneticPr fontId="3" type="noConversion"/>
  </si>
  <si>
    <t>26-1767</t>
    <phoneticPr fontId="3" type="noConversion"/>
  </si>
  <si>
    <t>6CL</t>
    <phoneticPr fontId="3" type="noConversion"/>
  </si>
  <si>
    <t>투명재단 - 26-1765, 1766, 1767같이재단- 6~8번재단 - 대진 원판 사용</t>
    <phoneticPr fontId="3" type="noConversion"/>
  </si>
  <si>
    <t>26-1765, 1766, 1767같이재단 - 대진 원판 사용</t>
    <phoneticPr fontId="3" type="noConversion"/>
  </si>
  <si>
    <t>야간</t>
    <phoneticPr fontId="3" type="noConversion"/>
  </si>
  <si>
    <t>26-2103</t>
    <phoneticPr fontId="3" type="noConversion"/>
  </si>
  <si>
    <t>제일-인천</t>
    <phoneticPr fontId="3" type="noConversion"/>
  </si>
  <si>
    <t>6CL+6로이</t>
    <phoneticPr fontId="3" type="noConversion"/>
  </si>
  <si>
    <t>6DURA MAX</t>
    <phoneticPr fontId="3" type="noConversion"/>
  </si>
  <si>
    <t>26-1919</t>
    <phoneticPr fontId="3" type="noConversion"/>
  </si>
  <si>
    <t>경동-부산대</t>
    <phoneticPr fontId="3" type="noConversion"/>
  </si>
  <si>
    <t>5ONEIIH/S+5CL</t>
    <phoneticPr fontId="3" type="noConversion"/>
  </si>
  <si>
    <t>로이재단 - 강화불량 - 오도시</t>
    <phoneticPr fontId="3" type="noConversion"/>
  </si>
  <si>
    <t>투명재단 - 기포 - 오도시</t>
    <phoneticPr fontId="3" type="noConversion"/>
  </si>
  <si>
    <t>26-2093</t>
    <phoneticPr fontId="3" type="noConversion"/>
  </si>
  <si>
    <t>디엘-내포</t>
    <phoneticPr fontId="3" type="noConversion"/>
  </si>
  <si>
    <t>6SKN154+6CL</t>
    <phoneticPr fontId="3" type="noConversion"/>
  </si>
  <si>
    <t>5SKN154IIH/S+5CL</t>
    <phoneticPr fontId="3" type="noConversion"/>
  </si>
  <si>
    <t>6SKN154</t>
    <phoneticPr fontId="3" type="noConversion"/>
  </si>
  <si>
    <t>5SKN154II</t>
    <phoneticPr fontId="3" type="noConversion"/>
  </si>
  <si>
    <t>5CL</t>
    <phoneticPr fontId="3" type="noConversion"/>
  </si>
  <si>
    <t>26-2148</t>
    <phoneticPr fontId="3" type="noConversion"/>
  </si>
  <si>
    <t>6CL+6ONE</t>
    <phoneticPr fontId="3" type="noConversion"/>
  </si>
  <si>
    <t>6PLAONE</t>
    <phoneticPr fontId="3" type="noConversion"/>
  </si>
  <si>
    <t>5CL+5로이</t>
    <phoneticPr fontId="3" type="noConversion"/>
  </si>
  <si>
    <t>5DURA MAX(비강화용)</t>
    <phoneticPr fontId="3" type="noConversion"/>
  </si>
  <si>
    <t>10~12번 재단</t>
    <phoneticPr fontId="3" type="noConversion"/>
  </si>
  <si>
    <t>로이재단 - 26-2160, 2161, 2162 같이재단</t>
    <phoneticPr fontId="3" type="noConversion"/>
  </si>
  <si>
    <t>5PLAONE</t>
    <phoneticPr fontId="3" type="noConversion"/>
  </si>
  <si>
    <t>5PLAONEII</t>
    <phoneticPr fontId="3" type="noConversion"/>
  </si>
  <si>
    <t>26-2104</t>
    <phoneticPr fontId="3" type="noConversion"/>
  </si>
  <si>
    <t>26-2105</t>
    <phoneticPr fontId="3" type="noConversion"/>
  </si>
  <si>
    <t>26-2106</t>
    <phoneticPr fontId="3" type="noConversion"/>
  </si>
  <si>
    <t>26-2046</t>
    <phoneticPr fontId="3" type="noConversion"/>
  </si>
  <si>
    <t>서해-태화강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</si>
  <si>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</si>
  <si>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</si>
  <si>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</si>
  <si>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5CL</t>
    <phoneticPr fontId="3" type="noConversion"/>
  </si>
  <si>
    <t>26-2047</t>
    <phoneticPr fontId="3" type="noConversion"/>
  </si>
  <si>
    <t>26-1765</t>
    <phoneticPr fontId="3" type="noConversion"/>
  </si>
  <si>
    <t>대진-대우</t>
    <phoneticPr fontId="3" type="noConversion"/>
  </si>
  <si>
    <t>10.76투명접합+6로이</t>
    <phoneticPr fontId="3" type="noConversion"/>
  </si>
  <si>
    <t>6CL+6로이</t>
    <phoneticPr fontId="3" type="noConversion"/>
  </si>
  <si>
    <t>6마스터원</t>
    <phoneticPr fontId="3" type="noConversion"/>
  </si>
  <si>
    <t>로이재단 - 대진원판사용</t>
    <phoneticPr fontId="3" type="noConversion"/>
  </si>
  <si>
    <t>대진원판사용</t>
    <phoneticPr fontId="3" type="noConversion"/>
  </si>
  <si>
    <t>26-2045</t>
    <phoneticPr fontId="3" type="noConversion"/>
  </si>
  <si>
    <t>로이재단</t>
    <phoneticPr fontId="3" type="noConversion"/>
  </si>
  <si>
    <t>26-2044</t>
    <phoneticPr fontId="3" type="noConversion"/>
  </si>
  <si>
    <t>26-2117</t>
    <phoneticPr fontId="3" type="noConversion"/>
  </si>
  <si>
    <t>제일-인천</t>
    <phoneticPr fontId="3" type="noConversion"/>
  </si>
  <si>
    <t>6CL</t>
    <phoneticPr fontId="3" type="noConversion"/>
  </si>
  <si>
    <t>26-2115</t>
    <phoneticPr fontId="3" type="noConversion"/>
  </si>
  <si>
    <t>26-2107</t>
    <phoneticPr fontId="3" type="noConversion"/>
  </si>
  <si>
    <t>26-1826</t>
    <phoneticPr fontId="3" type="noConversion"/>
  </si>
  <si>
    <t>한라-파주</t>
    <phoneticPr fontId="3" type="noConversion"/>
  </si>
  <si>
    <t>5CLH/S+5로이</t>
    <phoneticPr fontId="3" type="noConversion"/>
  </si>
  <si>
    <t>5CL</t>
    <phoneticPr fontId="3" type="noConversion"/>
  </si>
  <si>
    <t>투명재단</t>
    <phoneticPr fontId="3" type="noConversion"/>
  </si>
  <si>
    <t>26-1767</t>
    <phoneticPr fontId="3" type="noConversion"/>
  </si>
  <si>
    <t>대진-대우</t>
    <phoneticPr fontId="3" type="noConversion"/>
  </si>
  <si>
    <t>6CL+6CL</t>
    <phoneticPr fontId="3" type="noConversion"/>
  </si>
  <si>
    <t>6CL</t>
    <phoneticPr fontId="3" type="noConversion"/>
  </si>
  <si>
    <t>원판기포 - 대진원판 사용</t>
    <phoneticPr fontId="3" type="noConversion"/>
  </si>
  <si>
    <t>26-2183</t>
    <phoneticPr fontId="3" type="noConversion"/>
  </si>
  <si>
    <t>한라-월명공원</t>
    <phoneticPr fontId="3" type="noConversion"/>
  </si>
  <si>
    <t>5CL+5로이</t>
    <phoneticPr fontId="3" type="noConversion"/>
  </si>
  <si>
    <t>5마스터원</t>
    <phoneticPr fontId="3" type="noConversion"/>
  </si>
  <si>
    <t>26-2186</t>
    <phoneticPr fontId="3" type="noConversion"/>
  </si>
  <si>
    <t>현엔-화성기아</t>
    <phoneticPr fontId="3" type="noConversion"/>
  </si>
  <si>
    <t>5BL</t>
    <phoneticPr fontId="3" type="noConversion"/>
  </si>
  <si>
    <t>5BLH/S+5로이</t>
    <phoneticPr fontId="3" type="noConversion"/>
  </si>
  <si>
    <t>26-2185</t>
    <phoneticPr fontId="3" type="noConversion"/>
  </si>
  <si>
    <t>태진-충북교육도서관</t>
    <phoneticPr fontId="3" type="noConversion"/>
  </si>
  <si>
    <t>8투명강화</t>
    <phoneticPr fontId="3" type="noConversion"/>
  </si>
  <si>
    <t>오도시</t>
    <phoneticPr fontId="3" type="noConversion"/>
  </si>
  <si>
    <t>26-2146</t>
    <phoneticPr fontId="3" type="noConversion"/>
  </si>
  <si>
    <t>엘엑스-지북</t>
    <phoneticPr fontId="3" type="noConversion"/>
  </si>
  <si>
    <t>5newGNH/S+5로이</t>
    <phoneticPr fontId="3" type="noConversion"/>
  </si>
  <si>
    <t>5newGN+5로이</t>
    <phoneticPr fontId="3" type="noConversion"/>
  </si>
  <si>
    <t>5NX</t>
    <phoneticPr fontId="3" type="noConversion"/>
  </si>
  <si>
    <t>5SUPERPLUS2.0</t>
    <phoneticPr fontId="3" type="noConversion"/>
  </si>
  <si>
    <t>26-2165</t>
    <phoneticPr fontId="3" type="noConversion"/>
  </si>
  <si>
    <t>금성백조-이천</t>
    <phoneticPr fontId="3" type="noConversion"/>
  </si>
  <si>
    <t>5DURA MAX(비강화용)</t>
    <phoneticPr fontId="3" type="noConversion"/>
  </si>
  <si>
    <t>26-2146, 2165 같이재단</t>
    <phoneticPr fontId="3" type="noConversion"/>
  </si>
  <si>
    <t>26-1938</t>
    <phoneticPr fontId="3" type="noConversion"/>
  </si>
  <si>
    <t>한국유리-오송</t>
    <phoneticPr fontId="3" type="noConversion"/>
  </si>
  <si>
    <t>5CL+5PLTDURA+</t>
    <phoneticPr fontId="3" type="noConversion"/>
  </si>
  <si>
    <t>26-2181</t>
    <phoneticPr fontId="3" type="noConversion"/>
  </si>
  <si>
    <t>광희-교통대</t>
    <phoneticPr fontId="3" type="noConversion"/>
  </si>
  <si>
    <t>5MZT152+5CLH/S</t>
    <phoneticPr fontId="3" type="noConversion"/>
  </si>
  <si>
    <t>26-2044</t>
    <phoneticPr fontId="3" type="noConversion"/>
  </si>
  <si>
    <t>서해-태화강</t>
    <phoneticPr fontId="3" type="noConversion"/>
  </si>
  <si>
    <t>26-2045</t>
    <phoneticPr fontId="3" type="noConversion"/>
  </si>
  <si>
    <t>26-2048</t>
    <phoneticPr fontId="3" type="noConversion"/>
  </si>
  <si>
    <t>26-2049</t>
    <phoneticPr fontId="3" type="noConversion"/>
  </si>
  <si>
    <t>그린재단</t>
    <phoneticPr fontId="3" type="noConversion"/>
  </si>
  <si>
    <t>야간</t>
    <phoneticPr fontId="3" type="noConversion"/>
  </si>
  <si>
    <t>26-2095</t>
    <phoneticPr fontId="3" type="noConversion"/>
  </si>
  <si>
    <t>에스케이-용인</t>
    <phoneticPr fontId="3" type="noConversion"/>
  </si>
  <si>
    <t>6ECT173H/S+6CL</t>
    <phoneticPr fontId="3" type="noConversion"/>
  </si>
  <si>
    <t>6ECT173</t>
    <phoneticPr fontId="3" type="noConversion"/>
  </si>
  <si>
    <t>26-1423</t>
    <phoneticPr fontId="3" type="noConversion"/>
  </si>
  <si>
    <t>우미-울산</t>
    <phoneticPr fontId="3" type="noConversion"/>
  </si>
  <si>
    <t>5newGNH/S+5로이H/S</t>
    <phoneticPr fontId="3" type="noConversion"/>
  </si>
  <si>
    <t>5DURA MAX</t>
    <phoneticPr fontId="3" type="noConversion"/>
  </si>
  <si>
    <t>26-1930</t>
    <phoneticPr fontId="3" type="noConversion"/>
  </si>
  <si>
    <t>동성-태성</t>
    <phoneticPr fontId="3" type="noConversion"/>
  </si>
  <si>
    <t>5SKN154IIH/S+5CL</t>
    <phoneticPr fontId="3" type="noConversion"/>
  </si>
  <si>
    <t>5SKN154II</t>
    <phoneticPr fontId="3" type="noConversion"/>
  </si>
  <si>
    <t>26-2163</t>
    <phoneticPr fontId="3" type="noConversion"/>
  </si>
  <si>
    <t>26-1920</t>
    <phoneticPr fontId="3" type="noConversion"/>
  </si>
  <si>
    <t>경동-부산대</t>
    <phoneticPr fontId="3" type="noConversion"/>
  </si>
  <si>
    <t>5ONEIIH/S+5CL</t>
    <phoneticPr fontId="3" type="noConversion"/>
  </si>
  <si>
    <t>로이재단 - 오도시 - 강화불량 2장, 원판기포 1장</t>
    <phoneticPr fontId="3" type="noConversion"/>
  </si>
  <si>
    <t>26-1994</t>
    <phoneticPr fontId="3" type="noConversion"/>
  </si>
  <si>
    <t>6newGN+6로이</t>
    <phoneticPr fontId="3" type="noConversion"/>
  </si>
  <si>
    <t>로이재단 - 오도시 - 재단기스</t>
    <phoneticPr fontId="3" type="noConversion"/>
  </si>
  <si>
    <t>26-2116</t>
    <phoneticPr fontId="3" type="noConversion"/>
  </si>
  <si>
    <t>제일-인천</t>
    <phoneticPr fontId="3" type="noConversion"/>
  </si>
  <si>
    <t>26-2118</t>
    <phoneticPr fontId="3" type="noConversion"/>
  </si>
  <si>
    <t>6CL+6로이</t>
    <phoneticPr fontId="3" type="noConversion"/>
  </si>
  <si>
    <t>6DURA MAX</t>
    <phoneticPr fontId="3" type="noConversion"/>
  </si>
  <si>
    <t>26-2116, 2118 같이재단</t>
    <phoneticPr fontId="3" type="noConversion"/>
  </si>
  <si>
    <t>26-2176</t>
    <phoneticPr fontId="3" type="noConversion"/>
  </si>
  <si>
    <t>계룡-KT인재개발원</t>
    <phoneticPr fontId="3" type="noConversion"/>
  </si>
  <si>
    <t>5newGN+5ONE</t>
    <phoneticPr fontId="3" type="noConversion"/>
  </si>
  <si>
    <t>5ONE -&gt; 5DURA MAX로 재단</t>
    <phoneticPr fontId="3" type="noConversion"/>
  </si>
  <si>
    <t>26-2177</t>
    <phoneticPr fontId="3" type="noConversion"/>
  </si>
  <si>
    <t>26-1968</t>
    <phoneticPr fontId="3" type="noConversion"/>
  </si>
  <si>
    <t>일성-울산</t>
    <phoneticPr fontId="3" type="noConversion"/>
  </si>
  <si>
    <t>5newGN</t>
    <phoneticPr fontId="3" type="noConversion"/>
  </si>
  <si>
    <t>5NX</t>
    <phoneticPr fontId="3" type="noConversion"/>
  </si>
  <si>
    <t>7투명망입</t>
    <phoneticPr fontId="3" type="noConversion"/>
  </si>
  <si>
    <t>오도시</t>
    <phoneticPr fontId="3" type="noConversion"/>
  </si>
  <si>
    <t>26-1991</t>
    <phoneticPr fontId="3" type="noConversion"/>
  </si>
  <si>
    <t>5투명</t>
    <phoneticPr fontId="3" type="noConversion"/>
  </si>
  <si>
    <t>5CL</t>
    <phoneticPr fontId="3" type="noConversion"/>
  </si>
  <si>
    <t>26-1990</t>
    <phoneticPr fontId="3" type="noConversion"/>
  </si>
  <si>
    <t>26-1989</t>
    <phoneticPr fontId="3" type="noConversion"/>
  </si>
  <si>
    <t>26-1988</t>
    <phoneticPr fontId="3" type="noConversion"/>
  </si>
  <si>
    <t>26-1828</t>
    <phoneticPr fontId="3" type="noConversion"/>
  </si>
  <si>
    <t>한라-파주</t>
    <phoneticPr fontId="3" type="noConversion"/>
  </si>
  <si>
    <t>5CLH/S+5로이</t>
    <phoneticPr fontId="3" type="noConversion"/>
  </si>
  <si>
    <t>투명재단</t>
    <phoneticPr fontId="3" type="noConversion"/>
  </si>
  <si>
    <t>26-1827</t>
    <phoneticPr fontId="3" type="noConversion"/>
  </si>
  <si>
    <t>26-2178</t>
    <phoneticPr fontId="3" type="noConversion"/>
  </si>
  <si>
    <t>한화-매봉</t>
    <phoneticPr fontId="3" type="noConversion"/>
  </si>
  <si>
    <t>5CL+5로이</t>
    <phoneticPr fontId="3" type="noConversion"/>
  </si>
  <si>
    <t>(4CL+4CL)+5로이</t>
    <phoneticPr fontId="3" type="noConversion"/>
  </si>
  <si>
    <t>5CL+5CL</t>
    <phoneticPr fontId="3" type="noConversion"/>
  </si>
  <si>
    <t>5마스터원</t>
    <phoneticPr fontId="3" type="noConversion"/>
  </si>
  <si>
    <t>26-2181</t>
    <phoneticPr fontId="3" type="noConversion"/>
  </si>
  <si>
    <t>광희-교통대</t>
    <phoneticPr fontId="3" type="noConversion"/>
  </si>
  <si>
    <t>10투명강화</t>
    <phoneticPr fontId="3" type="noConversion"/>
  </si>
  <si>
    <t>오도시</t>
    <phoneticPr fontId="3" type="noConversion"/>
  </si>
  <si>
    <t>26-1860</t>
    <phoneticPr fontId="3" type="noConversion"/>
  </si>
  <si>
    <t>극동-성남</t>
    <phoneticPr fontId="3" type="noConversion"/>
  </si>
  <si>
    <t>5newGN+5로이</t>
    <phoneticPr fontId="3" type="noConversion"/>
  </si>
  <si>
    <t>5DURA MAX(비강화용)</t>
    <phoneticPr fontId="3" type="noConversion"/>
  </si>
  <si>
    <t>로이재단 - 유리파손</t>
    <phoneticPr fontId="3" type="noConversion"/>
  </si>
  <si>
    <t>26-1749</t>
    <phoneticPr fontId="3" type="noConversion"/>
  </si>
  <si>
    <t>엘엑스-지북</t>
    <phoneticPr fontId="3" type="noConversion"/>
  </si>
  <si>
    <t>5newGNH/S+5로이</t>
    <phoneticPr fontId="3" type="noConversion"/>
  </si>
  <si>
    <t>5NX</t>
    <phoneticPr fontId="3" type="noConversion"/>
  </si>
  <si>
    <t>그린재단 - 강화기스</t>
    <phoneticPr fontId="3" type="noConversion"/>
  </si>
  <si>
    <t>26-1920</t>
    <phoneticPr fontId="3" type="noConversion"/>
  </si>
  <si>
    <t>경동-부산대</t>
    <phoneticPr fontId="3" type="noConversion"/>
  </si>
  <si>
    <t>5ONEIIH/S+5CL</t>
    <phoneticPr fontId="3" type="noConversion"/>
  </si>
  <si>
    <t>로이재단 - 오도시 - 강화기스</t>
    <phoneticPr fontId="3" type="noConversion"/>
  </si>
  <si>
    <t>26-2105</t>
    <phoneticPr fontId="3" type="noConversion"/>
  </si>
  <si>
    <t>제일-인천</t>
    <phoneticPr fontId="3" type="noConversion"/>
  </si>
  <si>
    <t>6CL+6로이</t>
    <phoneticPr fontId="3" type="noConversion"/>
  </si>
  <si>
    <t>오도시-생산불량</t>
    <phoneticPr fontId="3" type="noConversion"/>
  </si>
  <si>
    <t>26-2106</t>
    <phoneticPr fontId="3" type="noConversion"/>
  </si>
  <si>
    <t>로이재단 - 오도시 - 재단기스</t>
    <phoneticPr fontId="3" type="noConversion"/>
  </si>
  <si>
    <t>26-2188</t>
    <phoneticPr fontId="3" type="noConversion"/>
  </si>
  <si>
    <t>신동아-건강보험</t>
    <phoneticPr fontId="3" type="noConversion"/>
  </si>
  <si>
    <t>6MZT128H/S+6CLH/S이형</t>
    <phoneticPr fontId="3" type="noConversion"/>
  </si>
  <si>
    <t>6MZT128H/S+6CL</t>
    <phoneticPr fontId="3" type="noConversion"/>
  </si>
  <si>
    <t>6MZT128H/S+6CLH/S</t>
    <phoneticPr fontId="3" type="noConversion"/>
  </si>
  <si>
    <t>6MZT128</t>
    <phoneticPr fontId="3" type="noConversion"/>
  </si>
  <si>
    <t>6MZT135H/S+6CLH/S</t>
    <phoneticPr fontId="3" type="noConversion"/>
  </si>
  <si>
    <t>6MZT135</t>
    <phoneticPr fontId="3" type="noConversion"/>
  </si>
  <si>
    <t>6CL</t>
    <phoneticPr fontId="3" type="noConversion"/>
  </si>
  <si>
    <t>26-2187</t>
    <phoneticPr fontId="3" type="noConversion"/>
  </si>
  <si>
    <t>태영-부산</t>
    <phoneticPr fontId="3" type="noConversion"/>
  </si>
  <si>
    <t>(4CL+4CL)5로이</t>
    <phoneticPr fontId="3" type="noConversion"/>
  </si>
  <si>
    <t>5CL</t>
    <phoneticPr fontId="3" type="noConversion"/>
  </si>
  <si>
    <t>투명재단 - 생산불량</t>
    <phoneticPr fontId="3" type="noConversion"/>
  </si>
  <si>
    <t>로이재단 - 생산불량</t>
    <phoneticPr fontId="3" type="noConversion"/>
  </si>
  <si>
    <t>26-2103</t>
    <phoneticPr fontId="3" type="noConversion"/>
  </si>
  <si>
    <t>제일-장성</t>
    <phoneticPr fontId="3" type="noConversion"/>
  </si>
  <si>
    <t>26-2107</t>
    <phoneticPr fontId="3" type="noConversion"/>
  </si>
  <si>
    <t>26-2117</t>
    <phoneticPr fontId="3" type="noConversion"/>
  </si>
  <si>
    <t>8투명강화</t>
    <phoneticPr fontId="3" type="noConversion"/>
  </si>
  <si>
    <t>8CL</t>
    <phoneticPr fontId="3" type="noConversion"/>
  </si>
  <si>
    <t>26-2103, 2107, 2117 같이재단</t>
    <phoneticPr fontId="3" type="noConversion"/>
  </si>
  <si>
    <t>26-1899</t>
    <phoneticPr fontId="3" type="noConversion"/>
  </si>
  <si>
    <t>5CL+5로이</t>
    <phoneticPr fontId="3" type="noConversion"/>
  </si>
  <si>
    <t>그린, 로이재단</t>
    <phoneticPr fontId="3" type="noConversion"/>
  </si>
  <si>
    <t>로이재단</t>
    <phoneticPr fontId="3" type="noConversion"/>
  </si>
  <si>
    <t>26-1861</t>
    <phoneticPr fontId="3" type="noConversion"/>
  </si>
  <si>
    <t>극동-성남</t>
    <phoneticPr fontId="3" type="noConversion"/>
  </si>
  <si>
    <t>5DURA MAX(비강화용)</t>
    <phoneticPr fontId="3" type="noConversion"/>
  </si>
  <si>
    <t>로이재단 - 3~6번 재단</t>
    <phoneticPr fontId="3" type="noConversion"/>
  </si>
  <si>
    <t>로이재단 - 9~12번 재단</t>
    <phoneticPr fontId="3" type="noConversion"/>
  </si>
  <si>
    <t>야간</t>
    <phoneticPr fontId="3" type="noConversion"/>
  </si>
  <si>
    <t>26-2119</t>
    <phoneticPr fontId="3" type="noConversion"/>
  </si>
  <si>
    <t>제일-인천</t>
    <phoneticPr fontId="3" type="noConversion"/>
  </si>
  <si>
    <t>5투명</t>
    <phoneticPr fontId="3" type="noConversion"/>
  </si>
  <si>
    <t>5CL</t>
    <phoneticPr fontId="3" type="noConversion"/>
  </si>
  <si>
    <t>26-1899</t>
    <phoneticPr fontId="3" type="noConversion"/>
  </si>
  <si>
    <t>5CL+5로이</t>
    <phoneticPr fontId="3" type="noConversion"/>
  </si>
  <si>
    <t>26-1823</t>
    <phoneticPr fontId="3" type="noConversion"/>
  </si>
  <si>
    <t>한라-파주</t>
    <phoneticPr fontId="3" type="noConversion"/>
  </si>
  <si>
    <t>5CLH/S+5로이</t>
    <phoneticPr fontId="3" type="noConversion"/>
  </si>
  <si>
    <t>로이재단</t>
    <phoneticPr fontId="3" type="noConversion"/>
  </si>
  <si>
    <t>26-1822</t>
    <phoneticPr fontId="3" type="noConversion"/>
  </si>
  <si>
    <t>로이재단 - 1~3번 재단</t>
    <phoneticPr fontId="3" type="noConversion"/>
  </si>
  <si>
    <t>26-1949</t>
    <phoneticPr fontId="3" type="noConversion"/>
  </si>
  <si>
    <t>우미-남원주</t>
    <phoneticPr fontId="3" type="noConversion"/>
  </si>
  <si>
    <t>5투명</t>
    <phoneticPr fontId="3" type="noConversion"/>
  </si>
  <si>
    <t>5CL</t>
    <phoneticPr fontId="3" type="noConversion"/>
  </si>
  <si>
    <t>26-1948</t>
    <phoneticPr fontId="3" type="noConversion"/>
  </si>
  <si>
    <t>26-1947</t>
    <phoneticPr fontId="3" type="noConversion"/>
  </si>
  <si>
    <t>26-1946</t>
    <phoneticPr fontId="3" type="noConversion"/>
  </si>
  <si>
    <t>26-2200</t>
    <phoneticPr fontId="3" type="noConversion"/>
  </si>
  <si>
    <t>디엘-대전</t>
    <phoneticPr fontId="3" type="noConversion"/>
  </si>
  <si>
    <t>오도시</t>
    <phoneticPr fontId="3" type="noConversion"/>
  </si>
  <si>
    <t>26-2201</t>
    <phoneticPr fontId="3" type="noConversion"/>
  </si>
  <si>
    <t>활림-불무</t>
    <phoneticPr fontId="3" type="noConversion"/>
  </si>
  <si>
    <t>5SKN154+5CL</t>
    <phoneticPr fontId="3" type="noConversion"/>
  </si>
  <si>
    <t>5SKN154</t>
    <phoneticPr fontId="3" type="noConversion"/>
  </si>
  <si>
    <t>26-2206</t>
    <phoneticPr fontId="3" type="noConversion"/>
  </si>
  <si>
    <t>보미-청주대</t>
    <phoneticPr fontId="3" type="noConversion"/>
  </si>
  <si>
    <t>5ONE+5newGNH/S+5ONE</t>
    <phoneticPr fontId="3" type="noConversion"/>
  </si>
  <si>
    <t>5PLAONE</t>
    <phoneticPr fontId="3" type="noConversion"/>
  </si>
  <si>
    <t>그린 오도시 재단</t>
    <phoneticPr fontId="3" type="noConversion"/>
  </si>
  <si>
    <t>26-1945</t>
    <phoneticPr fontId="3" type="noConversion"/>
  </si>
  <si>
    <t>26-2188</t>
    <phoneticPr fontId="3" type="noConversion"/>
  </si>
  <si>
    <t>신동아-건강보험</t>
    <phoneticPr fontId="3" type="noConversion"/>
  </si>
  <si>
    <t>6MZT135H/S+6CLH/S</t>
    <phoneticPr fontId="3" type="noConversion"/>
  </si>
  <si>
    <t>6CL</t>
    <phoneticPr fontId="3" type="noConversion"/>
  </si>
  <si>
    <t>투명재단 - 씨밍파손</t>
    <phoneticPr fontId="3" type="noConversion"/>
  </si>
  <si>
    <t>26-2115</t>
    <phoneticPr fontId="3" type="noConversion"/>
  </si>
  <si>
    <t>제일-인천</t>
    <phoneticPr fontId="3" type="noConversion"/>
  </si>
  <si>
    <t>6CL+6로이</t>
    <phoneticPr fontId="3" type="noConversion"/>
  </si>
  <si>
    <t>투명재단 - 재단기스</t>
    <phoneticPr fontId="3" type="noConversion"/>
  </si>
  <si>
    <t>로이재단 - 재단기스</t>
    <phoneticPr fontId="3" type="noConversion"/>
  </si>
  <si>
    <t>26-2207</t>
    <phoneticPr fontId="3" type="noConversion"/>
  </si>
  <si>
    <t>한우창호</t>
    <phoneticPr fontId="3" type="noConversion"/>
  </si>
  <si>
    <t>5ONEIIH/S+5CLH/S+5ONEIIH/S</t>
    <phoneticPr fontId="3" type="noConversion"/>
  </si>
  <si>
    <t>5PLAONEII</t>
    <phoneticPr fontId="3" type="noConversion"/>
  </si>
  <si>
    <t>5CL</t>
    <phoneticPr fontId="3" type="noConversion"/>
  </si>
  <si>
    <t>26-1944</t>
    <phoneticPr fontId="3" type="noConversion"/>
  </si>
  <si>
    <t>우미-울산</t>
    <phoneticPr fontId="3" type="noConversion"/>
  </si>
  <si>
    <t>5투명</t>
    <phoneticPr fontId="3" type="noConversion"/>
  </si>
  <si>
    <t>26-2203</t>
    <phoneticPr fontId="3" type="noConversion"/>
  </si>
  <si>
    <t>삼성-거제</t>
    <phoneticPr fontId="3" type="noConversion"/>
  </si>
  <si>
    <t>5투명+5로이</t>
    <phoneticPr fontId="3" type="noConversion"/>
  </si>
  <si>
    <t>5마스터원</t>
    <phoneticPr fontId="3" type="noConversion"/>
  </si>
  <si>
    <t>26-2202</t>
    <phoneticPr fontId="3" type="noConversion"/>
  </si>
  <si>
    <t>현엔-청주터미널</t>
    <phoneticPr fontId="3" type="noConversion"/>
  </si>
  <si>
    <t>(4CLH/S+4CLH/S)+5로이H/S</t>
    <phoneticPr fontId="3" type="noConversion"/>
  </si>
  <si>
    <t>투명 오도시 재단</t>
    <phoneticPr fontId="3" type="noConversion"/>
  </si>
  <si>
    <t>26-2184</t>
    <phoneticPr fontId="3" type="noConversion"/>
  </si>
  <si>
    <t>계룡-원주의료원</t>
    <phoneticPr fontId="3" type="noConversion"/>
  </si>
  <si>
    <t>5SKN154IIH/S+5CLH/S+5ONE</t>
    <phoneticPr fontId="3" type="noConversion"/>
  </si>
  <si>
    <t>오도시</t>
    <phoneticPr fontId="3" type="noConversion"/>
  </si>
  <si>
    <t>26-2189</t>
    <phoneticPr fontId="3" type="noConversion"/>
  </si>
  <si>
    <t>에스케이-용인</t>
    <phoneticPr fontId="3" type="noConversion"/>
  </si>
  <si>
    <t>6ECT173H/S+6CL</t>
    <phoneticPr fontId="3" type="noConversion"/>
  </si>
  <si>
    <t>26-2190</t>
    <phoneticPr fontId="3" type="noConversion"/>
  </si>
  <si>
    <t>6CL</t>
    <phoneticPr fontId="3" type="noConversion"/>
  </si>
  <si>
    <t>6ECT173</t>
    <phoneticPr fontId="3" type="noConversion"/>
  </si>
  <si>
    <t>26-2189, 2190 같이재단</t>
    <phoneticPr fontId="3" type="noConversion"/>
  </si>
  <si>
    <t>26-1900</t>
    <phoneticPr fontId="3" type="noConversion"/>
  </si>
  <si>
    <t>제일-장성지구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</si>
  <si>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</si>
  <si>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</si>
  <si>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</si>
  <si>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5DURA MAX(비강화용)</t>
    <phoneticPr fontId="3" type="noConversion"/>
  </si>
  <si>
    <t>26-1823</t>
    <phoneticPr fontId="3" type="noConversion"/>
  </si>
  <si>
    <t>한라-파주</t>
    <phoneticPr fontId="3" type="noConversion"/>
  </si>
  <si>
    <t>5CLH/S+5로이</t>
    <phoneticPr fontId="3" type="noConversion"/>
  </si>
  <si>
    <t>로이재단</t>
    <phoneticPr fontId="3" type="noConversion"/>
  </si>
  <si>
    <t>26-1901</t>
    <phoneticPr fontId="3" type="noConversion"/>
  </si>
  <si>
    <t>야간</t>
    <phoneticPr fontId="3" type="noConversion"/>
  </si>
  <si>
    <t>26-1902</t>
    <phoneticPr fontId="3" type="noConversion"/>
  </si>
  <si>
    <t>26-1830</t>
    <phoneticPr fontId="3" type="noConversion"/>
  </si>
  <si>
    <t>한라-파주</t>
    <phoneticPr fontId="3" type="noConversion"/>
  </si>
  <si>
    <t>투명재단</t>
    <phoneticPr fontId="3" type="noConversion"/>
  </si>
  <si>
    <t>26-1824</t>
    <phoneticPr fontId="3" type="noConversion"/>
  </si>
  <si>
    <t>5CLH/S+5로이</t>
    <phoneticPr fontId="3" type="noConversion"/>
  </si>
  <si>
    <t>5CL</t>
    <phoneticPr fontId="3" type="noConversion"/>
  </si>
  <si>
    <t>26-1823</t>
    <phoneticPr fontId="3" type="noConversion"/>
  </si>
  <si>
    <t>5DURA MAX</t>
    <phoneticPr fontId="3" type="noConversion"/>
  </si>
  <si>
    <t>로이재단 - 17번 재단 - 26-1824, 1823 같이재단</t>
    <phoneticPr fontId="3" type="noConversion"/>
  </si>
  <si>
    <t>로이재단 - 26-1824, 1823 같이재단</t>
    <phoneticPr fontId="3" type="noConversion"/>
  </si>
  <si>
    <t>26-1861</t>
    <phoneticPr fontId="3" type="noConversion"/>
  </si>
  <si>
    <t>극동-성남</t>
    <phoneticPr fontId="3" type="noConversion"/>
  </si>
  <si>
    <t>5CL+5로이</t>
    <phoneticPr fontId="3" type="noConversion"/>
  </si>
  <si>
    <t>5CLH/S+5로이h/s</t>
    <phoneticPr fontId="3" type="noConversion"/>
  </si>
  <si>
    <t>투명재단 - 1~2번, 3번 40조 중 20조 재단</t>
    <phoneticPr fontId="3" type="noConversion"/>
  </si>
  <si>
    <t>로이재단 - 18번 재단</t>
    <phoneticPr fontId="3" type="noConversion"/>
  </si>
  <si>
    <t>26-2221</t>
    <phoneticPr fontId="3" type="noConversion"/>
  </si>
  <si>
    <t>씨밍파손-1장, 재단기스-2장</t>
    <phoneticPr fontId="3" type="noConversion"/>
  </si>
  <si>
    <t>흥화-행정중심복합돟시</t>
    <phoneticPr fontId="3" type="noConversion"/>
  </si>
  <si>
    <t>26-2216</t>
    <phoneticPr fontId="3" type="noConversion"/>
  </si>
  <si>
    <t>신흥유리</t>
    <phoneticPr fontId="3" type="noConversion"/>
  </si>
  <si>
    <t>5CL+5DURA MAX</t>
    <phoneticPr fontId="3" type="noConversion"/>
  </si>
  <si>
    <t>5CL</t>
    <phoneticPr fontId="3" type="noConversion"/>
  </si>
  <si>
    <t>26-2215</t>
    <phoneticPr fontId="3" type="noConversion"/>
  </si>
  <si>
    <t>현대샷시</t>
    <phoneticPr fontId="3" type="noConversion"/>
  </si>
  <si>
    <t>5newGN+5DURA MAX</t>
    <phoneticPr fontId="3" type="noConversion"/>
  </si>
  <si>
    <t>26-1827</t>
    <phoneticPr fontId="3" type="noConversion"/>
  </si>
  <si>
    <t>한라-파주</t>
    <phoneticPr fontId="3" type="noConversion"/>
  </si>
  <si>
    <t>26-1826</t>
    <phoneticPr fontId="3" type="noConversion"/>
  </si>
  <si>
    <t>26-1829</t>
    <phoneticPr fontId="3" type="noConversion"/>
  </si>
  <si>
    <t>투명재단 - 3번 40조 중 20조, 4~7번 재단</t>
    <phoneticPr fontId="3" type="noConversion"/>
  </si>
  <si>
    <t>투명재단</t>
    <phoneticPr fontId="3" type="noConversion"/>
  </si>
  <si>
    <t>씨밍파손-2장, 재단기스-3장, 강화기스-1장</t>
    <phoneticPr fontId="3" type="noConversion"/>
  </si>
  <si>
    <t>보미-청주대</t>
    <phoneticPr fontId="3" type="noConversion"/>
  </si>
  <si>
    <t>10투명강화</t>
    <phoneticPr fontId="3" type="noConversion"/>
  </si>
  <si>
    <t>오도시</t>
    <phoneticPr fontId="3" type="noConversion"/>
  </si>
  <si>
    <t>26-2130</t>
    <phoneticPr fontId="3" type="noConversion"/>
  </si>
  <si>
    <t>엘엑스-지북</t>
    <phoneticPr fontId="3" type="noConversion"/>
  </si>
  <si>
    <t>5newGNH/S+5로이H/S</t>
    <phoneticPr fontId="3" type="noConversion"/>
  </si>
  <si>
    <t>26-2131</t>
    <phoneticPr fontId="3" type="noConversion"/>
  </si>
  <si>
    <t>26-2132</t>
    <phoneticPr fontId="3" type="noConversion"/>
  </si>
  <si>
    <t>26-2133</t>
    <phoneticPr fontId="3" type="noConversion"/>
  </si>
  <si>
    <t>5newGNH/S+5로이</t>
    <phoneticPr fontId="3" type="noConversion"/>
  </si>
  <si>
    <t>그린재단 - 26-2130, 2131, 2132, 2133 같이재단</t>
    <phoneticPr fontId="3" type="noConversion"/>
  </si>
  <si>
    <t>5NX</t>
    <phoneticPr fontId="3" type="noConversion"/>
  </si>
  <si>
    <t>5SUPERPLUS2.0</t>
    <phoneticPr fontId="3" type="noConversion"/>
  </si>
  <si>
    <t>로이재단 - 26-2130, 2131, 2132, 2133 같이재단</t>
    <phoneticPr fontId="3" type="noConversion"/>
  </si>
  <si>
    <t>로이재단 - 1~2번 재단</t>
    <phoneticPr fontId="3" type="noConversion"/>
  </si>
  <si>
    <t>로이재단</t>
    <phoneticPr fontId="3" type="noConversion"/>
  </si>
  <si>
    <t>야간</t>
    <phoneticPr fontId="3" type="noConversion"/>
  </si>
  <si>
    <t>26-2213</t>
    <phoneticPr fontId="3" type="noConversion"/>
  </si>
  <si>
    <t>포스코-아산</t>
    <phoneticPr fontId="3" type="noConversion"/>
  </si>
  <si>
    <t>5SKN154+5CL</t>
    <phoneticPr fontId="3" type="noConversion"/>
  </si>
  <si>
    <t>5SKN154</t>
    <phoneticPr fontId="3" type="noConversion"/>
  </si>
  <si>
    <t>투명 오도시 재단</t>
    <phoneticPr fontId="3" type="noConversion"/>
  </si>
  <si>
    <t>26-2211</t>
    <phoneticPr fontId="3" type="noConversion"/>
  </si>
  <si>
    <t>동신-파주</t>
    <phoneticPr fontId="3" type="noConversion"/>
  </si>
  <si>
    <t>5SKN154IIH/S+5CL</t>
    <phoneticPr fontId="3" type="noConversion"/>
  </si>
  <si>
    <t>5CL</t>
    <phoneticPr fontId="3" type="noConversion"/>
  </si>
  <si>
    <t>26-1823</t>
    <phoneticPr fontId="3" type="noConversion"/>
  </si>
  <si>
    <t>한라-파주</t>
    <phoneticPr fontId="3" type="noConversion"/>
  </si>
  <si>
    <t>26-1825</t>
    <phoneticPr fontId="3" type="noConversion"/>
  </si>
  <si>
    <t>26-1826</t>
    <phoneticPr fontId="3" type="noConversion"/>
  </si>
  <si>
    <t>26-1828</t>
    <phoneticPr fontId="3" type="noConversion"/>
  </si>
  <si>
    <t>5CLH/S+5로이H/S</t>
    <phoneticPr fontId="3" type="noConversion"/>
  </si>
  <si>
    <t>투명재단 - 26-1823, 1825, 1826, 1828 같이재단</t>
    <phoneticPr fontId="3" type="noConversion"/>
  </si>
  <si>
    <t>26-1930</t>
    <phoneticPr fontId="3" type="noConversion"/>
  </si>
  <si>
    <t>동성-태성</t>
    <phoneticPr fontId="3" type="noConversion"/>
  </si>
  <si>
    <t>5SKN154II</t>
    <phoneticPr fontId="3" type="noConversion"/>
  </si>
  <si>
    <t>로이재단 - 강화불량</t>
    <phoneticPr fontId="3" type="noConversion"/>
  </si>
  <si>
    <t>26-2204</t>
    <phoneticPr fontId="3" type="noConversion"/>
  </si>
  <si>
    <t>산들인</t>
    <phoneticPr fontId="3" type="noConversion"/>
  </si>
  <si>
    <t>6SKG149TH/S+6CL</t>
    <phoneticPr fontId="3" type="noConversion"/>
  </si>
  <si>
    <t>6SKG149T</t>
    <phoneticPr fontId="3" type="noConversion"/>
  </si>
  <si>
    <t>26-2219</t>
    <phoneticPr fontId="3" type="noConversion"/>
  </si>
  <si>
    <t>5ONE+5newGNH/S+5ONE</t>
    <phoneticPr fontId="3" type="noConversion"/>
  </si>
  <si>
    <t>5PLAONE</t>
    <phoneticPr fontId="3" type="noConversion"/>
  </si>
  <si>
    <t>26-2210</t>
    <phoneticPr fontId="3" type="noConversion"/>
  </si>
  <si>
    <t>태영-실내체육관</t>
    <phoneticPr fontId="3" type="noConversion"/>
  </si>
  <si>
    <t>5SKG153IIH/S+5CL</t>
    <phoneticPr fontId="3" type="noConversion"/>
  </si>
  <si>
    <t>투명재단</t>
    <phoneticPr fontId="3" type="noConversion"/>
  </si>
  <si>
    <t>26-2219</t>
    <phoneticPr fontId="3" type="noConversion"/>
  </si>
  <si>
    <t>5CL</t>
    <phoneticPr fontId="3" type="noConversion"/>
  </si>
  <si>
    <t>투명재단</t>
    <phoneticPr fontId="3" type="noConversion"/>
  </si>
  <si>
    <t>26-1822</t>
    <phoneticPr fontId="3" type="noConversion"/>
  </si>
  <si>
    <t>한라-파주</t>
    <phoneticPr fontId="3" type="noConversion"/>
  </si>
  <si>
    <t>5DURA MAX(비강화용)</t>
    <phoneticPr fontId="3" type="noConversion"/>
  </si>
  <si>
    <t>26-1823</t>
    <phoneticPr fontId="3" type="noConversion"/>
  </si>
  <si>
    <t>26-2177</t>
    <phoneticPr fontId="3" type="noConversion"/>
  </si>
  <si>
    <t>계룡-KT인재개발원</t>
    <phoneticPr fontId="3" type="noConversion"/>
  </si>
  <si>
    <t>12투명강화</t>
    <phoneticPr fontId="3" type="noConversion"/>
  </si>
  <si>
    <t>12CL</t>
    <phoneticPr fontId="3" type="noConversion"/>
  </si>
  <si>
    <t>26-2213</t>
    <phoneticPr fontId="3" type="noConversion"/>
  </si>
  <si>
    <t>포스코-아산</t>
    <phoneticPr fontId="3" type="noConversion"/>
  </si>
  <si>
    <t>10투명강화</t>
    <phoneticPr fontId="3" type="noConversion"/>
  </si>
  <si>
    <t>오도시</t>
    <phoneticPr fontId="3" type="noConversion"/>
  </si>
  <si>
    <t>26-2179</t>
    <phoneticPr fontId="3" type="noConversion"/>
  </si>
  <si>
    <t>금호-성남</t>
    <phoneticPr fontId="3" type="noConversion"/>
  </si>
  <si>
    <t>5newGN+5로이</t>
    <phoneticPr fontId="3" type="noConversion"/>
  </si>
  <si>
    <t>5CL+5로이</t>
    <phoneticPr fontId="3" type="noConversion"/>
  </si>
  <si>
    <t>5NX</t>
    <phoneticPr fontId="3" type="noConversion"/>
  </si>
  <si>
    <t>5CL</t>
    <phoneticPr fontId="3" type="noConversion"/>
  </si>
  <si>
    <t>5DURA MAX(비강화용)</t>
    <phoneticPr fontId="3" type="noConversion"/>
  </si>
  <si>
    <t>26-2180</t>
    <phoneticPr fontId="3" type="noConversion"/>
  </si>
  <si>
    <t>한양-인천</t>
    <phoneticPr fontId="3" type="noConversion"/>
  </si>
  <si>
    <t>5CL+5CL</t>
    <phoneticPr fontId="3" type="noConversion"/>
  </si>
  <si>
    <t>5CLFRIT+5CL</t>
    <phoneticPr fontId="3" type="noConversion"/>
  </si>
  <si>
    <t>26-2218</t>
    <phoneticPr fontId="3" type="noConversion"/>
  </si>
  <si>
    <t>로이 오도시 재단</t>
    <phoneticPr fontId="3" type="noConversion"/>
  </si>
  <si>
    <t>5SUPERPLUS2.0</t>
    <phoneticPr fontId="3" type="noConversion"/>
  </si>
  <si>
    <t>로이재단</t>
    <phoneticPr fontId="3" type="noConversion"/>
  </si>
  <si>
    <t>26-2217</t>
    <phoneticPr fontId="3" type="noConversion"/>
  </si>
  <si>
    <t>태영-부산</t>
    <phoneticPr fontId="3" type="noConversion"/>
  </si>
  <si>
    <t>26-2131</t>
    <phoneticPr fontId="3" type="noConversion"/>
  </si>
  <si>
    <t>야간</t>
    <phoneticPr fontId="3" type="noConversion"/>
  </si>
  <si>
    <t>26-1824</t>
    <phoneticPr fontId="3" type="noConversion"/>
  </si>
  <si>
    <t>한라-파주</t>
    <phoneticPr fontId="3" type="noConversion"/>
  </si>
  <si>
    <t>5CLH/S+5로이</t>
    <phoneticPr fontId="3" type="noConversion"/>
  </si>
  <si>
    <t>투명재단 - 강화생산파손</t>
    <phoneticPr fontId="3" type="noConversion"/>
  </si>
  <si>
    <t>26-2210</t>
    <phoneticPr fontId="3" type="noConversion"/>
  </si>
  <si>
    <t>태영-청주</t>
    <phoneticPr fontId="3" type="noConversion"/>
  </si>
  <si>
    <t>5SKG153IIH/S+5CL</t>
    <phoneticPr fontId="3" type="noConversion"/>
  </si>
  <si>
    <t>투명재단 - 생산파손</t>
    <phoneticPr fontId="3" type="noConversion"/>
  </si>
  <si>
    <t>26-1825</t>
    <phoneticPr fontId="3" type="noConversion"/>
  </si>
  <si>
    <t>26-1822</t>
    <phoneticPr fontId="3" type="noConversion"/>
  </si>
  <si>
    <t>투명재단 - 오도시 - 원판기포</t>
    <phoneticPr fontId="3" type="noConversion"/>
  </si>
  <si>
    <t xml:space="preserve">오도시 - 생산파손 </t>
    <phoneticPr fontId="3" type="noConversion"/>
  </si>
  <si>
    <t>26-2241</t>
    <phoneticPr fontId="3" type="noConversion"/>
  </si>
  <si>
    <t>정석-청주테크노</t>
    <phoneticPr fontId="3" type="noConversion"/>
  </si>
  <si>
    <t>5CL+5DURA MAX</t>
    <phoneticPr fontId="3" type="noConversion"/>
  </si>
  <si>
    <t>26-1896</t>
    <phoneticPr fontId="3" type="noConversion"/>
  </si>
  <si>
    <t>제일-장성지구</t>
    <phoneticPr fontId="3" type="noConversion"/>
  </si>
  <si>
    <t>5newGNH/S+5로이H/S</t>
    <phoneticPr fontId="3" type="noConversion"/>
  </si>
  <si>
    <t>그린재단 - 강화불량</t>
    <phoneticPr fontId="3" type="noConversion"/>
  </si>
  <si>
    <t>26-1901</t>
    <phoneticPr fontId="3" type="noConversion"/>
  </si>
  <si>
    <t>26-1902</t>
    <phoneticPr fontId="3" type="noConversion"/>
  </si>
  <si>
    <t>5DURA MAX</t>
    <phoneticPr fontId="3" type="noConversion"/>
  </si>
  <si>
    <t>로이재단 - 강화불량 - 26-1896, 1901, 1902 같이재단</t>
    <phoneticPr fontId="3" type="noConversion"/>
  </si>
  <si>
    <t>26-2214</t>
    <phoneticPr fontId="3" type="noConversion"/>
  </si>
  <si>
    <t>계룡-경기부천</t>
    <phoneticPr fontId="3" type="noConversion"/>
  </si>
  <si>
    <t>7투명망입</t>
    <phoneticPr fontId="3" type="noConversion"/>
  </si>
  <si>
    <t>7투명망입(다이아)</t>
    <phoneticPr fontId="3" type="noConversion"/>
  </si>
  <si>
    <t>26-1826</t>
    <phoneticPr fontId="3" type="noConversion"/>
  </si>
  <si>
    <t>투명재단</t>
    <phoneticPr fontId="3" type="noConversion"/>
  </si>
  <si>
    <t>26-2214</t>
    <phoneticPr fontId="3" type="noConversion"/>
  </si>
  <si>
    <t>계룡-경기부천</t>
    <phoneticPr fontId="3" type="noConversion"/>
  </si>
  <si>
    <t>5투명</t>
    <phoneticPr fontId="3" type="noConversion"/>
  </si>
  <si>
    <t>5CL</t>
    <phoneticPr fontId="3" type="noConversion"/>
  </si>
  <si>
    <t>26-1828</t>
    <phoneticPr fontId="3" type="noConversion"/>
  </si>
  <si>
    <t>한라-파주</t>
    <phoneticPr fontId="3" type="noConversion"/>
  </si>
  <si>
    <t>5CL+5로이</t>
    <phoneticPr fontId="3" type="noConversion"/>
  </si>
  <si>
    <t>26-1827</t>
    <phoneticPr fontId="3" type="noConversion"/>
  </si>
  <si>
    <t>26-1826</t>
    <phoneticPr fontId="3" type="noConversion"/>
  </si>
  <si>
    <t>로이재단</t>
    <phoneticPr fontId="3" type="noConversion"/>
  </si>
  <si>
    <t>26-2182</t>
    <phoneticPr fontId="3" type="noConversion"/>
  </si>
  <si>
    <t>6ECT173H/S+6CLH/S</t>
    <phoneticPr fontId="3" type="noConversion"/>
  </si>
  <si>
    <t>26-2166</t>
    <phoneticPr fontId="3" type="noConversion"/>
  </si>
  <si>
    <t>26-2168</t>
    <phoneticPr fontId="3" type="noConversion"/>
  </si>
  <si>
    <t>26-2251</t>
    <phoneticPr fontId="3" type="noConversion"/>
  </si>
  <si>
    <t>동일유리</t>
    <phoneticPr fontId="3" type="noConversion"/>
  </si>
  <si>
    <t>5newGN+5DURA MAX</t>
    <phoneticPr fontId="3" type="noConversion"/>
  </si>
  <si>
    <t>5NX</t>
    <phoneticPr fontId="3" type="noConversion"/>
  </si>
  <si>
    <t>5DURA MAX(비강화용0</t>
    <phoneticPr fontId="3" type="noConversion"/>
  </si>
  <si>
    <t>26-2132</t>
    <phoneticPr fontId="3" type="noConversion"/>
  </si>
  <si>
    <t>엘엑스-지북</t>
    <phoneticPr fontId="3" type="noConversion"/>
  </si>
  <si>
    <t>5CL+5로이</t>
    <phoneticPr fontId="3" type="noConversion"/>
  </si>
  <si>
    <t>5SUPERPLUS2.0</t>
    <phoneticPr fontId="3" type="noConversion"/>
  </si>
  <si>
    <t>5CL</t>
    <phoneticPr fontId="3" type="noConversion"/>
  </si>
  <si>
    <t>26-1902</t>
    <phoneticPr fontId="3" type="noConversion"/>
  </si>
  <si>
    <t>제일-장성지구</t>
    <phoneticPr fontId="3" type="noConversion"/>
  </si>
  <si>
    <t>5newGNH/S+5로이H/S</t>
    <phoneticPr fontId="3" type="noConversion"/>
  </si>
  <si>
    <t>그린재단 - 오도시 - 강화불량</t>
    <phoneticPr fontId="3" type="noConversion"/>
  </si>
  <si>
    <t>26-1901</t>
    <phoneticPr fontId="3" type="noConversion"/>
  </si>
  <si>
    <t>26-2133</t>
    <phoneticPr fontId="3" type="noConversion"/>
  </si>
  <si>
    <t>야간</t>
    <phoneticPr fontId="3" type="noConversion"/>
  </si>
  <si>
    <t>26-2245</t>
    <phoneticPr fontId="3" type="noConversion"/>
  </si>
  <si>
    <t>케이씨씨-여의도</t>
    <phoneticPr fontId="3" type="noConversion"/>
  </si>
  <si>
    <t>5MVT172+5CL</t>
    <phoneticPr fontId="3" type="noConversion"/>
  </si>
  <si>
    <t>6로이+6로이</t>
    <phoneticPr fontId="3" type="noConversion"/>
  </si>
  <si>
    <t>5MCT172</t>
    <phoneticPr fontId="3" type="noConversion"/>
  </si>
  <si>
    <t>6마스터원</t>
    <phoneticPr fontId="3" type="noConversion"/>
  </si>
  <si>
    <t>26-2167</t>
    <phoneticPr fontId="3" type="noConversion"/>
  </si>
  <si>
    <t>에스케이-용인</t>
    <phoneticPr fontId="3" type="noConversion"/>
  </si>
  <si>
    <t>6ECT173H/S+6CLH/S</t>
    <phoneticPr fontId="3" type="noConversion"/>
  </si>
  <si>
    <t>6ECT173</t>
    <phoneticPr fontId="3" type="noConversion"/>
  </si>
  <si>
    <t>6CL</t>
    <phoneticPr fontId="3" type="noConversion"/>
  </si>
  <si>
    <t>26-1827</t>
    <phoneticPr fontId="3" type="noConversion"/>
  </si>
  <si>
    <t>한라-파주</t>
    <phoneticPr fontId="3" type="noConversion"/>
  </si>
  <si>
    <t>5CLH/S+5로이</t>
    <phoneticPr fontId="3" type="noConversion"/>
  </si>
  <si>
    <t>투명재단 - 오도시 - 기포</t>
    <phoneticPr fontId="3" type="noConversion"/>
  </si>
  <si>
    <t>5SKN154II</t>
    <phoneticPr fontId="3" type="noConversion"/>
  </si>
  <si>
    <t>로이재단 - 강화불량</t>
    <phoneticPr fontId="3" type="noConversion"/>
  </si>
  <si>
    <t>26-2211</t>
    <phoneticPr fontId="3" type="noConversion"/>
  </si>
  <si>
    <t>동신-파주</t>
    <phoneticPr fontId="3" type="noConversion"/>
  </si>
  <si>
    <t>5SKN154IIH/S+5CL</t>
    <phoneticPr fontId="3" type="noConversion"/>
  </si>
  <si>
    <t>오도시 - 생산파손</t>
    <phoneticPr fontId="3" type="noConversion"/>
  </si>
  <si>
    <t>26-2169</t>
    <phoneticPr fontId="3" type="noConversion"/>
  </si>
  <si>
    <t>로이재단 - 4번, 6번, 9번 재단</t>
    <phoneticPr fontId="3" type="noConversion"/>
  </si>
  <si>
    <t>26-2239</t>
    <phoneticPr fontId="3" type="noConversion"/>
  </si>
  <si>
    <t>5CL+5로이</t>
    <phoneticPr fontId="3" type="noConversion"/>
  </si>
  <si>
    <t>26-2239, 2222 같이재단</t>
    <phoneticPr fontId="3" type="noConversion"/>
  </si>
  <si>
    <t>26-2222</t>
    <phoneticPr fontId="3" type="noConversion"/>
  </si>
  <si>
    <t>유광-오창</t>
    <phoneticPr fontId="3" type="noConversion"/>
  </si>
  <si>
    <t>26-2244</t>
    <phoneticPr fontId="3" type="noConversion"/>
  </si>
  <si>
    <t>10투명강화에칭</t>
    <phoneticPr fontId="3" type="noConversion"/>
  </si>
  <si>
    <t>26-2133</t>
    <phoneticPr fontId="3" type="noConversion"/>
  </si>
  <si>
    <t>엘엑스-지북</t>
    <phoneticPr fontId="3" type="noConversion"/>
  </si>
  <si>
    <t>5newGNH/S+5로이</t>
    <phoneticPr fontId="3" type="noConversion"/>
  </si>
  <si>
    <t>로이재단</t>
    <phoneticPr fontId="3" type="noConversion"/>
  </si>
  <si>
    <t>투명,로이재단</t>
    <phoneticPr fontId="3" type="noConversion"/>
  </si>
  <si>
    <t>5CL</t>
    <phoneticPr fontId="3" type="noConversion"/>
  </si>
  <si>
    <t>26-2169</t>
    <phoneticPr fontId="3" type="noConversion"/>
  </si>
  <si>
    <t>로이재단 - 3번, 5번, 6~8번 재단</t>
    <phoneticPr fontId="3" type="noConversion"/>
  </si>
  <si>
    <t>26-2224</t>
    <phoneticPr fontId="3" type="noConversion"/>
  </si>
  <si>
    <t>5MZT152H/S+5CL</t>
    <phoneticPr fontId="3" type="noConversion"/>
  </si>
  <si>
    <t>5MZT152</t>
    <phoneticPr fontId="3" type="noConversion"/>
  </si>
  <si>
    <t>26-1829</t>
    <phoneticPr fontId="3" type="noConversion"/>
  </si>
  <si>
    <t>한라-파주</t>
    <phoneticPr fontId="3" type="noConversion"/>
  </si>
  <si>
    <t>5CL+5로이</t>
    <phoneticPr fontId="3" type="noConversion"/>
  </si>
  <si>
    <t>5CL</t>
    <phoneticPr fontId="3" type="noConversion"/>
  </si>
  <si>
    <t>5DURA MAX(비강화용)</t>
    <phoneticPr fontId="3" type="noConversion"/>
  </si>
  <si>
    <t>26-2248</t>
    <phoneticPr fontId="3" type="noConversion"/>
  </si>
  <si>
    <t>대진-대우</t>
    <phoneticPr fontId="3" type="noConversion"/>
  </si>
  <si>
    <t>6CL+6CL</t>
    <phoneticPr fontId="3" type="noConversion"/>
  </si>
  <si>
    <t>6CL</t>
    <phoneticPr fontId="3" type="noConversion"/>
  </si>
  <si>
    <t>일면투명 재단</t>
    <phoneticPr fontId="3" type="noConversion"/>
  </si>
  <si>
    <t>26-2191</t>
    <phoneticPr fontId="3" type="noConversion"/>
  </si>
  <si>
    <t>정석-청주테크노</t>
    <phoneticPr fontId="3" type="noConversion"/>
  </si>
  <si>
    <t>5newGN+5DURA MAX</t>
    <phoneticPr fontId="3" type="noConversion"/>
  </si>
  <si>
    <t>5CL+5DURA MAX</t>
    <phoneticPr fontId="3" type="noConversion"/>
  </si>
  <si>
    <t>5NX</t>
    <phoneticPr fontId="3" type="noConversion"/>
  </si>
  <si>
    <t>5DURA MAX</t>
    <phoneticPr fontId="3" type="noConversion"/>
  </si>
  <si>
    <t>정석개발 원판 사용</t>
    <phoneticPr fontId="3" type="noConversion"/>
  </si>
  <si>
    <t>26-2192</t>
    <phoneticPr fontId="3" type="noConversion"/>
  </si>
  <si>
    <t>야간</t>
    <phoneticPr fontId="3" type="noConversion"/>
  </si>
  <si>
    <t>투명재단</t>
    <phoneticPr fontId="3" type="noConversion"/>
  </si>
  <si>
    <t>26-2222</t>
    <phoneticPr fontId="3" type="noConversion"/>
  </si>
  <si>
    <t>5MZT152</t>
    <phoneticPr fontId="3" type="noConversion"/>
  </si>
  <si>
    <t>로이재단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</si>
</sst>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[$-F800]dddd\,\ mmmm\ dd\,\ yyyy"/>
    <numFmt numFmtId="177" formatCode="#,##0.00_);[Red]\(#,##0.00\)"/>
    <numFmt numFmtId="178" formatCode="mm&quot;월&quot;\ dd&quot;일&quot;"/>
    <numFmt numFmtId="179" formatCode="0&quot;T&quot;"/>
    <numFmt numFmtId="180" formatCode="0&quot;조&quot;"/>
    <numFmt numFmtId="181" formatCode="_-* #,##0.00_-;\-* #,##0.00_-;_-* &quot;-&quot;_-;_-@_-"/>
    <numFmt numFmtId="182" formatCode="0&quot;장&quot;"/>
    <numFmt numFmtId="183" formatCode="0.00&quot;㎡&quot;"/>
    <numFmt numFmtId="184" formatCode="0.00&quot;m2&quot;"/>
    <numFmt numFmtId="185" formatCode="0.0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 val="doubleAccounting"/>
      <sz val="20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b/>
      <sz val="10"/>
      <color theme="1"/>
      <name val="바탕"/>
      <family val="1"/>
      <charset val="129"/>
    </font>
    <font>
      <b/>
      <sz val="11"/>
      <color theme="1"/>
      <name val="돋움"/>
      <family val="3"/>
      <charset val="129"/>
    </font>
    <font>
      <b/>
      <sz val="10"/>
      <color theme="1"/>
      <name val="바탕체"/>
      <family val="1"/>
      <charset val="129"/>
    </font>
    <font>
      <b/>
      <sz val="12"/>
      <color theme="1"/>
      <name val="바탕체"/>
      <family val="1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바탕체"/>
      <family val="1"/>
      <charset val="129"/>
    </font>
    <font>
      <sz val="10"/>
      <color theme="1"/>
      <name val="바탕"/>
      <family val="1"/>
      <charset val="129"/>
    </font>
    <font>
      <sz val="10"/>
      <color theme="1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double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8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15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2" fillId="0" borderId="2" xfId="1" applyFont="1" applyBorder="1" applyAlignment="1">
      <alignment vertical="center" wrapText="1"/>
    </xf>
    <xf numFmtId="0" fontId="5" fillId="0" borderId="2" xfId="1" applyFont="1" applyBorder="1" applyAlignment="1">
      <alignment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5" fillId="0" borderId="0" xfId="1" applyFont="1">
      <alignment vertical="center"/>
    </xf>
    <xf numFmtId="0" fontId="2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8" fillId="0" borderId="5" xfId="1" applyFont="1" applyBorder="1" applyAlignment="1">
      <alignment vertical="center" wrapText="1"/>
    </xf>
    <xf numFmtId="0" fontId="8" fillId="0" borderId="0" xfId="1" applyFont="1" applyAlignment="1">
      <alignment vertical="center" wrapText="1"/>
    </xf>
    <xf numFmtId="0" fontId="5" fillId="0" borderId="5" xfId="1" applyFont="1" applyBorder="1" applyAlignment="1">
      <alignment vertical="center" wrapText="1"/>
    </xf>
    <xf numFmtId="0" fontId="11" fillId="0" borderId="0" xfId="1" applyFont="1">
      <alignment vertical="center"/>
    </xf>
    <xf numFmtId="0" fontId="10" fillId="0" borderId="25" xfId="1" applyFont="1" applyBorder="1" applyAlignment="1">
      <alignment horizontal="center" vertical="center" wrapText="1"/>
    </xf>
    <xf numFmtId="0" fontId="10" fillId="0" borderId="26" xfId="1" applyFont="1" applyBorder="1" applyAlignment="1">
      <alignment horizontal="center" vertical="center" wrapText="1"/>
    </xf>
    <xf numFmtId="178" fontId="11" fillId="2" borderId="15" xfId="0" applyNumberFormat="1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179" fontId="11" fillId="0" borderId="30" xfId="0" applyNumberFormat="1" applyFont="1" applyBorder="1" applyAlignment="1">
      <alignment horizontal="center" vertical="center" wrapText="1"/>
    </xf>
    <xf numFmtId="0" fontId="11" fillId="0" borderId="30" xfId="1" applyFont="1" applyBorder="1" applyAlignment="1">
      <alignment vertical="center" wrapText="1"/>
    </xf>
    <xf numFmtId="180" fontId="11" fillId="2" borderId="31" xfId="0" applyNumberFormat="1" applyFont="1" applyFill="1" applyBorder="1" applyAlignment="1">
      <alignment horizontal="right" vertical="center" wrapText="1"/>
    </xf>
    <xf numFmtId="177" fontId="11" fillId="2" borderId="32" xfId="0" applyNumberFormat="1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4" xfId="0" applyFont="1" applyFill="1" applyBorder="1" applyAlignment="1">
      <alignment horizontal="center" vertical="center" wrapText="1"/>
    </xf>
    <xf numFmtId="181" fontId="11" fillId="2" borderId="30" xfId="1" applyNumberFormat="1" applyFont="1" applyFill="1" applyBorder="1" applyAlignment="1">
      <alignment horizontal="right" vertical="center" wrapText="1"/>
    </xf>
    <xf numFmtId="182" fontId="11" fillId="2" borderId="35" xfId="1" applyNumberFormat="1" applyFont="1" applyFill="1" applyBorder="1" applyAlignment="1">
      <alignment horizontal="center" vertical="center" wrapText="1"/>
    </xf>
    <xf numFmtId="0" fontId="11" fillId="2" borderId="0" xfId="1" applyFont="1" applyFill="1">
      <alignment vertical="center"/>
    </xf>
    <xf numFmtId="178" fontId="11" fillId="0" borderId="36" xfId="0" applyNumberFormat="1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179" fontId="11" fillId="0" borderId="38" xfId="0" applyNumberFormat="1" applyFont="1" applyBorder="1" applyAlignment="1">
      <alignment horizontal="center" vertical="center" wrapText="1"/>
    </xf>
    <xf numFmtId="0" fontId="11" fillId="0" borderId="38" xfId="1" applyFont="1" applyBorder="1" applyAlignment="1">
      <alignment vertical="center" wrapText="1"/>
    </xf>
    <xf numFmtId="180" fontId="11" fillId="2" borderId="39" xfId="0" applyNumberFormat="1" applyFont="1" applyFill="1" applyBorder="1" applyAlignment="1">
      <alignment horizontal="right" vertical="center" wrapText="1"/>
    </xf>
    <xf numFmtId="177" fontId="11" fillId="2" borderId="40" xfId="0" applyNumberFormat="1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38" xfId="0" applyFont="1" applyFill="1" applyBorder="1" applyAlignment="1">
      <alignment horizontal="center" vertical="center" wrapText="1"/>
    </xf>
    <xf numFmtId="0" fontId="11" fillId="2" borderId="37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181" fontId="11" fillId="2" borderId="38" xfId="1" applyNumberFormat="1" applyFont="1" applyFill="1" applyBorder="1" applyAlignment="1">
      <alignment horizontal="right" vertical="center" wrapText="1"/>
    </xf>
    <xf numFmtId="183" fontId="11" fillId="2" borderId="43" xfId="1" applyNumberFormat="1" applyFont="1" applyFill="1" applyBorder="1" applyAlignment="1">
      <alignment horizontal="center" vertical="center" wrapText="1"/>
    </xf>
    <xf numFmtId="178" fontId="11" fillId="0" borderId="44" xfId="0" applyNumberFormat="1" applyFont="1" applyBorder="1" applyAlignment="1">
      <alignment horizontal="center" vertical="center" wrapText="1"/>
    </xf>
    <xf numFmtId="180" fontId="11" fillId="2" borderId="45" xfId="0" applyNumberFormat="1" applyFont="1" applyFill="1" applyBorder="1" applyAlignment="1">
      <alignment horizontal="right" vertical="center" wrapText="1"/>
    </xf>
    <xf numFmtId="177" fontId="11" fillId="2" borderId="46" xfId="0" applyNumberFormat="1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37" xfId="0" applyFont="1" applyFill="1" applyBorder="1" applyAlignment="1">
      <alignment horizontal="center" vertical="center" wrapText="1"/>
    </xf>
    <xf numFmtId="179" fontId="11" fillId="3" borderId="38" xfId="0" applyNumberFormat="1" applyFont="1" applyFill="1" applyBorder="1" applyAlignment="1">
      <alignment horizontal="center" vertical="center" wrapText="1"/>
    </xf>
    <xf numFmtId="0" fontId="11" fillId="3" borderId="38" xfId="1" applyFont="1" applyFill="1" applyBorder="1" applyAlignment="1">
      <alignment vertical="center" wrapText="1"/>
    </xf>
    <xf numFmtId="180" fontId="11" fillId="3" borderId="45" xfId="0" applyNumberFormat="1" applyFont="1" applyFill="1" applyBorder="1" applyAlignment="1">
      <alignment horizontal="right" vertical="center" wrapText="1"/>
    </xf>
    <xf numFmtId="177" fontId="11" fillId="3" borderId="46" xfId="0" applyNumberFormat="1" applyFont="1" applyFill="1" applyBorder="1" applyAlignment="1">
      <alignment horizontal="center" vertical="center" wrapText="1"/>
    </xf>
    <xf numFmtId="0" fontId="11" fillId="3" borderId="41" xfId="0" applyFont="1" applyFill="1" applyBorder="1" applyAlignment="1">
      <alignment horizontal="center" vertical="center" wrapText="1"/>
    </xf>
    <xf numFmtId="0" fontId="11" fillId="3" borderId="38" xfId="0" applyFont="1" applyFill="1" applyBorder="1" applyAlignment="1">
      <alignment horizontal="center" vertical="center" wrapText="1"/>
    </xf>
    <xf numFmtId="0" fontId="11" fillId="3" borderId="42" xfId="0" applyFont="1" applyFill="1" applyBorder="1" applyAlignment="1">
      <alignment horizontal="center" vertical="center" wrapText="1"/>
    </xf>
    <xf numFmtId="181" fontId="11" fillId="3" borderId="38" xfId="1" applyNumberFormat="1" applyFont="1" applyFill="1" applyBorder="1" applyAlignment="1">
      <alignment horizontal="right" vertical="center" wrapText="1"/>
    </xf>
    <xf numFmtId="184" fontId="11" fillId="3" borderId="43" xfId="1" applyNumberFormat="1" applyFont="1" applyFill="1" applyBorder="1" applyAlignment="1">
      <alignment horizontal="center" vertical="center" wrapText="1"/>
    </xf>
    <xf numFmtId="0" fontId="11" fillId="3" borderId="0" xfId="1" applyFont="1" applyFill="1">
      <alignment vertical="center"/>
    </xf>
    <xf numFmtId="180" fontId="11" fillId="3" borderId="39" xfId="0" applyNumberFormat="1" applyFont="1" applyFill="1" applyBorder="1" applyAlignment="1">
      <alignment horizontal="right" vertical="center" wrapText="1"/>
    </xf>
    <xf numFmtId="177" fontId="11" fillId="3" borderId="40" xfId="0" applyNumberFormat="1" applyFont="1" applyFill="1" applyBorder="1" applyAlignment="1">
      <alignment horizontal="center" vertical="center" wrapText="1"/>
    </xf>
    <xf numFmtId="182" fontId="11" fillId="3" borderId="47" xfId="1" applyNumberFormat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180" fontId="11" fillId="3" borderId="48" xfId="0" applyNumberFormat="1" applyFont="1" applyFill="1" applyBorder="1" applyAlignment="1">
      <alignment horizontal="right" vertical="center" wrapText="1"/>
    </xf>
    <xf numFmtId="177" fontId="11" fillId="3" borderId="49" xfId="0" applyNumberFormat="1" applyFont="1" applyFill="1" applyBorder="1" applyAlignment="1">
      <alignment horizontal="center" vertical="center" wrapText="1"/>
    </xf>
    <xf numFmtId="0" fontId="11" fillId="3" borderId="50" xfId="0" applyFont="1" applyFill="1" applyBorder="1" applyAlignment="1">
      <alignment horizontal="center" vertical="center" wrapText="1"/>
    </xf>
    <xf numFmtId="0" fontId="11" fillId="3" borderId="51" xfId="0" applyFont="1" applyFill="1" applyBorder="1" applyAlignment="1">
      <alignment horizontal="center" vertical="center" wrapText="1"/>
    </xf>
    <xf numFmtId="183" fontId="11" fillId="3" borderId="43" xfId="1" applyNumberFormat="1" applyFont="1" applyFill="1" applyBorder="1" applyAlignment="1">
      <alignment horizontal="center" vertical="center" wrapText="1"/>
    </xf>
    <xf numFmtId="41" fontId="6" fillId="2" borderId="54" xfId="1" applyNumberFormat="1" applyFont="1" applyFill="1" applyBorder="1" applyAlignment="1">
      <alignment horizontal="center" vertical="center" wrapText="1"/>
    </xf>
    <xf numFmtId="43" fontId="6" fillId="2" borderId="55" xfId="1" applyNumberFormat="1" applyFont="1" applyFill="1" applyBorder="1" applyAlignment="1">
      <alignment horizontal="right" vertical="center" wrapText="1"/>
    </xf>
    <xf numFmtId="0" fontId="13" fillId="2" borderId="56" xfId="1" applyFont="1" applyFill="1" applyBorder="1" applyAlignment="1">
      <alignment horizontal="center" vertical="center" wrapText="1"/>
    </xf>
    <xf numFmtId="0" fontId="14" fillId="0" borderId="59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177" fontId="5" fillId="0" borderId="0" xfId="1" applyNumberFormat="1" applyFont="1">
      <alignment vertical="center"/>
    </xf>
    <xf numFmtId="20" fontId="5" fillId="0" borderId="0" xfId="1" applyNumberFormat="1" applyFont="1">
      <alignment vertical="center"/>
    </xf>
    <xf numFmtId="0" fontId="5" fillId="4" borderId="0" xfId="1" applyFont="1" applyFill="1">
      <alignment vertical="center"/>
    </xf>
    <xf numFmtId="185" fontId="5" fillId="0" borderId="0" xfId="1" applyNumberFormat="1" applyFont="1">
      <alignment vertical="center"/>
    </xf>
    <xf numFmtId="0" fontId="5" fillId="5" borderId="0" xfId="1" applyFont="1" applyFill="1">
      <alignment vertical="center"/>
    </xf>
    <xf numFmtId="0" fontId="5" fillId="6" borderId="0" xfId="1" applyFont="1" applyFill="1">
      <alignment vertical="center"/>
    </xf>
    <xf numFmtId="0" fontId="11" fillId="3" borderId="29" xfId="0" applyFont="1" applyFill="1" applyBorder="1" applyAlignment="1">
      <alignment horizontal="center" vertical="center" wrapText="1"/>
    </xf>
    <xf numFmtId="179" fontId="11" fillId="3" borderId="30" xfId="0" applyNumberFormat="1" applyFont="1" applyFill="1" applyBorder="1" applyAlignment="1">
      <alignment horizontal="center" vertical="center" wrapText="1"/>
    </xf>
    <xf numFmtId="0" fontId="11" fillId="3" borderId="30" xfId="1" applyFont="1" applyFill="1" applyBorder="1" applyAlignment="1">
      <alignment vertical="center" wrapText="1"/>
    </xf>
    <xf numFmtId="180" fontId="11" fillId="0" borderId="39" xfId="0" applyNumberFormat="1" applyFont="1" applyBorder="1" applyAlignment="1">
      <alignment horizontal="right" vertical="center" wrapText="1"/>
    </xf>
    <xf numFmtId="177" fontId="11" fillId="0" borderId="40" xfId="0" applyNumberFormat="1" applyFont="1" applyBorder="1" applyAlignment="1">
      <alignment horizontal="center" vertical="center" wrapText="1"/>
    </xf>
    <xf numFmtId="180" fontId="11" fillId="0" borderId="45" xfId="0" applyNumberFormat="1" applyFont="1" applyBorder="1" applyAlignment="1">
      <alignment horizontal="right" vertical="center" wrapText="1"/>
    </xf>
    <xf numFmtId="177" fontId="11" fillId="0" borderId="46" xfId="0" applyNumberFormat="1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181" fontId="11" fillId="0" borderId="38" xfId="1" applyNumberFormat="1" applyFont="1" applyBorder="1" applyAlignment="1">
      <alignment horizontal="right" vertical="center" wrapText="1"/>
    </xf>
    <xf numFmtId="184" fontId="11" fillId="0" borderId="43" xfId="1" applyNumberFormat="1" applyFont="1" applyBorder="1" applyAlignment="1">
      <alignment horizontal="center" vertical="center" wrapText="1"/>
    </xf>
    <xf numFmtId="178" fontId="11" fillId="2" borderId="36" xfId="0" applyNumberFormat="1" applyFont="1" applyFill="1" applyBorder="1" applyAlignment="1">
      <alignment horizontal="center" vertical="center" wrapText="1"/>
    </xf>
    <xf numFmtId="179" fontId="11" fillId="2" borderId="30" xfId="0" applyNumberFormat="1" applyFont="1" applyFill="1" applyBorder="1" applyAlignment="1">
      <alignment horizontal="center" vertical="center" wrapText="1"/>
    </xf>
    <xf numFmtId="0" fontId="11" fillId="2" borderId="30" xfId="1" applyFont="1" applyFill="1" applyBorder="1" applyAlignment="1">
      <alignment vertical="center" wrapText="1"/>
    </xf>
    <xf numFmtId="184" fontId="11" fillId="2" borderId="43" xfId="1" applyNumberFormat="1" applyFont="1" applyFill="1" applyBorder="1" applyAlignment="1">
      <alignment horizontal="center" vertical="center" wrapText="1"/>
    </xf>
    <xf numFmtId="177" fontId="11" fillId="2" borderId="0" xfId="1" applyNumberFormat="1" applyFont="1" applyFill="1">
      <alignment vertical="center"/>
    </xf>
    <xf numFmtId="10" fontId="11" fillId="2" borderId="0" xfId="2" applyNumberFormat="1" applyFont="1" applyFill="1">
      <alignment vertical="center"/>
    </xf>
    <xf numFmtId="0" fontId="11" fillId="0" borderId="30" xfId="1" applyFont="1" applyBorder="1" applyAlignment="1">
      <alignment horizontal="center" vertical="center" wrapText="1"/>
    </xf>
    <xf numFmtId="178" fontId="11" fillId="3" borderId="36" xfId="0" applyNumberFormat="1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3" borderId="30" xfId="1" applyFont="1" applyFill="1" applyBorder="1" applyAlignment="1">
      <alignment horizontal="center" vertical="center" wrapText="1"/>
    </xf>
    <xf numFmtId="2" fontId="11" fillId="3" borderId="41" xfId="0" applyNumberFormat="1" applyFont="1" applyFill="1" applyBorder="1" applyAlignment="1">
      <alignment horizontal="center" vertical="center" wrapText="1"/>
    </xf>
    <xf numFmtId="1" fontId="11" fillId="2" borderId="42" xfId="0" applyNumberFormat="1" applyFont="1" applyFill="1" applyBorder="1" applyAlignment="1">
      <alignment horizontal="center" vertical="center" wrapText="1"/>
    </xf>
    <xf numFmtId="178" fontId="11" fillId="0" borderId="36" xfId="0" applyNumberFormat="1" applyFont="1" applyBorder="1" applyAlignment="1">
      <alignment vertical="center" wrapText="1"/>
    </xf>
    <xf numFmtId="0" fontId="5" fillId="0" borderId="0" xfId="1" applyFont="1" applyAlignment="1">
      <alignment horizontal="center" vertical="center"/>
    </xf>
    <xf numFmtId="0" fontId="14" fillId="0" borderId="59" xfId="1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4" fillId="0" borderId="59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4" fillId="0" borderId="59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4" fillId="0" borderId="59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4" fillId="0" borderId="59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4" fillId="0" borderId="59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2" fillId="2" borderId="52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14" fillId="0" borderId="57" xfId="1" applyFont="1" applyBorder="1" applyAlignment="1">
      <alignment horizontal="center" vertical="center" wrapText="1"/>
    </xf>
    <xf numFmtId="0" fontId="14" fillId="0" borderId="58" xfId="1" applyFont="1" applyBorder="1" applyAlignment="1">
      <alignment horizontal="center" vertical="center" wrapText="1"/>
    </xf>
    <xf numFmtId="41" fontId="13" fillId="0" borderId="20" xfId="1" applyNumberFormat="1" applyFont="1" applyBorder="1" applyAlignment="1">
      <alignment horizontal="center" vertical="center" wrapText="1"/>
    </xf>
    <xf numFmtId="0" fontId="13" fillId="0" borderId="60" xfId="1" applyFont="1" applyBorder="1" applyAlignment="1">
      <alignment horizontal="center" vertical="center" wrapText="1"/>
    </xf>
    <xf numFmtId="0" fontId="13" fillId="0" borderId="61" xfId="1" applyFont="1" applyBorder="1" applyAlignment="1">
      <alignment horizontal="center" vertical="center" wrapText="1"/>
    </xf>
    <xf numFmtId="0" fontId="14" fillId="0" borderId="60" xfId="1" applyFont="1" applyBorder="1" applyAlignment="1">
      <alignment horizontal="center" vertical="center" wrapText="1"/>
    </xf>
    <xf numFmtId="0" fontId="14" fillId="0" borderId="59" xfId="1" applyFont="1" applyBorder="1" applyAlignment="1">
      <alignment horizontal="center" vertical="center" wrapText="1"/>
    </xf>
    <xf numFmtId="0" fontId="13" fillId="0" borderId="62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28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21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177" fontId="10" fillId="0" borderId="14" xfId="1" applyNumberFormat="1" applyFont="1" applyBorder="1" applyAlignment="1">
      <alignment horizontal="center" vertical="center" wrapText="1"/>
    </xf>
    <xf numFmtId="177" fontId="11" fillId="0" borderId="23" xfId="1" applyNumberFormat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24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27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176" fontId="9" fillId="0" borderId="0" xfId="1" applyNumberFormat="1" applyFont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</cellXfs>
  <cellStyles count="3">
    <cellStyle name="백분율" xfId="2" builtinId="5"/>
    <cellStyle name="표준" xfId="0" builtinId="0"/>
    <cellStyle name="표준 6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calcChain" Target="calcChain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0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8878B2B-7BBC-40E9-92E2-983FD886B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464750D-4EF0-4538-B55A-A3A35F02B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D51B90-E894-4314-B193-6CFF11BF3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861C758-4069-4E7F-9FEC-F88BAF651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C1C1EB4-9A52-497B-97D5-00282D72F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420C461-DF95-4E27-BD77-F6C895245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C9F6747-B063-4D0D-9C83-708B6DA3E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3D9A1B-C287-433C-8274-BC4173E4D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BD6A78F-6A1E-4798-9696-0AFB1FDE7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0718737-A50D-4F29-AAE0-B195B6746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7D85DB1-1277-4F9A-AB63-C5796FA8A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0D7E0C4-F0EE-4212-AE5D-80126AFB2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4DAF893-44E0-4C75-AA3E-B096B470D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5659A1-1750-48DE-9939-8CCF98E74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7BB0AA2-14F8-4666-804D-691674696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010" y="2101"/>
          <a:ext cx="5578288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448235</xdr:colOff>
      <xdr:row>0</xdr:row>
      <xdr:rowOff>2101</xdr:rowOff>
    </xdr:from>
    <xdr:to>
      <xdr:col>11</xdr:col>
      <xdr:colOff>4426323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2101"/>
          <a:ext cx="5580529" cy="737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4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3</xdr:row>
      <xdr:rowOff>456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4151041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423" y="2101"/>
          <a:ext cx="5246594" cy="73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504648</xdr:colOff>
      <xdr:row>0</xdr:row>
      <xdr:rowOff>2101</xdr:rowOff>
    </xdr:from>
    <xdr:to>
      <xdr:col>11</xdr:col>
      <xdr:colOff>4151042</xdr:colOff>
      <xdr:row>2</xdr:row>
      <xdr:rowOff>245385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6913" y="2101"/>
          <a:ext cx="5248835" cy="736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347766</xdr:colOff>
      <xdr:row>0</xdr:row>
      <xdr:rowOff>35718</xdr:rowOff>
    </xdr:from>
    <xdr:to>
      <xdr:col>11</xdr:col>
      <xdr:colOff>3994160</xdr:colOff>
      <xdr:row>3</xdr:row>
      <xdr:rowOff>32473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0031" y="35718"/>
          <a:ext cx="5248835" cy="736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7.x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8.x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9.xml"/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0.xml"/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1.x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2.xml"/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3.xml"/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4.xml"/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5.xml"/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6.xml"/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7.xml"/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8.xml"/><Relationship Id="rId1" Type="http://schemas.openxmlformats.org/officeDocument/2006/relationships/printerSettings" Target="../printerSettings/printerSettings18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35C0-2F94-49D1-A18F-7D2595A3AEB7}">
  <sheetPr>
    <pageSetUpPr fitToPage="1"/>
  </sheetPr>
  <dimension ref="A1:O197"/>
  <sheetViews>
    <sheetView tabSelected="1" view="pageBreakPreview" topLeftCell="A52" zoomScale="85" zoomScaleNormal="100" zoomScaleSheetLayoutView="85" workbookViewId="0">
      <selection activeCell="A69" sqref="A69"/>
    </sheetView>
  </sheetViews>
  <sheetFormatPr defaultRowHeight="13.5" x14ac:dyDescent="0.3"/>
  <cols>
    <col min="1" max="1" width="8.625" style="111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5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5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5" ht="20.100000000000001" customHeight="1" thickBot="1" x14ac:dyDescent="0.35">
      <c r="A3" s="144" t="s">
        <v>1</v>
      </c>
      <c r="B3" s="145"/>
      <c r="C3" s="146">
        <v>46259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5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5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5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5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105" si="0">(H7/1000*I7/1000)*J7</f>
        <v>0</v>
      </c>
      <c r="L7" s="26">
        <f>SUM(J7:J58)</f>
        <v>119</v>
      </c>
    </row>
    <row r="8" spans="1:15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SUM(K7:K58)</f>
        <v>749.972714</v>
      </c>
    </row>
    <row r="9" spans="1:15" s="27" customFormat="1" ht="19.5" customHeight="1" x14ac:dyDescent="0.3">
      <c r="A9" s="28" t="s">
        <v>7866</v>
      </c>
      <c r="B9" s="16" t="s">
        <v>818</v>
      </c>
      <c r="C9" s="17">
        <v>22</v>
      </c>
      <c r="D9" s="18" t="s">
        <v>17</v>
      </c>
      <c r="E9" s="41">
        <v>1</v>
      </c>
      <c r="F9" s="42">
        <v>1.44</v>
      </c>
      <c r="G9" s="34"/>
      <c r="H9" s="35"/>
      <c r="I9" s="36"/>
      <c r="J9" s="37"/>
      <c r="K9" s="85">
        <f t="shared" si="0"/>
        <v>0</v>
      </c>
      <c r="L9" s="39" t="s">
        <v>31</v>
      </c>
      <c r="M9" s="27">
        <v>2</v>
      </c>
      <c r="N9" s="91">
        <f>F9</f>
        <v>1.44</v>
      </c>
      <c r="O9" s="27">
        <f>N9*M9</f>
        <v>2.88</v>
      </c>
    </row>
    <row r="10" spans="1:15" s="27" customFormat="1" ht="19.5" customHeight="1" x14ac:dyDescent="0.3">
      <c r="A10" s="28"/>
      <c r="B10" s="16"/>
      <c r="C10" s="17">
        <v>24</v>
      </c>
      <c r="D10" s="18" t="s">
        <v>819</v>
      </c>
      <c r="E10" s="41">
        <v>2</v>
      </c>
      <c r="F10" s="42">
        <v>2.2400000000000002</v>
      </c>
      <c r="G10" s="34"/>
      <c r="H10" s="35"/>
      <c r="I10" s="36"/>
      <c r="J10" s="37"/>
      <c r="K10" s="25">
        <f t="shared" si="0"/>
        <v>0</v>
      </c>
      <c r="L10" s="39" t="s">
        <v>31</v>
      </c>
      <c r="M10" s="27">
        <v>2</v>
      </c>
      <c r="N10" s="91">
        <f t="shared" ref="N10:N99" si="1">F10</f>
        <v>2.2400000000000002</v>
      </c>
      <c r="O10" s="27">
        <f t="shared" ref="O10:O99" si="2">N10*M10</f>
        <v>4.4800000000000004</v>
      </c>
    </row>
    <row r="11" spans="1:15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  <c r="N11" s="91">
        <f t="shared" si="1"/>
        <v>0</v>
      </c>
      <c r="O11" s="27">
        <f t="shared" si="2"/>
        <v>0</v>
      </c>
    </row>
    <row r="12" spans="1:15" s="27" customFormat="1" ht="19.5" customHeight="1" x14ac:dyDescent="0.3">
      <c r="A12" s="28" t="s">
        <v>7866</v>
      </c>
      <c r="B12" s="16" t="s">
        <v>818</v>
      </c>
      <c r="C12" s="17">
        <v>10</v>
      </c>
      <c r="D12" s="18" t="s">
        <v>926</v>
      </c>
      <c r="E12" s="41">
        <v>1</v>
      </c>
      <c r="F12" s="42">
        <v>2.41</v>
      </c>
      <c r="G12" s="34" t="s">
        <v>927</v>
      </c>
      <c r="H12" s="35">
        <v>2438</v>
      </c>
      <c r="I12" s="36">
        <v>3353</v>
      </c>
      <c r="J12" s="37">
        <v>3</v>
      </c>
      <c r="K12" s="25">
        <f t="shared" si="0"/>
        <v>24.523842000000002</v>
      </c>
      <c r="L12" s="39" t="s">
        <v>7868</v>
      </c>
      <c r="M12" s="27">
        <v>1</v>
      </c>
      <c r="N12" s="91">
        <f t="shared" si="1"/>
        <v>2.41</v>
      </c>
      <c r="O12" s="27">
        <f t="shared" si="2"/>
        <v>2.41</v>
      </c>
    </row>
    <row r="13" spans="1:15" s="27" customFormat="1" ht="19.5" customHeight="1" x14ac:dyDescent="0.3">
      <c r="A13" s="28" t="s">
        <v>7869</v>
      </c>
      <c r="B13" s="16" t="s">
        <v>7870</v>
      </c>
      <c r="C13" s="17">
        <v>10</v>
      </c>
      <c r="D13" s="18" t="s">
        <v>926</v>
      </c>
      <c r="E13" s="41">
        <v>5</v>
      </c>
      <c r="F13" s="42">
        <v>15.85</v>
      </c>
      <c r="G13" s="34"/>
      <c r="H13" s="35"/>
      <c r="I13" s="36"/>
      <c r="J13" s="37"/>
      <c r="K13" s="25">
        <f t="shared" si="0"/>
        <v>0</v>
      </c>
      <c r="L13" s="39" t="s">
        <v>7868</v>
      </c>
      <c r="M13" s="27">
        <v>1</v>
      </c>
      <c r="N13" s="91">
        <f t="shared" si="1"/>
        <v>15.85</v>
      </c>
      <c r="O13" s="27">
        <f t="shared" si="2"/>
        <v>15.85</v>
      </c>
    </row>
    <row r="14" spans="1:15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0"/>
        <v>0</v>
      </c>
      <c r="L14" s="39"/>
      <c r="N14" s="91">
        <f t="shared" si="1"/>
        <v>0</v>
      </c>
      <c r="O14" s="27">
        <f t="shared" si="2"/>
        <v>0</v>
      </c>
    </row>
    <row r="15" spans="1:15" s="27" customFormat="1" ht="19.5" customHeight="1" x14ac:dyDescent="0.3">
      <c r="A15" s="28" t="s">
        <v>7871</v>
      </c>
      <c r="B15" s="16" t="s">
        <v>694</v>
      </c>
      <c r="C15" s="17">
        <v>10</v>
      </c>
      <c r="D15" s="18" t="s">
        <v>7872</v>
      </c>
      <c r="E15" s="41">
        <v>1</v>
      </c>
      <c r="F15" s="42">
        <v>1.64</v>
      </c>
      <c r="G15" s="34"/>
      <c r="H15" s="35"/>
      <c r="I15" s="36"/>
      <c r="J15" s="37"/>
      <c r="K15" s="25">
        <f t="shared" si="0"/>
        <v>0</v>
      </c>
      <c r="L15" s="39" t="s">
        <v>31</v>
      </c>
      <c r="M15" s="27">
        <v>1</v>
      </c>
      <c r="N15" s="91">
        <f t="shared" si="1"/>
        <v>1.64</v>
      </c>
      <c r="O15" s="27">
        <f t="shared" si="2"/>
        <v>1.64</v>
      </c>
    </row>
    <row r="16" spans="1:15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  <c r="N16" s="91">
        <f t="shared" si="1"/>
        <v>0</v>
      </c>
      <c r="O16" s="27">
        <f t="shared" si="2"/>
        <v>0</v>
      </c>
    </row>
    <row r="17" spans="1:15" s="27" customFormat="1" ht="19.5" customHeight="1" x14ac:dyDescent="0.3">
      <c r="A17" s="28" t="s">
        <v>7889</v>
      </c>
      <c r="B17" s="16" t="s">
        <v>7890</v>
      </c>
      <c r="C17" s="17">
        <v>24</v>
      </c>
      <c r="D17" s="18" t="s">
        <v>7891</v>
      </c>
      <c r="E17" s="41">
        <v>102</v>
      </c>
      <c r="F17" s="42">
        <v>139.91</v>
      </c>
      <c r="G17" s="34" t="s">
        <v>7892</v>
      </c>
      <c r="H17" s="35">
        <v>2438</v>
      </c>
      <c r="I17" s="36">
        <v>3353</v>
      </c>
      <c r="J17" s="37">
        <v>20</v>
      </c>
      <c r="K17" s="25">
        <f t="shared" ref="K17" si="3">(H17/1000*I17/1000)*J17</f>
        <v>163.49227999999999</v>
      </c>
      <c r="L17" s="39" t="s">
        <v>7893</v>
      </c>
      <c r="M17" s="27">
        <v>1</v>
      </c>
      <c r="N17" s="91">
        <f t="shared" si="1"/>
        <v>139.91</v>
      </c>
      <c r="O17" s="27">
        <f t="shared" si="2"/>
        <v>139.91</v>
      </c>
    </row>
    <row r="18" spans="1:15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  <c r="N18" s="91">
        <f t="shared" si="1"/>
        <v>0</v>
      </c>
      <c r="O18" s="27">
        <f t="shared" si="2"/>
        <v>0</v>
      </c>
    </row>
    <row r="19" spans="1:15" s="27" customFormat="1" ht="19.5" customHeight="1" x14ac:dyDescent="0.3">
      <c r="A19" s="28" t="s">
        <v>7894</v>
      </c>
      <c r="B19" s="16" t="s">
        <v>7895</v>
      </c>
      <c r="C19" s="17">
        <v>22</v>
      </c>
      <c r="D19" s="18" t="s">
        <v>7896</v>
      </c>
      <c r="E19" s="41">
        <v>34</v>
      </c>
      <c r="F19" s="42">
        <v>54.96</v>
      </c>
      <c r="G19" s="34" t="s">
        <v>7898</v>
      </c>
      <c r="H19" s="35">
        <v>1829</v>
      </c>
      <c r="I19" s="36">
        <v>3353</v>
      </c>
      <c r="J19" s="37">
        <v>12</v>
      </c>
      <c r="K19" s="25">
        <f t="shared" si="0"/>
        <v>73.591644000000002</v>
      </c>
      <c r="L19" s="39" t="s">
        <v>7900</v>
      </c>
      <c r="M19" s="27">
        <v>2</v>
      </c>
      <c r="N19" s="91">
        <f t="shared" si="1"/>
        <v>54.96</v>
      </c>
      <c r="O19" s="27">
        <f t="shared" si="2"/>
        <v>109.92</v>
      </c>
    </row>
    <row r="20" spans="1:15" s="27" customFormat="1" ht="19.5" customHeight="1" x14ac:dyDescent="0.3">
      <c r="A20" s="28"/>
      <c r="B20" s="16"/>
      <c r="C20" s="17">
        <v>22</v>
      </c>
      <c r="D20" s="18" t="s">
        <v>7897</v>
      </c>
      <c r="E20" s="41">
        <v>34</v>
      </c>
      <c r="F20" s="42">
        <v>54.96</v>
      </c>
      <c r="G20" s="34" t="s">
        <v>7887</v>
      </c>
      <c r="H20" s="35">
        <v>1829</v>
      </c>
      <c r="I20" s="36">
        <v>3353</v>
      </c>
      <c r="J20" s="37">
        <v>12</v>
      </c>
      <c r="K20" s="25">
        <f t="shared" si="0"/>
        <v>73.591644000000002</v>
      </c>
      <c r="L20" s="39" t="s">
        <v>7900</v>
      </c>
      <c r="M20" s="27">
        <v>2</v>
      </c>
      <c r="N20" s="91">
        <f t="shared" si="1"/>
        <v>54.96</v>
      </c>
      <c r="O20" s="27">
        <f t="shared" si="2"/>
        <v>109.92</v>
      </c>
    </row>
    <row r="21" spans="1:15" s="27" customFormat="1" ht="19.5" customHeight="1" x14ac:dyDescent="0.3">
      <c r="A21" s="28"/>
      <c r="B21" s="16"/>
      <c r="C21" s="17"/>
      <c r="D21" s="18"/>
      <c r="E21" s="41"/>
      <c r="F21" s="42"/>
      <c r="G21" s="34" t="s">
        <v>7899</v>
      </c>
      <c r="H21" s="35">
        <v>1829</v>
      </c>
      <c r="I21" s="36">
        <v>3048</v>
      </c>
      <c r="J21" s="37">
        <v>12</v>
      </c>
      <c r="K21" s="25">
        <f t="shared" si="0"/>
        <v>66.897503999999998</v>
      </c>
      <c r="L21" s="39"/>
      <c r="N21" s="91">
        <f t="shared" si="1"/>
        <v>0</v>
      </c>
      <c r="O21" s="27">
        <f t="shared" si="2"/>
        <v>0</v>
      </c>
    </row>
    <row r="22" spans="1:15" s="27" customFormat="1" ht="19.5" customHeight="1" x14ac:dyDescent="0.3">
      <c r="A22" s="28"/>
      <c r="B22" s="16"/>
      <c r="C22" s="17"/>
      <c r="D22" s="18"/>
      <c r="E22" s="41"/>
      <c r="F22" s="42"/>
      <c r="G22" s="34" t="s">
        <v>7899</v>
      </c>
      <c r="H22" s="35">
        <v>1829</v>
      </c>
      <c r="I22" s="36">
        <v>3353</v>
      </c>
      <c r="J22" s="37">
        <v>12</v>
      </c>
      <c r="K22" s="85">
        <f t="shared" si="0"/>
        <v>73.591644000000002</v>
      </c>
      <c r="L22" s="39"/>
      <c r="N22" s="91">
        <f t="shared" si="1"/>
        <v>0</v>
      </c>
      <c r="O22" s="27">
        <f t="shared" si="2"/>
        <v>0</v>
      </c>
    </row>
    <row r="23" spans="1:15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  <c r="N23" s="91">
        <f t="shared" si="1"/>
        <v>0</v>
      </c>
      <c r="O23" s="27">
        <f t="shared" si="2"/>
        <v>0</v>
      </c>
    </row>
    <row r="24" spans="1:15" s="27" customFormat="1" ht="19.5" customHeight="1" x14ac:dyDescent="0.3">
      <c r="A24" s="28" t="s">
        <v>7901</v>
      </c>
      <c r="B24" s="16" t="s">
        <v>7895</v>
      </c>
      <c r="C24" s="17">
        <v>22</v>
      </c>
      <c r="D24" s="18" t="s">
        <v>7896</v>
      </c>
      <c r="E24" s="41">
        <v>38</v>
      </c>
      <c r="F24" s="42">
        <v>61.62</v>
      </c>
      <c r="G24" s="34" t="s">
        <v>7898</v>
      </c>
      <c r="H24" s="35">
        <v>1829</v>
      </c>
      <c r="I24" s="36">
        <v>3353</v>
      </c>
      <c r="J24" s="37">
        <v>12</v>
      </c>
      <c r="K24" s="25">
        <f t="shared" si="0"/>
        <v>73.591644000000002</v>
      </c>
      <c r="L24" s="39" t="s">
        <v>7900</v>
      </c>
      <c r="M24" s="27">
        <v>2</v>
      </c>
      <c r="N24" s="91">
        <f t="shared" si="1"/>
        <v>61.62</v>
      </c>
      <c r="O24" s="27">
        <f t="shared" si="2"/>
        <v>123.24</v>
      </c>
    </row>
    <row r="25" spans="1:15" s="27" customFormat="1" ht="19.5" customHeight="1" x14ac:dyDescent="0.3">
      <c r="A25" s="28"/>
      <c r="B25" s="16"/>
      <c r="C25" s="17">
        <v>22</v>
      </c>
      <c r="D25" s="18" t="s">
        <v>7897</v>
      </c>
      <c r="E25" s="41">
        <v>38</v>
      </c>
      <c r="F25" s="42">
        <v>61.62</v>
      </c>
      <c r="G25" s="34" t="s">
        <v>7887</v>
      </c>
      <c r="H25" s="35">
        <v>1829</v>
      </c>
      <c r="I25" s="36">
        <v>3048</v>
      </c>
      <c r="J25" s="37">
        <v>12</v>
      </c>
      <c r="K25" s="25">
        <f t="shared" si="0"/>
        <v>66.897503999999998</v>
      </c>
      <c r="L25" s="39" t="s">
        <v>7900</v>
      </c>
      <c r="M25" s="27">
        <v>2</v>
      </c>
      <c r="N25" s="91">
        <f t="shared" si="1"/>
        <v>61.62</v>
      </c>
      <c r="O25" s="27">
        <f t="shared" si="2"/>
        <v>123.24</v>
      </c>
    </row>
    <row r="26" spans="1:15" s="27" customFormat="1" ht="19.5" customHeight="1" x14ac:dyDescent="0.3">
      <c r="A26" s="28"/>
      <c r="B26" s="16"/>
      <c r="C26" s="17"/>
      <c r="D26" s="18"/>
      <c r="E26" s="41"/>
      <c r="F26" s="42"/>
      <c r="G26" s="34" t="s">
        <v>7899</v>
      </c>
      <c r="H26" s="35">
        <v>1829</v>
      </c>
      <c r="I26" s="36">
        <v>3048</v>
      </c>
      <c r="J26" s="37">
        <v>24</v>
      </c>
      <c r="K26" s="25">
        <f t="shared" si="0"/>
        <v>133.795008</v>
      </c>
      <c r="L26" s="39"/>
      <c r="N26" s="91">
        <f t="shared" si="1"/>
        <v>0</v>
      </c>
      <c r="O26" s="27">
        <f t="shared" si="2"/>
        <v>0</v>
      </c>
    </row>
    <row r="27" spans="1:15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  <c r="N27" s="91">
        <f t="shared" si="1"/>
        <v>0</v>
      </c>
      <c r="O27" s="27">
        <f t="shared" si="2"/>
        <v>0</v>
      </c>
    </row>
    <row r="28" spans="1:15" s="27" customFormat="1" ht="19.5" customHeight="1" x14ac:dyDescent="0.3">
      <c r="A28" s="28" t="s">
        <v>7902</v>
      </c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  <c r="N28" s="91">
        <f t="shared" si="1"/>
        <v>0</v>
      </c>
      <c r="O28" s="27">
        <f t="shared" si="2"/>
        <v>0</v>
      </c>
    </row>
    <row r="29" spans="1:15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  <c r="N29" s="91">
        <f t="shared" si="1"/>
        <v>0</v>
      </c>
      <c r="O29" s="27">
        <f t="shared" si="2"/>
        <v>0</v>
      </c>
    </row>
    <row r="30" spans="1:15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  <c r="N30" s="91">
        <f t="shared" si="1"/>
        <v>0</v>
      </c>
      <c r="O30" s="27">
        <f t="shared" si="2"/>
        <v>0</v>
      </c>
    </row>
    <row r="31" spans="1:15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  <c r="N31" s="91">
        <f t="shared" si="1"/>
        <v>0</v>
      </c>
      <c r="O31" s="27">
        <f t="shared" si="2"/>
        <v>0</v>
      </c>
    </row>
    <row r="32" spans="1:15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  <c r="N32" s="91">
        <f t="shared" si="1"/>
        <v>0</v>
      </c>
      <c r="O32" s="27">
        <f t="shared" si="2"/>
        <v>0</v>
      </c>
    </row>
    <row r="33" spans="1:15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  <c r="N33" s="91">
        <f t="shared" si="1"/>
        <v>0</v>
      </c>
      <c r="O33" s="27">
        <f t="shared" si="2"/>
        <v>0</v>
      </c>
    </row>
    <row r="34" spans="1:15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  <c r="N34" s="91">
        <f t="shared" si="1"/>
        <v>0</v>
      </c>
      <c r="O34" s="27">
        <f t="shared" si="2"/>
        <v>0</v>
      </c>
    </row>
    <row r="35" spans="1:15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  <c r="N35" s="91">
        <f t="shared" si="1"/>
        <v>0</v>
      </c>
      <c r="O35" s="27">
        <f t="shared" si="2"/>
        <v>0</v>
      </c>
    </row>
    <row r="36" spans="1:15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  <c r="N36" s="91">
        <f t="shared" si="1"/>
        <v>0</v>
      </c>
      <c r="O36" s="27">
        <f t="shared" si="2"/>
        <v>0</v>
      </c>
    </row>
    <row r="37" spans="1:15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  <c r="N37" s="91">
        <f t="shared" si="1"/>
        <v>0</v>
      </c>
      <c r="O37" s="27">
        <f t="shared" si="2"/>
        <v>0</v>
      </c>
    </row>
    <row r="38" spans="1:15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  <c r="N38" s="91">
        <f t="shared" si="1"/>
        <v>0</v>
      </c>
      <c r="O38" s="27">
        <f t="shared" si="2"/>
        <v>0</v>
      </c>
    </row>
    <row r="39" spans="1:15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  <c r="N39" s="91">
        <f t="shared" si="1"/>
        <v>0</v>
      </c>
      <c r="O39" s="27">
        <f t="shared" si="2"/>
        <v>0</v>
      </c>
    </row>
    <row r="40" spans="1:15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0"/>
        <v>0</v>
      </c>
      <c r="L40" s="39"/>
      <c r="N40" s="91">
        <f t="shared" si="1"/>
        <v>0</v>
      </c>
      <c r="O40" s="27">
        <f t="shared" si="2"/>
        <v>0</v>
      </c>
    </row>
    <row r="41" spans="1:15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  <c r="N41" s="91">
        <f t="shared" si="1"/>
        <v>0</v>
      </c>
      <c r="O41" s="27">
        <f t="shared" si="2"/>
        <v>0</v>
      </c>
    </row>
    <row r="42" spans="1:15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0"/>
        <v>0</v>
      </c>
      <c r="L42" s="39"/>
      <c r="N42" s="91">
        <f t="shared" si="1"/>
        <v>0</v>
      </c>
      <c r="O42" s="27">
        <f t="shared" si="2"/>
        <v>0</v>
      </c>
    </row>
    <row r="43" spans="1:15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0"/>
        <v>0</v>
      </c>
      <c r="L43" s="39"/>
      <c r="N43" s="91">
        <f t="shared" si="1"/>
        <v>0</v>
      </c>
      <c r="O43" s="27">
        <f t="shared" si="2"/>
        <v>0</v>
      </c>
    </row>
    <row r="44" spans="1:15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0"/>
        <v>0</v>
      </c>
      <c r="L44" s="39"/>
      <c r="N44" s="91">
        <f t="shared" si="1"/>
        <v>0</v>
      </c>
      <c r="O44" s="27">
        <f t="shared" si="2"/>
        <v>0</v>
      </c>
    </row>
    <row r="45" spans="1:15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25">
        <f t="shared" si="0"/>
        <v>0</v>
      </c>
      <c r="L45" s="39"/>
      <c r="N45" s="91">
        <f t="shared" si="1"/>
        <v>0</v>
      </c>
      <c r="O45" s="27">
        <f t="shared" si="2"/>
        <v>0</v>
      </c>
    </row>
    <row r="46" spans="1:15" s="27" customFormat="1" ht="19.5" customHeight="1" x14ac:dyDescent="0.3">
      <c r="A46" s="28"/>
      <c r="B46" s="16"/>
      <c r="C46" s="17"/>
      <c r="D46" s="18"/>
      <c r="E46" s="41"/>
      <c r="F46" s="42"/>
      <c r="G46" s="34"/>
      <c r="H46" s="35"/>
      <c r="I46" s="36"/>
      <c r="J46" s="37"/>
      <c r="K46" s="25">
        <f t="shared" si="0"/>
        <v>0</v>
      </c>
      <c r="L46" s="39"/>
      <c r="N46" s="91">
        <f t="shared" si="1"/>
        <v>0</v>
      </c>
      <c r="O46" s="27">
        <f t="shared" si="2"/>
        <v>0</v>
      </c>
    </row>
    <row r="47" spans="1:15" s="27" customFormat="1" ht="19.5" customHeight="1" x14ac:dyDescent="0.3">
      <c r="A47" s="28"/>
      <c r="B47" s="16"/>
      <c r="C47" s="17"/>
      <c r="D47" s="18"/>
      <c r="E47" s="41"/>
      <c r="F47" s="42"/>
      <c r="G47" s="34"/>
      <c r="H47" s="35"/>
      <c r="I47" s="36"/>
      <c r="J47" s="37"/>
      <c r="K47" s="25">
        <f t="shared" si="0"/>
        <v>0</v>
      </c>
      <c r="L47" s="39"/>
      <c r="N47" s="91">
        <f t="shared" si="1"/>
        <v>0</v>
      </c>
      <c r="O47" s="27">
        <f t="shared" si="2"/>
        <v>0</v>
      </c>
    </row>
    <row r="48" spans="1:15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25">
        <f t="shared" si="0"/>
        <v>0</v>
      </c>
      <c r="L48" s="39"/>
      <c r="N48" s="91">
        <f t="shared" si="1"/>
        <v>0</v>
      </c>
      <c r="O48" s="27">
        <f t="shared" si="2"/>
        <v>0</v>
      </c>
    </row>
    <row r="49" spans="1:15" s="27" customFormat="1" ht="19.5" customHeight="1" x14ac:dyDescent="0.3">
      <c r="A49" s="28"/>
      <c r="B49" s="16"/>
      <c r="C49" s="17"/>
      <c r="D49" s="18"/>
      <c r="E49" s="41"/>
      <c r="F49" s="42"/>
      <c r="G49" s="34"/>
      <c r="H49" s="35"/>
      <c r="I49" s="36"/>
      <c r="J49" s="37"/>
      <c r="K49" s="25">
        <f t="shared" si="0"/>
        <v>0</v>
      </c>
      <c r="L49" s="39"/>
      <c r="N49" s="91">
        <f t="shared" si="1"/>
        <v>0</v>
      </c>
      <c r="O49" s="27">
        <f t="shared" si="2"/>
        <v>0</v>
      </c>
    </row>
    <row r="50" spans="1:15" s="27" customFormat="1" ht="19.5" customHeight="1" x14ac:dyDescent="0.3">
      <c r="A50" s="28"/>
      <c r="B50" s="16"/>
      <c r="C50" s="17"/>
      <c r="D50" s="18"/>
      <c r="E50" s="41"/>
      <c r="F50" s="42"/>
      <c r="G50" s="34"/>
      <c r="H50" s="35"/>
      <c r="I50" s="36"/>
      <c r="J50" s="37"/>
      <c r="K50" s="25">
        <f t="shared" si="0"/>
        <v>0</v>
      </c>
      <c r="L50" s="39"/>
      <c r="N50" s="91">
        <f t="shared" si="1"/>
        <v>0</v>
      </c>
      <c r="O50" s="27">
        <f t="shared" si="2"/>
        <v>0</v>
      </c>
    </row>
    <row r="51" spans="1:15" s="27" customFormat="1" ht="19.5" customHeight="1" x14ac:dyDescent="0.3">
      <c r="A51" s="28"/>
      <c r="B51" s="16"/>
      <c r="C51" s="17"/>
      <c r="D51" s="18"/>
      <c r="E51" s="41"/>
      <c r="F51" s="42"/>
      <c r="G51" s="34"/>
      <c r="H51" s="35"/>
      <c r="I51" s="36"/>
      <c r="J51" s="37"/>
      <c r="K51" s="25">
        <f t="shared" si="0"/>
        <v>0</v>
      </c>
      <c r="L51" s="39"/>
      <c r="N51" s="91">
        <f t="shared" si="1"/>
        <v>0</v>
      </c>
      <c r="O51" s="27">
        <f t="shared" si="2"/>
        <v>0</v>
      </c>
    </row>
    <row r="52" spans="1:15" s="27" customFormat="1" ht="19.5" customHeight="1" x14ac:dyDescent="0.3">
      <c r="A52" s="28"/>
      <c r="B52" s="16"/>
      <c r="C52" s="17"/>
      <c r="D52" s="18"/>
      <c r="E52" s="41"/>
      <c r="F52" s="42"/>
      <c r="G52" s="34"/>
      <c r="H52" s="35"/>
      <c r="I52" s="36"/>
      <c r="J52" s="37"/>
      <c r="K52" s="25">
        <f t="shared" si="0"/>
        <v>0</v>
      </c>
      <c r="L52" s="39"/>
      <c r="N52" s="91">
        <f t="shared" si="1"/>
        <v>0</v>
      </c>
      <c r="O52" s="27">
        <f t="shared" si="2"/>
        <v>0</v>
      </c>
    </row>
    <row r="53" spans="1:15" s="27" customFormat="1" ht="19.5" customHeight="1" x14ac:dyDescent="0.3">
      <c r="A53" s="28"/>
      <c r="B53" s="16"/>
      <c r="C53" s="17"/>
      <c r="D53" s="18"/>
      <c r="E53" s="41"/>
      <c r="F53" s="42"/>
      <c r="G53" s="34"/>
      <c r="H53" s="35"/>
      <c r="I53" s="36"/>
      <c r="J53" s="37"/>
      <c r="K53" s="25">
        <f t="shared" si="0"/>
        <v>0</v>
      </c>
      <c r="L53" s="39"/>
      <c r="N53" s="91">
        <f t="shared" si="1"/>
        <v>0</v>
      </c>
      <c r="O53" s="27">
        <f t="shared" si="2"/>
        <v>0</v>
      </c>
    </row>
    <row r="54" spans="1:15" s="27" customFormat="1" ht="19.5" customHeight="1" x14ac:dyDescent="0.3">
      <c r="A54" s="28"/>
      <c r="B54" s="16"/>
      <c r="C54" s="17"/>
      <c r="D54" s="18"/>
      <c r="E54" s="41"/>
      <c r="F54" s="42"/>
      <c r="G54" s="34"/>
      <c r="H54" s="35"/>
      <c r="I54" s="36"/>
      <c r="J54" s="37"/>
      <c r="K54" s="25">
        <f t="shared" si="0"/>
        <v>0</v>
      </c>
      <c r="L54" s="39"/>
      <c r="N54" s="91">
        <f t="shared" si="1"/>
        <v>0</v>
      </c>
      <c r="O54" s="27">
        <f t="shared" si="2"/>
        <v>0</v>
      </c>
    </row>
    <row r="55" spans="1:15" s="27" customFormat="1" ht="19.5" customHeight="1" x14ac:dyDescent="0.3">
      <c r="A55" s="28"/>
      <c r="B55" s="16"/>
      <c r="C55" s="17"/>
      <c r="D55" s="18"/>
      <c r="E55" s="41"/>
      <c r="F55" s="42"/>
      <c r="G55" s="34"/>
      <c r="H55" s="35"/>
      <c r="I55" s="36"/>
      <c r="J55" s="37"/>
      <c r="K55" s="25">
        <f t="shared" si="0"/>
        <v>0</v>
      </c>
      <c r="L55" s="39"/>
      <c r="N55" s="91">
        <f t="shared" si="1"/>
        <v>0</v>
      </c>
      <c r="O55" s="27">
        <f t="shared" si="2"/>
        <v>0</v>
      </c>
    </row>
    <row r="56" spans="1:15" s="27" customFormat="1" ht="19.5" customHeight="1" x14ac:dyDescent="0.3">
      <c r="A56" s="28"/>
      <c r="B56" s="16"/>
      <c r="C56" s="17"/>
      <c r="D56" s="18"/>
      <c r="E56" s="41"/>
      <c r="F56" s="42"/>
      <c r="G56" s="34"/>
      <c r="H56" s="35"/>
      <c r="I56" s="36"/>
      <c r="J56" s="37"/>
      <c r="K56" s="85">
        <f t="shared" si="0"/>
        <v>0</v>
      </c>
      <c r="L56" s="39"/>
      <c r="N56" s="91">
        <f t="shared" si="1"/>
        <v>0</v>
      </c>
      <c r="O56" s="27">
        <f t="shared" si="2"/>
        <v>0</v>
      </c>
    </row>
    <row r="57" spans="1:15" s="27" customFormat="1" ht="19.5" customHeight="1" x14ac:dyDescent="0.3">
      <c r="A57" s="28"/>
      <c r="B57" s="16"/>
      <c r="C57" s="17"/>
      <c r="D57" s="18"/>
      <c r="E57" s="41"/>
      <c r="F57" s="42"/>
      <c r="G57" s="34"/>
      <c r="H57" s="35"/>
      <c r="I57" s="36"/>
      <c r="J57" s="37"/>
      <c r="K57" s="85">
        <f t="shared" si="0"/>
        <v>0</v>
      </c>
      <c r="L57" s="39"/>
      <c r="N57" s="91">
        <f t="shared" si="1"/>
        <v>0</v>
      </c>
      <c r="O57" s="27">
        <f t="shared" si="2"/>
        <v>0</v>
      </c>
    </row>
    <row r="58" spans="1:15" s="27" customFormat="1" ht="19.5" customHeight="1" x14ac:dyDescent="0.3">
      <c r="A58" s="28"/>
      <c r="B58" s="29"/>
      <c r="C58" s="30"/>
      <c r="D58" s="31"/>
      <c r="E58" s="41"/>
      <c r="F58" s="42"/>
      <c r="G58" s="43"/>
      <c r="H58" s="35"/>
      <c r="I58" s="36"/>
      <c r="J58" s="37"/>
      <c r="K58" s="85">
        <f t="shared" si="0"/>
        <v>0</v>
      </c>
      <c r="L58" s="39"/>
      <c r="N58" s="91">
        <f t="shared" si="1"/>
        <v>0</v>
      </c>
      <c r="O58" s="27">
        <f t="shared" si="2"/>
        <v>0</v>
      </c>
    </row>
    <row r="59" spans="1:15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  <c r="N59" s="91"/>
      <c r="O59" s="27"/>
    </row>
    <row r="60" spans="1:15" s="55" customFormat="1" ht="19.5" customHeight="1" x14ac:dyDescent="0.3">
      <c r="A60" s="94" t="s">
        <v>7884</v>
      </c>
      <c r="B60" s="76" t="s">
        <v>7885</v>
      </c>
      <c r="C60" s="77">
        <v>22</v>
      </c>
      <c r="D60" s="78" t="s">
        <v>7886</v>
      </c>
      <c r="E60" s="48">
        <v>125</v>
      </c>
      <c r="F60" s="49">
        <v>111.65</v>
      </c>
      <c r="G60" s="50" t="s">
        <v>7887</v>
      </c>
      <c r="H60" s="51">
        <v>1829</v>
      </c>
      <c r="I60" s="45">
        <v>3048</v>
      </c>
      <c r="J60" s="52">
        <v>20</v>
      </c>
      <c r="K60" s="53">
        <f t="shared" si="0"/>
        <v>111.49583999999999</v>
      </c>
      <c r="L60" s="54"/>
      <c r="M60" s="55">
        <v>2</v>
      </c>
      <c r="N60" s="91">
        <f t="shared" si="1"/>
        <v>111.65</v>
      </c>
      <c r="O60" s="27">
        <f t="shared" si="2"/>
        <v>223.3</v>
      </c>
    </row>
    <row r="61" spans="1:15" s="55" customFormat="1" ht="19.5" customHeight="1" x14ac:dyDescent="0.3">
      <c r="A61" s="94"/>
      <c r="B61" s="76"/>
      <c r="C61" s="77"/>
      <c r="D61" s="78"/>
      <c r="E61" s="48"/>
      <c r="F61" s="49"/>
      <c r="G61" s="50" t="s">
        <v>7888</v>
      </c>
      <c r="H61" s="51">
        <v>1981</v>
      </c>
      <c r="I61" s="45">
        <v>3048</v>
      </c>
      <c r="J61" s="52">
        <v>19</v>
      </c>
      <c r="K61" s="53">
        <f t="shared" si="0"/>
        <v>114.72367200000002</v>
      </c>
      <c r="L61" s="54"/>
      <c r="N61" s="91">
        <f t="shared" si="1"/>
        <v>0</v>
      </c>
      <c r="O61" s="27">
        <f t="shared" si="2"/>
        <v>0</v>
      </c>
    </row>
    <row r="62" spans="1:15" s="55" customFormat="1" ht="19.5" customHeight="1" x14ac:dyDescent="0.3">
      <c r="A62" s="94"/>
      <c r="B62" s="76"/>
      <c r="C62" s="77"/>
      <c r="D62" s="78"/>
      <c r="E62" s="48"/>
      <c r="F62" s="49"/>
      <c r="G62" s="50" t="s">
        <v>7888</v>
      </c>
      <c r="H62" s="51">
        <v>2134</v>
      </c>
      <c r="I62" s="45">
        <v>3048</v>
      </c>
      <c r="J62" s="52">
        <v>1</v>
      </c>
      <c r="K62" s="53">
        <f t="shared" si="0"/>
        <v>6.5044319999999995</v>
      </c>
      <c r="L62" s="54"/>
      <c r="N62" s="91">
        <f t="shared" si="1"/>
        <v>0</v>
      </c>
      <c r="O62" s="27">
        <f t="shared" si="2"/>
        <v>0</v>
      </c>
    </row>
    <row r="63" spans="1:15" s="55" customFormat="1" ht="19.5" customHeight="1" x14ac:dyDescent="0.3">
      <c r="A63" s="44"/>
      <c r="B63" s="76"/>
      <c r="C63" s="77"/>
      <c r="D63" s="78"/>
      <c r="E63" s="48"/>
      <c r="F63" s="49"/>
      <c r="G63" s="50"/>
      <c r="H63" s="51"/>
      <c r="I63" s="45"/>
      <c r="J63" s="52"/>
      <c r="K63" s="53">
        <f t="shared" si="0"/>
        <v>0</v>
      </c>
      <c r="L63" s="54"/>
      <c r="N63" s="91">
        <f t="shared" si="1"/>
        <v>0</v>
      </c>
      <c r="O63" s="27">
        <f t="shared" si="2"/>
        <v>0</v>
      </c>
    </row>
    <row r="64" spans="1:15" s="55" customFormat="1" ht="19.5" customHeight="1" x14ac:dyDescent="0.3">
      <c r="A64" s="44" t="s">
        <v>7881</v>
      </c>
      <c r="B64" s="76" t="s">
        <v>7870</v>
      </c>
      <c r="C64" s="77">
        <v>24</v>
      </c>
      <c r="D64" s="78" t="s">
        <v>289</v>
      </c>
      <c r="E64" s="48">
        <v>229</v>
      </c>
      <c r="F64" s="49">
        <v>310.67</v>
      </c>
      <c r="G64" s="50" t="s">
        <v>7887</v>
      </c>
      <c r="H64" s="51">
        <v>2438</v>
      </c>
      <c r="I64" s="45">
        <v>3353</v>
      </c>
      <c r="J64" s="52">
        <v>42</v>
      </c>
      <c r="K64" s="53">
        <f t="shared" si="0"/>
        <v>343.33378800000003</v>
      </c>
      <c r="L64" s="54" t="s">
        <v>7903</v>
      </c>
      <c r="M64" s="55">
        <v>1</v>
      </c>
      <c r="N64" s="91">
        <f t="shared" si="1"/>
        <v>310.67</v>
      </c>
      <c r="O64" s="27">
        <f t="shared" si="2"/>
        <v>310.67</v>
      </c>
    </row>
    <row r="65" spans="1:15" s="55" customFormat="1" ht="19.5" customHeight="1" x14ac:dyDescent="0.3">
      <c r="A65" s="44"/>
      <c r="B65" s="76"/>
      <c r="C65" s="77"/>
      <c r="D65" s="78"/>
      <c r="E65" s="48"/>
      <c r="F65" s="49"/>
      <c r="G65" s="50"/>
      <c r="H65" s="51"/>
      <c r="I65" s="45"/>
      <c r="J65" s="52"/>
      <c r="K65" s="53">
        <f t="shared" si="0"/>
        <v>0</v>
      </c>
      <c r="L65" s="54"/>
      <c r="N65" s="91">
        <f t="shared" si="1"/>
        <v>0</v>
      </c>
      <c r="O65" s="27">
        <f t="shared" si="2"/>
        <v>0</v>
      </c>
    </row>
    <row r="66" spans="1:15" s="55" customFormat="1" ht="19.5" customHeight="1" x14ac:dyDescent="0.3">
      <c r="A66" s="44" t="s">
        <v>7904</v>
      </c>
      <c r="B66" s="76" t="s">
        <v>7870</v>
      </c>
      <c r="C66" s="77">
        <v>24</v>
      </c>
      <c r="D66" s="78" t="s">
        <v>289</v>
      </c>
      <c r="E66" s="48">
        <v>104</v>
      </c>
      <c r="F66" s="49">
        <v>122.38</v>
      </c>
      <c r="G66" s="50" t="s">
        <v>7905</v>
      </c>
      <c r="H66" s="51">
        <v>2438</v>
      </c>
      <c r="I66" s="45">
        <v>3353</v>
      </c>
      <c r="J66" s="52">
        <v>18</v>
      </c>
      <c r="K66" s="53">
        <f t="shared" si="0"/>
        <v>147.14305200000001</v>
      </c>
      <c r="L66" s="54" t="s">
        <v>7906</v>
      </c>
      <c r="M66" s="55">
        <v>1</v>
      </c>
      <c r="N66" s="91">
        <f t="shared" si="1"/>
        <v>122.38</v>
      </c>
      <c r="O66" s="27">
        <f t="shared" si="2"/>
        <v>122.38</v>
      </c>
    </row>
    <row r="67" spans="1:15" s="55" customFormat="1" ht="19.5" customHeight="1" x14ac:dyDescent="0.3">
      <c r="A67" s="44"/>
      <c r="B67" s="76"/>
      <c r="C67" s="77"/>
      <c r="D67" s="78"/>
      <c r="E67" s="48"/>
      <c r="F67" s="49"/>
      <c r="G67" s="50"/>
      <c r="H67" s="51"/>
      <c r="I67" s="45"/>
      <c r="J67" s="52"/>
      <c r="K67" s="53">
        <f t="shared" si="0"/>
        <v>0</v>
      </c>
      <c r="L67" s="54"/>
      <c r="N67" s="91">
        <f t="shared" si="1"/>
        <v>0</v>
      </c>
      <c r="O67" s="27">
        <f t="shared" si="2"/>
        <v>0</v>
      </c>
    </row>
    <row r="68" spans="1:15" s="55" customFormat="1" ht="19.5" customHeight="1" x14ac:dyDescent="0.3">
      <c r="A68" s="44" t="s">
        <v>7902</v>
      </c>
      <c r="B68" s="76"/>
      <c r="C68" s="77"/>
      <c r="D68" s="78"/>
      <c r="E68" s="48"/>
      <c r="F68" s="49"/>
      <c r="G68" s="50"/>
      <c r="H68" s="51"/>
      <c r="I68" s="45"/>
      <c r="J68" s="52"/>
      <c r="K68" s="53">
        <f t="shared" si="0"/>
        <v>0</v>
      </c>
      <c r="L68" s="54"/>
      <c r="N68" s="91">
        <f t="shared" si="1"/>
        <v>0</v>
      </c>
      <c r="O68" s="27">
        <f t="shared" si="2"/>
        <v>0</v>
      </c>
    </row>
    <row r="69" spans="1:15" s="55" customFormat="1" ht="19.5" customHeight="1" x14ac:dyDescent="0.3">
      <c r="A69" s="44"/>
      <c r="B69" s="76"/>
      <c r="C69" s="77"/>
      <c r="D69" s="78"/>
      <c r="E69" s="48"/>
      <c r="F69" s="49"/>
      <c r="G69" s="50"/>
      <c r="H69" s="51"/>
      <c r="I69" s="45"/>
      <c r="J69" s="52"/>
      <c r="K69" s="53">
        <f t="shared" si="0"/>
        <v>0</v>
      </c>
      <c r="L69" s="54"/>
      <c r="N69" s="91">
        <f t="shared" si="1"/>
        <v>0</v>
      </c>
      <c r="O69" s="27">
        <f t="shared" si="2"/>
        <v>0</v>
      </c>
    </row>
    <row r="70" spans="1:15" s="55" customFormat="1" ht="19.5" customHeight="1" x14ac:dyDescent="0.3">
      <c r="A70" s="44"/>
      <c r="B70" s="76"/>
      <c r="C70" s="77"/>
      <c r="D70" s="78"/>
      <c r="E70" s="48"/>
      <c r="F70" s="49"/>
      <c r="G70" s="50"/>
      <c r="H70" s="51"/>
      <c r="I70" s="45"/>
      <c r="J70" s="52"/>
      <c r="K70" s="53">
        <f t="shared" si="0"/>
        <v>0</v>
      </c>
      <c r="L70" s="54"/>
      <c r="N70" s="91">
        <f t="shared" si="1"/>
        <v>0</v>
      </c>
      <c r="O70" s="27">
        <f t="shared" si="2"/>
        <v>0</v>
      </c>
    </row>
    <row r="71" spans="1:15" s="55" customFormat="1" ht="19.5" customHeight="1" x14ac:dyDescent="0.3">
      <c r="A71" s="44"/>
      <c r="B71" s="76"/>
      <c r="C71" s="77"/>
      <c r="D71" s="78"/>
      <c r="E71" s="48"/>
      <c r="F71" s="49"/>
      <c r="G71" s="50"/>
      <c r="H71" s="51"/>
      <c r="I71" s="45"/>
      <c r="J71" s="52"/>
      <c r="K71" s="53">
        <f t="shared" si="0"/>
        <v>0</v>
      </c>
      <c r="L71" s="54"/>
      <c r="N71" s="91">
        <f t="shared" si="1"/>
        <v>0</v>
      </c>
      <c r="O71" s="27">
        <f t="shared" si="2"/>
        <v>0</v>
      </c>
    </row>
    <row r="72" spans="1:15" s="55" customFormat="1" ht="19.5" customHeight="1" x14ac:dyDescent="0.3">
      <c r="A72" s="44"/>
      <c r="B72" s="76"/>
      <c r="C72" s="77"/>
      <c r="D72" s="78"/>
      <c r="E72" s="48"/>
      <c r="F72" s="49"/>
      <c r="G72" s="50"/>
      <c r="H72" s="51"/>
      <c r="I72" s="45"/>
      <c r="J72" s="52"/>
      <c r="K72" s="53">
        <f t="shared" si="0"/>
        <v>0</v>
      </c>
      <c r="L72" s="54"/>
      <c r="N72" s="91">
        <f t="shared" si="1"/>
        <v>0</v>
      </c>
      <c r="O72" s="27">
        <f t="shared" si="2"/>
        <v>0</v>
      </c>
    </row>
    <row r="73" spans="1:15" s="55" customFormat="1" ht="19.5" customHeight="1" x14ac:dyDescent="0.3">
      <c r="A73" s="44"/>
      <c r="B73" s="76"/>
      <c r="C73" s="77"/>
      <c r="D73" s="78"/>
      <c r="E73" s="48"/>
      <c r="F73" s="49"/>
      <c r="G73" s="50"/>
      <c r="H73" s="51"/>
      <c r="I73" s="45"/>
      <c r="J73" s="52"/>
      <c r="K73" s="53">
        <f t="shared" si="0"/>
        <v>0</v>
      </c>
      <c r="L73" s="54"/>
      <c r="N73" s="91">
        <f t="shared" si="1"/>
        <v>0</v>
      </c>
      <c r="O73" s="27">
        <f t="shared" si="2"/>
        <v>0</v>
      </c>
    </row>
    <row r="74" spans="1:15" s="55" customFormat="1" ht="19.5" customHeight="1" x14ac:dyDescent="0.3">
      <c r="A74" s="44"/>
      <c r="B74" s="76"/>
      <c r="C74" s="77"/>
      <c r="D74" s="78"/>
      <c r="E74" s="48"/>
      <c r="F74" s="49"/>
      <c r="G74" s="50"/>
      <c r="H74" s="51"/>
      <c r="I74" s="45"/>
      <c r="J74" s="52"/>
      <c r="K74" s="53">
        <f t="shared" si="0"/>
        <v>0</v>
      </c>
      <c r="L74" s="54"/>
      <c r="N74" s="91">
        <f t="shared" si="1"/>
        <v>0</v>
      </c>
      <c r="O74" s="27">
        <f t="shared" si="2"/>
        <v>0</v>
      </c>
    </row>
    <row r="75" spans="1:15" s="55" customFormat="1" ht="19.5" customHeight="1" x14ac:dyDescent="0.3">
      <c r="A75" s="44"/>
      <c r="B75" s="76"/>
      <c r="C75" s="77"/>
      <c r="D75" s="78"/>
      <c r="E75" s="48"/>
      <c r="F75" s="49"/>
      <c r="G75" s="50"/>
      <c r="H75" s="51"/>
      <c r="I75" s="45"/>
      <c r="J75" s="52"/>
      <c r="K75" s="53">
        <f t="shared" si="0"/>
        <v>0</v>
      </c>
      <c r="L75" s="54"/>
      <c r="N75" s="91">
        <f t="shared" si="1"/>
        <v>0</v>
      </c>
      <c r="O75" s="27">
        <f t="shared" si="2"/>
        <v>0</v>
      </c>
    </row>
    <row r="76" spans="1:15" s="55" customFormat="1" ht="19.5" customHeight="1" x14ac:dyDescent="0.3">
      <c r="A76" s="44"/>
      <c r="B76" s="76"/>
      <c r="C76" s="77"/>
      <c r="D76" s="78"/>
      <c r="E76" s="48"/>
      <c r="F76" s="49"/>
      <c r="G76" s="50"/>
      <c r="H76" s="51"/>
      <c r="I76" s="45"/>
      <c r="J76" s="52"/>
      <c r="K76" s="53">
        <f t="shared" si="0"/>
        <v>0</v>
      </c>
      <c r="L76" s="54"/>
      <c r="N76" s="91">
        <f t="shared" si="1"/>
        <v>0</v>
      </c>
      <c r="O76" s="27">
        <f t="shared" si="2"/>
        <v>0</v>
      </c>
    </row>
    <row r="77" spans="1:15" s="55" customFormat="1" ht="19.5" customHeight="1" x14ac:dyDescent="0.3">
      <c r="A77" s="44"/>
      <c r="B77" s="76"/>
      <c r="C77" s="77"/>
      <c r="D77" s="78"/>
      <c r="E77" s="48"/>
      <c r="F77" s="49"/>
      <c r="G77" s="50"/>
      <c r="H77" s="51"/>
      <c r="I77" s="45"/>
      <c r="J77" s="52"/>
      <c r="K77" s="53">
        <f t="shared" si="0"/>
        <v>0</v>
      </c>
      <c r="L77" s="54"/>
      <c r="N77" s="91">
        <f t="shared" si="1"/>
        <v>0</v>
      </c>
      <c r="O77" s="27">
        <f t="shared" si="2"/>
        <v>0</v>
      </c>
    </row>
    <row r="78" spans="1:15" s="55" customFormat="1" ht="19.5" customHeight="1" x14ac:dyDescent="0.3">
      <c r="A78" s="44"/>
      <c r="B78" s="76"/>
      <c r="C78" s="77"/>
      <c r="D78" s="78"/>
      <c r="E78" s="48"/>
      <c r="F78" s="49"/>
      <c r="G78" s="50"/>
      <c r="H78" s="51"/>
      <c r="I78" s="45"/>
      <c r="J78" s="52"/>
      <c r="K78" s="53">
        <f t="shared" si="0"/>
        <v>0</v>
      </c>
      <c r="L78" s="54"/>
      <c r="N78" s="91">
        <f t="shared" si="1"/>
        <v>0</v>
      </c>
      <c r="O78" s="27">
        <f t="shared" si="2"/>
        <v>0</v>
      </c>
    </row>
    <row r="79" spans="1:15" s="55" customFormat="1" ht="19.5" customHeight="1" x14ac:dyDescent="0.3">
      <c r="A79" s="44"/>
      <c r="B79" s="76"/>
      <c r="C79" s="77"/>
      <c r="D79" s="78"/>
      <c r="E79" s="48"/>
      <c r="F79" s="49"/>
      <c r="G79" s="50"/>
      <c r="H79" s="51"/>
      <c r="I79" s="45"/>
      <c r="J79" s="52"/>
      <c r="K79" s="53">
        <f t="shared" si="0"/>
        <v>0</v>
      </c>
      <c r="L79" s="54"/>
      <c r="N79" s="91">
        <f t="shared" si="1"/>
        <v>0</v>
      </c>
      <c r="O79" s="27">
        <f t="shared" si="2"/>
        <v>0</v>
      </c>
    </row>
    <row r="80" spans="1:15" s="55" customFormat="1" ht="19.5" customHeight="1" x14ac:dyDescent="0.3">
      <c r="A80" s="44"/>
      <c r="B80" s="76"/>
      <c r="C80" s="77"/>
      <c r="D80" s="78"/>
      <c r="E80" s="48"/>
      <c r="F80" s="49"/>
      <c r="G80" s="50"/>
      <c r="H80" s="51"/>
      <c r="I80" s="45"/>
      <c r="J80" s="52"/>
      <c r="K80" s="53">
        <f t="shared" si="0"/>
        <v>0</v>
      </c>
      <c r="L80" s="54"/>
      <c r="N80" s="91">
        <f t="shared" si="1"/>
        <v>0</v>
      </c>
      <c r="O80" s="27">
        <f t="shared" si="2"/>
        <v>0</v>
      </c>
    </row>
    <row r="81" spans="1:15" s="55" customFormat="1" ht="19.5" customHeight="1" x14ac:dyDescent="0.3">
      <c r="A81" s="44"/>
      <c r="B81" s="76"/>
      <c r="C81" s="77"/>
      <c r="D81" s="78"/>
      <c r="E81" s="48"/>
      <c r="F81" s="49"/>
      <c r="G81" s="50"/>
      <c r="H81" s="51"/>
      <c r="I81" s="45"/>
      <c r="J81" s="52"/>
      <c r="K81" s="53">
        <f t="shared" si="0"/>
        <v>0</v>
      </c>
      <c r="L81" s="54"/>
      <c r="N81" s="91">
        <f t="shared" si="1"/>
        <v>0</v>
      </c>
      <c r="O81" s="27">
        <f t="shared" si="2"/>
        <v>0</v>
      </c>
    </row>
    <row r="82" spans="1:15" s="55" customFormat="1" ht="19.5" customHeight="1" x14ac:dyDescent="0.3">
      <c r="A82" s="44"/>
      <c r="B82" s="76"/>
      <c r="C82" s="77"/>
      <c r="D82" s="78"/>
      <c r="E82" s="48"/>
      <c r="F82" s="49"/>
      <c r="G82" s="50"/>
      <c r="H82" s="51"/>
      <c r="I82" s="45"/>
      <c r="J82" s="52"/>
      <c r="K82" s="53">
        <f t="shared" si="0"/>
        <v>0</v>
      </c>
      <c r="L82" s="54"/>
      <c r="N82" s="91">
        <f t="shared" si="1"/>
        <v>0</v>
      </c>
      <c r="O82" s="27">
        <f t="shared" si="2"/>
        <v>0</v>
      </c>
    </row>
    <row r="83" spans="1:15" s="55" customFormat="1" ht="19.5" customHeight="1" x14ac:dyDescent="0.3">
      <c r="A83" s="44"/>
      <c r="B83" s="76"/>
      <c r="C83" s="77"/>
      <c r="D83" s="78"/>
      <c r="E83" s="48"/>
      <c r="F83" s="49"/>
      <c r="G83" s="50"/>
      <c r="H83" s="51"/>
      <c r="I83" s="45"/>
      <c r="J83" s="52"/>
      <c r="K83" s="53">
        <f t="shared" si="0"/>
        <v>0</v>
      </c>
      <c r="L83" s="54"/>
      <c r="N83" s="91">
        <f t="shared" si="1"/>
        <v>0</v>
      </c>
      <c r="O83" s="27">
        <f t="shared" si="2"/>
        <v>0</v>
      </c>
    </row>
    <row r="84" spans="1:15" s="55" customFormat="1" ht="19.5" customHeight="1" x14ac:dyDescent="0.3">
      <c r="A84" s="44"/>
      <c r="B84" s="76"/>
      <c r="C84" s="77"/>
      <c r="D84" s="78"/>
      <c r="E84" s="48"/>
      <c r="F84" s="49"/>
      <c r="G84" s="50"/>
      <c r="H84" s="51"/>
      <c r="I84" s="45"/>
      <c r="J84" s="52"/>
      <c r="K84" s="53">
        <f t="shared" si="0"/>
        <v>0</v>
      </c>
      <c r="L84" s="54"/>
      <c r="N84" s="91">
        <f t="shared" si="1"/>
        <v>0</v>
      </c>
      <c r="O84" s="27">
        <f t="shared" si="2"/>
        <v>0</v>
      </c>
    </row>
    <row r="85" spans="1:15" s="55" customFormat="1" ht="19.5" customHeight="1" x14ac:dyDescent="0.3">
      <c r="A85" s="44"/>
      <c r="B85" s="76"/>
      <c r="C85" s="77"/>
      <c r="D85" s="78"/>
      <c r="E85" s="48"/>
      <c r="F85" s="49"/>
      <c r="G85" s="50"/>
      <c r="H85" s="51"/>
      <c r="I85" s="45"/>
      <c r="J85" s="52"/>
      <c r="K85" s="53">
        <f t="shared" si="0"/>
        <v>0</v>
      </c>
      <c r="L85" s="54"/>
      <c r="N85" s="91">
        <f t="shared" si="1"/>
        <v>0</v>
      </c>
      <c r="O85" s="27">
        <f t="shared" si="2"/>
        <v>0</v>
      </c>
    </row>
    <row r="86" spans="1:15" s="55" customFormat="1" ht="19.5" customHeight="1" x14ac:dyDescent="0.3">
      <c r="A86" s="44"/>
      <c r="B86" s="76"/>
      <c r="C86" s="77"/>
      <c r="D86" s="78"/>
      <c r="E86" s="48"/>
      <c r="F86" s="49"/>
      <c r="G86" s="50"/>
      <c r="H86" s="51"/>
      <c r="I86" s="45"/>
      <c r="J86" s="52"/>
      <c r="K86" s="53">
        <f t="shared" si="0"/>
        <v>0</v>
      </c>
      <c r="L86" s="54"/>
      <c r="N86" s="91">
        <f t="shared" si="1"/>
        <v>0</v>
      </c>
      <c r="O86" s="27">
        <f t="shared" si="2"/>
        <v>0</v>
      </c>
    </row>
    <row r="87" spans="1:15" s="55" customFormat="1" ht="19.5" customHeight="1" x14ac:dyDescent="0.3">
      <c r="A87" s="44"/>
      <c r="B87" s="76"/>
      <c r="C87" s="77"/>
      <c r="D87" s="78"/>
      <c r="E87" s="48"/>
      <c r="F87" s="49"/>
      <c r="G87" s="50"/>
      <c r="H87" s="51"/>
      <c r="I87" s="45"/>
      <c r="J87" s="52"/>
      <c r="K87" s="53">
        <f t="shared" si="0"/>
        <v>0</v>
      </c>
      <c r="L87" s="54"/>
      <c r="N87" s="91">
        <f t="shared" si="1"/>
        <v>0</v>
      </c>
      <c r="O87" s="27">
        <f t="shared" si="2"/>
        <v>0</v>
      </c>
    </row>
    <row r="88" spans="1:15" s="55" customFormat="1" ht="19.5" customHeight="1" x14ac:dyDescent="0.3">
      <c r="A88" s="44"/>
      <c r="B88" s="76"/>
      <c r="C88" s="77"/>
      <c r="D88" s="78"/>
      <c r="E88" s="48"/>
      <c r="F88" s="49"/>
      <c r="G88" s="50"/>
      <c r="H88" s="51"/>
      <c r="I88" s="45"/>
      <c r="J88" s="52"/>
      <c r="K88" s="53">
        <f t="shared" si="0"/>
        <v>0</v>
      </c>
      <c r="L88" s="54"/>
      <c r="N88" s="91">
        <f t="shared" si="1"/>
        <v>0</v>
      </c>
      <c r="O88" s="27">
        <f t="shared" si="2"/>
        <v>0</v>
      </c>
    </row>
    <row r="89" spans="1:15" s="55" customFormat="1" ht="19.5" customHeight="1" x14ac:dyDescent="0.3">
      <c r="A89" s="44"/>
      <c r="B89" s="76"/>
      <c r="C89" s="77"/>
      <c r="D89" s="78"/>
      <c r="E89" s="48"/>
      <c r="F89" s="49"/>
      <c r="G89" s="50"/>
      <c r="H89" s="51"/>
      <c r="I89" s="45"/>
      <c r="J89" s="52"/>
      <c r="K89" s="53">
        <f t="shared" si="0"/>
        <v>0</v>
      </c>
      <c r="L89" s="54"/>
      <c r="N89" s="91">
        <f t="shared" si="1"/>
        <v>0</v>
      </c>
      <c r="O89" s="27">
        <f t="shared" si="2"/>
        <v>0</v>
      </c>
    </row>
    <row r="90" spans="1:15" s="55" customFormat="1" ht="19.5" customHeight="1" x14ac:dyDescent="0.3">
      <c r="A90" s="44"/>
      <c r="B90" s="76"/>
      <c r="C90" s="77"/>
      <c r="D90" s="78"/>
      <c r="E90" s="48"/>
      <c r="F90" s="49"/>
      <c r="G90" s="50"/>
      <c r="H90" s="51"/>
      <c r="I90" s="45"/>
      <c r="J90" s="52"/>
      <c r="K90" s="53">
        <f t="shared" si="0"/>
        <v>0</v>
      </c>
      <c r="L90" s="54"/>
      <c r="N90" s="91">
        <f t="shared" si="1"/>
        <v>0</v>
      </c>
      <c r="O90" s="27">
        <f t="shared" si="2"/>
        <v>0</v>
      </c>
    </row>
    <row r="91" spans="1:15" s="55" customFormat="1" ht="19.5" customHeight="1" x14ac:dyDescent="0.3">
      <c r="A91" s="44"/>
      <c r="B91" s="76"/>
      <c r="C91" s="77"/>
      <c r="D91" s="78"/>
      <c r="E91" s="48"/>
      <c r="F91" s="49"/>
      <c r="G91" s="50"/>
      <c r="H91" s="51"/>
      <c r="I91" s="45"/>
      <c r="J91" s="52"/>
      <c r="K91" s="53">
        <f t="shared" si="0"/>
        <v>0</v>
      </c>
      <c r="L91" s="54"/>
      <c r="N91" s="91">
        <f t="shared" si="1"/>
        <v>0</v>
      </c>
      <c r="O91" s="27">
        <f t="shared" si="2"/>
        <v>0</v>
      </c>
    </row>
    <row r="92" spans="1:15" s="55" customFormat="1" ht="19.5" customHeight="1" x14ac:dyDescent="0.3">
      <c r="A92" s="44"/>
      <c r="B92" s="76"/>
      <c r="C92" s="77"/>
      <c r="D92" s="78"/>
      <c r="E92" s="48"/>
      <c r="F92" s="49"/>
      <c r="G92" s="50"/>
      <c r="H92" s="51"/>
      <c r="I92" s="45"/>
      <c r="J92" s="52"/>
      <c r="K92" s="53">
        <f t="shared" si="0"/>
        <v>0</v>
      </c>
      <c r="L92" s="54"/>
      <c r="N92" s="91">
        <f t="shared" si="1"/>
        <v>0</v>
      </c>
      <c r="O92" s="27">
        <f t="shared" si="2"/>
        <v>0</v>
      </c>
    </row>
    <row r="93" spans="1:15" s="55" customFormat="1" ht="19.5" customHeight="1" x14ac:dyDescent="0.3">
      <c r="A93" s="44"/>
      <c r="B93" s="76"/>
      <c r="C93" s="77"/>
      <c r="D93" s="78"/>
      <c r="E93" s="48"/>
      <c r="F93" s="49"/>
      <c r="G93" s="50"/>
      <c r="H93" s="51"/>
      <c r="I93" s="45"/>
      <c r="J93" s="52"/>
      <c r="K93" s="53">
        <f t="shared" si="0"/>
        <v>0</v>
      </c>
      <c r="L93" s="54"/>
      <c r="N93" s="91">
        <f t="shared" si="1"/>
        <v>0</v>
      </c>
      <c r="O93" s="27">
        <f t="shared" si="2"/>
        <v>0</v>
      </c>
    </row>
    <row r="94" spans="1:15" s="55" customFormat="1" ht="19.5" customHeight="1" x14ac:dyDescent="0.3">
      <c r="A94" s="44"/>
      <c r="B94" s="76"/>
      <c r="C94" s="77"/>
      <c r="D94" s="78"/>
      <c r="E94" s="48"/>
      <c r="F94" s="49"/>
      <c r="G94" s="50"/>
      <c r="H94" s="51"/>
      <c r="I94" s="45"/>
      <c r="J94" s="52"/>
      <c r="K94" s="53">
        <f t="shared" si="0"/>
        <v>0</v>
      </c>
      <c r="L94" s="54"/>
      <c r="N94" s="91">
        <f t="shared" si="1"/>
        <v>0</v>
      </c>
      <c r="O94" s="27">
        <f t="shared" si="2"/>
        <v>0</v>
      </c>
    </row>
    <row r="95" spans="1:15" s="55" customFormat="1" ht="19.5" customHeight="1" x14ac:dyDescent="0.3">
      <c r="A95" s="44"/>
      <c r="B95" s="76"/>
      <c r="C95" s="77"/>
      <c r="D95" s="78"/>
      <c r="E95" s="48"/>
      <c r="F95" s="49"/>
      <c r="G95" s="50"/>
      <c r="H95" s="51"/>
      <c r="I95" s="45"/>
      <c r="J95" s="52"/>
      <c r="K95" s="53">
        <f t="shared" si="0"/>
        <v>0</v>
      </c>
      <c r="L95" s="54"/>
      <c r="N95" s="91">
        <f t="shared" si="1"/>
        <v>0</v>
      </c>
      <c r="O95" s="27">
        <f t="shared" si="2"/>
        <v>0</v>
      </c>
    </row>
    <row r="96" spans="1:15" s="55" customFormat="1" ht="19.5" customHeight="1" x14ac:dyDescent="0.3">
      <c r="A96" s="44"/>
      <c r="B96" s="76"/>
      <c r="C96" s="77"/>
      <c r="D96" s="78"/>
      <c r="E96" s="48"/>
      <c r="F96" s="49"/>
      <c r="G96" s="50"/>
      <c r="H96" s="51"/>
      <c r="I96" s="45"/>
      <c r="J96" s="52"/>
      <c r="K96" s="53">
        <f t="shared" si="0"/>
        <v>0</v>
      </c>
      <c r="L96" s="54"/>
      <c r="N96" s="91">
        <f t="shared" si="1"/>
        <v>0</v>
      </c>
      <c r="O96" s="27">
        <f t="shared" si="2"/>
        <v>0</v>
      </c>
    </row>
    <row r="97" spans="1:15" s="55" customFormat="1" ht="19.5" customHeight="1" x14ac:dyDescent="0.3">
      <c r="A97" s="44"/>
      <c r="B97" s="76"/>
      <c r="C97" s="77"/>
      <c r="D97" s="78"/>
      <c r="E97" s="48"/>
      <c r="F97" s="49"/>
      <c r="G97" s="50"/>
      <c r="H97" s="51"/>
      <c r="I97" s="45"/>
      <c r="J97" s="52"/>
      <c r="K97" s="53">
        <f t="shared" si="0"/>
        <v>0</v>
      </c>
      <c r="L97" s="54"/>
      <c r="N97" s="91">
        <f t="shared" si="1"/>
        <v>0</v>
      </c>
      <c r="O97" s="27">
        <f t="shared" si="2"/>
        <v>0</v>
      </c>
    </row>
    <row r="98" spans="1:15" s="55" customFormat="1" ht="19.5" customHeight="1" x14ac:dyDescent="0.3">
      <c r="A98" s="44"/>
      <c r="B98" s="76"/>
      <c r="C98" s="77"/>
      <c r="D98" s="78"/>
      <c r="E98" s="48"/>
      <c r="F98" s="49"/>
      <c r="G98" s="50"/>
      <c r="H98" s="51"/>
      <c r="I98" s="45"/>
      <c r="J98" s="52"/>
      <c r="K98" s="53">
        <f t="shared" si="0"/>
        <v>0</v>
      </c>
      <c r="L98" s="54"/>
      <c r="N98" s="91">
        <f t="shared" si="1"/>
        <v>0</v>
      </c>
      <c r="O98" s="27">
        <f t="shared" si="2"/>
        <v>0</v>
      </c>
    </row>
    <row r="99" spans="1:15" s="55" customFormat="1" ht="19.5" customHeight="1" x14ac:dyDescent="0.3">
      <c r="A99" s="44"/>
      <c r="B99" s="76"/>
      <c r="C99" s="77"/>
      <c r="D99" s="78"/>
      <c r="E99" s="48"/>
      <c r="F99" s="49"/>
      <c r="G99" s="50"/>
      <c r="H99" s="51"/>
      <c r="I99" s="45"/>
      <c r="J99" s="52"/>
      <c r="K99" s="53">
        <f t="shared" si="0"/>
        <v>0</v>
      </c>
      <c r="L99" s="54"/>
      <c r="N99" s="91">
        <f t="shared" si="1"/>
        <v>0</v>
      </c>
      <c r="O99" s="27">
        <f t="shared" si="2"/>
        <v>0</v>
      </c>
    </row>
    <row r="100" spans="1:15" s="55" customFormat="1" ht="19.5" customHeight="1" x14ac:dyDescent="0.3">
      <c r="A100" s="44"/>
      <c r="B100" s="76"/>
      <c r="C100" s="77"/>
      <c r="D100" s="78"/>
      <c r="E100" s="48"/>
      <c r="F100" s="49"/>
      <c r="G100" s="50"/>
      <c r="H100" s="51"/>
      <c r="I100" s="45"/>
      <c r="J100" s="52"/>
      <c r="K100" s="53">
        <f t="shared" si="0"/>
        <v>0</v>
      </c>
      <c r="L100" s="54"/>
      <c r="N100" s="91">
        <f t="shared" ref="N100:N103" si="4">F100</f>
        <v>0</v>
      </c>
      <c r="O100" s="27">
        <f t="shared" ref="O100:O103" si="5">N100*M100</f>
        <v>0</v>
      </c>
    </row>
    <row r="101" spans="1:15" s="55" customFormat="1" ht="19.5" customHeight="1" x14ac:dyDescent="0.3">
      <c r="A101" s="44"/>
      <c r="B101" s="76"/>
      <c r="C101" s="77"/>
      <c r="D101" s="78"/>
      <c r="E101" s="48"/>
      <c r="F101" s="49"/>
      <c r="G101" s="50"/>
      <c r="H101" s="51"/>
      <c r="I101" s="45"/>
      <c r="J101" s="52"/>
      <c r="K101" s="53">
        <f t="shared" si="0"/>
        <v>0</v>
      </c>
      <c r="L101" s="54"/>
      <c r="N101" s="91">
        <f t="shared" si="4"/>
        <v>0</v>
      </c>
      <c r="O101" s="27">
        <f t="shared" si="5"/>
        <v>0</v>
      </c>
    </row>
    <row r="102" spans="1:15" s="55" customFormat="1" ht="19.5" customHeight="1" x14ac:dyDescent="0.3">
      <c r="A102" s="94"/>
      <c r="B102" s="76"/>
      <c r="C102" s="77"/>
      <c r="D102" s="78"/>
      <c r="E102" s="48"/>
      <c r="F102" s="49"/>
      <c r="G102" s="50"/>
      <c r="H102" s="51"/>
      <c r="I102" s="45"/>
      <c r="J102" s="52"/>
      <c r="K102" s="53">
        <f t="shared" si="0"/>
        <v>0</v>
      </c>
      <c r="L102" s="64"/>
      <c r="N102" s="91">
        <f t="shared" si="4"/>
        <v>0</v>
      </c>
      <c r="O102" s="27">
        <f t="shared" si="5"/>
        <v>0</v>
      </c>
    </row>
    <row r="103" spans="1:15" s="55" customFormat="1" ht="19.5" customHeight="1" x14ac:dyDescent="0.3">
      <c r="A103" s="44"/>
      <c r="B103" s="45"/>
      <c r="C103" s="46"/>
      <c r="D103" s="47"/>
      <c r="E103" s="48"/>
      <c r="F103" s="49"/>
      <c r="G103" s="50"/>
      <c r="H103" s="51"/>
      <c r="I103" s="45"/>
      <c r="J103" s="52"/>
      <c r="K103" s="53">
        <f t="shared" si="0"/>
        <v>0</v>
      </c>
      <c r="L103" s="54"/>
      <c r="N103" s="91">
        <f t="shared" si="4"/>
        <v>0</v>
      </c>
      <c r="O103" s="27">
        <f t="shared" si="5"/>
        <v>0</v>
      </c>
    </row>
    <row r="104" spans="1:15" s="59" customFormat="1" ht="20.100000000000001" customHeight="1" x14ac:dyDescent="0.3">
      <c r="A104" s="44"/>
      <c r="B104" s="45"/>
      <c r="C104" s="46"/>
      <c r="D104" s="47"/>
      <c r="E104" s="56"/>
      <c r="F104" s="57"/>
      <c r="G104" s="50"/>
      <c r="H104" s="51"/>
      <c r="I104" s="45"/>
      <c r="J104" s="52"/>
      <c r="K104" s="53">
        <f t="shared" si="0"/>
        <v>0</v>
      </c>
      <c r="L104" s="58">
        <f>SUM(J59:J105)</f>
        <v>100</v>
      </c>
    </row>
    <row r="105" spans="1:15" s="59" customFormat="1" ht="20.100000000000001" customHeight="1" x14ac:dyDescent="0.3">
      <c r="A105" s="44"/>
      <c r="B105" s="45"/>
      <c r="C105" s="46"/>
      <c r="D105" s="47"/>
      <c r="E105" s="60"/>
      <c r="F105" s="61"/>
      <c r="G105" s="62"/>
      <c r="H105" s="51"/>
      <c r="I105" s="45"/>
      <c r="J105" s="63"/>
      <c r="K105" s="53">
        <f t="shared" si="0"/>
        <v>0</v>
      </c>
      <c r="L105" s="64">
        <f>SUM(K59:K105)</f>
        <v>723.200784</v>
      </c>
    </row>
    <row r="106" spans="1:15" s="59" customFormat="1" ht="20.100000000000001" customHeight="1" thickBot="1" x14ac:dyDescent="0.35">
      <c r="A106" s="114"/>
      <c r="B106" s="115"/>
      <c r="C106" s="115"/>
      <c r="D106" s="115"/>
      <c r="E106" s="115"/>
      <c r="F106" s="115"/>
      <c r="G106" s="115"/>
      <c r="H106" s="115"/>
      <c r="I106" s="115"/>
      <c r="J106" s="65">
        <f>SUM(J7:J105)</f>
        <v>219</v>
      </c>
      <c r="K106" s="66">
        <f>SUM(K7:K105)</f>
        <v>1473.1734980000001</v>
      </c>
      <c r="L106" s="67"/>
    </row>
    <row r="107" spans="1:15" s="59" customFormat="1" ht="20.100000000000001" customHeight="1" thickTop="1" thickBot="1" x14ac:dyDescent="0.35">
      <c r="A107" s="116" t="s">
        <v>52</v>
      </c>
      <c r="B107" s="117"/>
      <c r="C107" s="112"/>
      <c r="D107" s="118">
        <f>J106</f>
        <v>219</v>
      </c>
      <c r="E107" s="119"/>
      <c r="F107" s="119"/>
      <c r="G107" s="120"/>
      <c r="H107" s="121"/>
      <c r="I107" s="121"/>
      <c r="J107" s="122"/>
      <c r="K107" s="119"/>
      <c r="L107" s="123"/>
    </row>
    <row r="108" spans="1:15" s="59" customFormat="1" ht="20.100000000000001" customHeight="1" x14ac:dyDescent="0.3">
      <c r="A108" s="111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71"/>
    </row>
    <row r="109" spans="1:15" s="59" customFormat="1" ht="20.100000000000001" customHeight="1" x14ac:dyDescent="0.3">
      <c r="A109" s="111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5" s="59" customFormat="1" ht="20.100000000000001" customHeight="1" x14ac:dyDescent="0.3">
      <c r="A110" s="111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5" s="59" customFormat="1" ht="20.100000000000001" customHeight="1" x14ac:dyDescent="0.3">
      <c r="A111" s="111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5" s="59" customFormat="1" ht="20.100000000000001" customHeight="1" x14ac:dyDescent="0.3">
      <c r="A112" s="113"/>
      <c r="B112" s="113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59" customFormat="1" ht="20.100000000000001" customHeight="1" x14ac:dyDescent="0.3">
      <c r="A113" s="113"/>
      <c r="B113" s="113"/>
      <c r="C113" s="5"/>
      <c r="D113" s="5"/>
      <c r="E113" s="72"/>
      <c r="F113" s="5"/>
      <c r="G113" s="5"/>
      <c r="H113" s="5"/>
      <c r="I113" s="5"/>
      <c r="J113" s="5"/>
      <c r="K113" s="5"/>
      <c r="L113" s="5"/>
    </row>
    <row r="114" spans="1:12" s="59" customFormat="1" ht="20.100000000000001" customHeight="1" x14ac:dyDescent="0.3">
      <c r="A114" s="113"/>
      <c r="B114" s="113"/>
      <c r="C114" s="5"/>
      <c r="D114" s="5"/>
      <c r="E114" s="5"/>
      <c r="F114" s="5"/>
      <c r="G114" s="73"/>
      <c r="H114" s="5"/>
      <c r="I114" s="74"/>
      <c r="J114" s="5"/>
      <c r="K114" s="5"/>
      <c r="L114" s="5"/>
    </row>
    <row r="115" spans="1:12" s="59" customFormat="1" ht="20.100000000000001" customHeight="1" x14ac:dyDescent="0.3">
      <c r="A115" s="113"/>
      <c r="B115" s="113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s="59" customFormat="1" ht="20.100000000000001" customHeight="1" x14ac:dyDescent="0.3">
      <c r="A116" s="111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s="59" customFormat="1" ht="20.100000000000001" customHeight="1" x14ac:dyDescent="0.3">
      <c r="A117" s="113"/>
      <c r="B117" s="113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59" customFormat="1" ht="20.100000000000001" customHeight="1" x14ac:dyDescent="0.3">
      <c r="A118" s="113"/>
      <c r="B118" s="113"/>
      <c r="C118" s="5"/>
      <c r="D118" s="5"/>
      <c r="E118" s="5"/>
      <c r="F118" s="70"/>
      <c r="G118" s="5"/>
      <c r="H118" s="72"/>
      <c r="I118" s="72"/>
      <c r="J118" s="5"/>
      <c r="K118" s="5"/>
      <c r="L118" s="5"/>
    </row>
    <row r="119" spans="1:12" ht="20.100000000000001" customHeight="1" x14ac:dyDescent="0.3">
      <c r="A119" s="113"/>
      <c r="B119" s="113"/>
      <c r="H119" s="72"/>
      <c r="I119" s="72"/>
    </row>
    <row r="120" spans="1:12" ht="20.100000000000001" customHeight="1" x14ac:dyDescent="0.3">
      <c r="H120" s="72"/>
      <c r="I120" s="72"/>
    </row>
    <row r="121" spans="1:12" ht="20.100000000000001" customHeight="1" x14ac:dyDescent="0.3">
      <c r="H121" s="72"/>
      <c r="I121" s="72"/>
    </row>
    <row r="122" spans="1:12" ht="20.100000000000001" customHeight="1" x14ac:dyDescent="0.3">
      <c r="A122" s="113"/>
      <c r="B122" s="113"/>
      <c r="H122" s="72"/>
      <c r="I122" s="72"/>
    </row>
    <row r="123" spans="1:12" ht="20.100000000000001" customHeight="1" x14ac:dyDescent="0.3">
      <c r="A123" s="113"/>
      <c r="B123" s="113"/>
      <c r="H123" s="72"/>
      <c r="I123" s="72"/>
    </row>
    <row r="124" spans="1:12" ht="20.100000000000001" customHeight="1" x14ac:dyDescent="0.3">
      <c r="H124" s="72"/>
      <c r="I124" s="72"/>
    </row>
    <row r="125" spans="1:12" ht="20.100000000000001" customHeight="1" x14ac:dyDescent="0.3">
      <c r="H125" s="72"/>
      <c r="I125" s="72"/>
    </row>
    <row r="126" spans="1:12" ht="20.100000000000001" customHeight="1" x14ac:dyDescent="0.3">
      <c r="H126" s="72"/>
      <c r="I126" s="72"/>
    </row>
    <row r="127" spans="1:12" s="72" customFormat="1" ht="20.100000000000001" customHeight="1" x14ac:dyDescent="0.3">
      <c r="A127" s="111"/>
      <c r="B127" s="5"/>
      <c r="C127" s="5"/>
      <c r="D127" s="5"/>
      <c r="E127" s="5"/>
      <c r="F127" s="70"/>
      <c r="G127" s="5"/>
      <c r="J127" s="5"/>
      <c r="K127" s="5"/>
      <c r="L127" s="5"/>
    </row>
    <row r="128" spans="1:12" s="72" customFormat="1" ht="20.100000000000001" customHeight="1" x14ac:dyDescent="0.3">
      <c r="A128" s="111"/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1:12" s="75" customFormat="1" ht="20.100000000000001" customHeight="1" x14ac:dyDescent="0.3">
      <c r="A129" s="111"/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1:12" s="75" customFormat="1" ht="20.100000000000001" customHeight="1" x14ac:dyDescent="0.3">
      <c r="A130" s="111"/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1:12" s="75" customFormat="1" ht="19.5" customHeight="1" x14ac:dyDescent="0.3">
      <c r="A131" s="111"/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1:12" s="72" customFormat="1" ht="20.100000000000001" customHeight="1" x14ac:dyDescent="0.3">
      <c r="A132" s="111"/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1:12" s="72" customFormat="1" ht="20.100000000000001" customHeight="1" x14ac:dyDescent="0.3">
      <c r="A133" s="111"/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1:12" ht="19.5" customHeight="1" x14ac:dyDescent="0.3"/>
    <row r="135" spans="1:12" ht="19.5" customHeight="1" x14ac:dyDescent="0.3"/>
    <row r="136" spans="1:12" ht="19.5" customHeight="1" x14ac:dyDescent="0.3"/>
    <row r="137" spans="1:12" s="111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1:12" s="111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1:12" s="111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1:12" s="111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1:12" s="111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1:12" s="111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1:12" s="111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1:12" s="111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111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111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111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111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111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111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111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111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ht="19.5" customHeight="1" x14ac:dyDescent="0.3"/>
    <row r="154" spans="2:12" ht="19.5" customHeight="1" x14ac:dyDescent="0.3"/>
    <row r="155" spans="2:12" ht="19.5" customHeight="1" x14ac:dyDescent="0.3"/>
    <row r="156" spans="2:12" ht="19.5" customHeight="1" x14ac:dyDescent="0.3"/>
    <row r="157" spans="2:12" ht="19.5" customHeight="1" x14ac:dyDescent="0.3"/>
    <row r="158" spans="2:12" ht="19.5" customHeight="1" x14ac:dyDescent="0.3"/>
    <row r="159" spans="2:12" ht="19.5" customHeight="1" x14ac:dyDescent="0.3"/>
    <row r="160" spans="2:12" ht="19.5" customHeight="1" x14ac:dyDescent="0.3"/>
    <row r="161" spans="2:12" ht="19.5" customHeight="1" x14ac:dyDescent="0.3"/>
    <row r="162" spans="2:12" ht="19.5" customHeight="1" x14ac:dyDescent="0.3"/>
    <row r="163" spans="2:12" ht="19.5" customHeight="1" x14ac:dyDescent="0.3"/>
    <row r="164" spans="2:12" s="111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111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111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111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111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111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111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111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111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111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111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111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111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111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111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111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111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111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111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111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111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  <row r="185" spans="2:12" s="111" customFormat="1" ht="19.5" customHeight="1" x14ac:dyDescent="0.3">
      <c r="B185" s="5"/>
      <c r="C185" s="5"/>
      <c r="D185" s="5"/>
      <c r="E185" s="5"/>
      <c r="F185" s="70"/>
      <c r="G185" s="5"/>
      <c r="H185" s="5"/>
      <c r="I185" s="5"/>
      <c r="J185" s="5"/>
      <c r="K185" s="5"/>
      <c r="L185" s="5"/>
    </row>
    <row r="186" spans="2:12" s="111" customFormat="1" ht="19.5" customHeight="1" x14ac:dyDescent="0.3">
      <c r="B186" s="5"/>
      <c r="C186" s="5"/>
      <c r="D186" s="5"/>
      <c r="E186" s="5"/>
      <c r="F186" s="70"/>
      <c r="G186" s="5"/>
      <c r="H186" s="5"/>
      <c r="I186" s="5"/>
      <c r="J186" s="5"/>
      <c r="K186" s="5"/>
      <c r="L186" s="5"/>
    </row>
    <row r="187" spans="2:12" s="111" customFormat="1" ht="19.5" customHeight="1" x14ac:dyDescent="0.3">
      <c r="B187" s="5"/>
      <c r="C187" s="5"/>
      <c r="D187" s="5"/>
      <c r="E187" s="5"/>
      <c r="F187" s="70"/>
      <c r="G187" s="5"/>
      <c r="H187" s="5"/>
      <c r="I187" s="5"/>
      <c r="J187" s="5"/>
      <c r="K187" s="5"/>
      <c r="L187" s="5"/>
    </row>
    <row r="188" spans="2:12" s="111" customFormat="1" ht="19.5" customHeight="1" x14ac:dyDescent="0.3">
      <c r="B188" s="5"/>
      <c r="C188" s="5"/>
      <c r="D188" s="5"/>
      <c r="E188" s="5"/>
      <c r="F188" s="70"/>
      <c r="G188" s="5"/>
      <c r="H188" s="5"/>
      <c r="I188" s="5"/>
      <c r="J188" s="5"/>
      <c r="K188" s="5"/>
      <c r="L188" s="5"/>
    </row>
    <row r="189" spans="2:12" s="111" customFormat="1" ht="19.5" customHeight="1" x14ac:dyDescent="0.3">
      <c r="B189" s="5"/>
      <c r="C189" s="5"/>
      <c r="D189" s="5"/>
      <c r="E189" s="5"/>
      <c r="F189" s="70"/>
      <c r="G189" s="5"/>
      <c r="H189" s="5"/>
      <c r="I189" s="5"/>
      <c r="J189" s="5"/>
      <c r="K189" s="5"/>
      <c r="L189" s="5"/>
    </row>
    <row r="190" spans="2:12" s="111" customFormat="1" ht="19.5" customHeight="1" x14ac:dyDescent="0.3">
      <c r="B190" s="5"/>
      <c r="C190" s="5"/>
      <c r="D190" s="5"/>
      <c r="E190" s="5"/>
      <c r="F190" s="70"/>
      <c r="G190" s="5"/>
      <c r="H190" s="5"/>
      <c r="I190" s="5"/>
      <c r="J190" s="5"/>
      <c r="K190" s="5"/>
      <c r="L190" s="5"/>
    </row>
    <row r="191" spans="2:12" s="111" customFormat="1" ht="19.5" customHeight="1" x14ac:dyDescent="0.3">
      <c r="B191" s="5"/>
      <c r="C191" s="5"/>
      <c r="D191" s="5"/>
      <c r="E191" s="5"/>
      <c r="F191" s="70"/>
      <c r="G191" s="5"/>
      <c r="H191" s="5"/>
      <c r="I191" s="5"/>
      <c r="J191" s="5"/>
      <c r="K191" s="5"/>
      <c r="L191" s="5"/>
    </row>
    <row r="192" spans="2:12" s="111" customFormat="1" ht="19.5" customHeight="1" x14ac:dyDescent="0.3">
      <c r="B192" s="5"/>
      <c r="C192" s="5"/>
      <c r="D192" s="5"/>
      <c r="E192" s="5"/>
      <c r="F192" s="70"/>
      <c r="G192" s="5"/>
      <c r="H192" s="5"/>
      <c r="I192" s="5"/>
      <c r="J192" s="5"/>
      <c r="K192" s="5"/>
      <c r="L192" s="5"/>
    </row>
    <row r="193" spans="2:12" s="111" customFormat="1" ht="19.5" customHeight="1" x14ac:dyDescent="0.3">
      <c r="B193" s="5"/>
      <c r="C193" s="5"/>
      <c r="D193" s="5"/>
      <c r="E193" s="5"/>
      <c r="F193" s="70"/>
      <c r="G193" s="5"/>
      <c r="H193" s="5"/>
      <c r="I193" s="5"/>
      <c r="J193" s="5"/>
      <c r="K193" s="5"/>
      <c r="L193" s="5"/>
    </row>
    <row r="194" spans="2:12" s="111" customFormat="1" ht="19.5" customHeight="1" x14ac:dyDescent="0.3">
      <c r="B194" s="5"/>
      <c r="C194" s="5"/>
      <c r="D194" s="5"/>
      <c r="E194" s="5"/>
      <c r="F194" s="70"/>
      <c r="G194" s="5"/>
      <c r="H194" s="5"/>
      <c r="I194" s="5"/>
      <c r="J194" s="5"/>
      <c r="K194" s="5"/>
      <c r="L194" s="5"/>
    </row>
    <row r="195" spans="2:12" s="111" customFormat="1" ht="19.5" customHeight="1" x14ac:dyDescent="0.3">
      <c r="B195" s="5"/>
      <c r="C195" s="5"/>
      <c r="D195" s="5"/>
      <c r="E195" s="5"/>
      <c r="F195" s="70"/>
      <c r="G195" s="5"/>
      <c r="H195" s="5"/>
      <c r="I195" s="5"/>
      <c r="J195" s="5"/>
      <c r="K195" s="5"/>
      <c r="L195" s="5"/>
    </row>
    <row r="196" spans="2:12" s="111" customFormat="1" ht="19.5" customHeight="1" x14ac:dyDescent="0.3">
      <c r="B196" s="5"/>
      <c r="C196" s="5"/>
      <c r="D196" s="5"/>
      <c r="E196" s="5"/>
      <c r="F196" s="70"/>
      <c r="G196" s="5"/>
      <c r="H196" s="5"/>
      <c r="I196" s="5"/>
      <c r="J196" s="5"/>
      <c r="K196" s="5"/>
      <c r="L196" s="5"/>
    </row>
    <row r="197" spans="2:12" s="111" customFormat="1" ht="19.5" customHeight="1" x14ac:dyDescent="0.3">
      <c r="B197" s="5"/>
      <c r="C197" s="5"/>
      <c r="D197" s="5"/>
      <c r="E197" s="5"/>
      <c r="F197" s="70"/>
      <c r="G197" s="5"/>
      <c r="H197" s="5"/>
      <c r="I197" s="5"/>
      <c r="J197" s="5"/>
      <c r="K197" s="5"/>
      <c r="L197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112:B112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106:I106"/>
    <mergeCell ref="A107:B107"/>
    <mergeCell ref="D107:G107"/>
    <mergeCell ref="H107:J107"/>
    <mergeCell ref="K107:L107"/>
    <mergeCell ref="A122:B122"/>
    <mergeCell ref="A123:B123"/>
    <mergeCell ref="A113:B113"/>
    <mergeCell ref="A114:B114"/>
    <mergeCell ref="A115:B115"/>
    <mergeCell ref="A117:B117"/>
    <mergeCell ref="A118:B118"/>
    <mergeCell ref="A119:B119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36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1"/>
  <sheetViews>
    <sheetView view="pageBreakPreview" topLeftCell="A31" zoomScale="85" zoomScaleNormal="100" zoomScaleSheetLayoutView="85" workbookViewId="0">
      <selection activeCell="A53" sqref="A53:F53"/>
    </sheetView>
  </sheetViews>
  <sheetFormatPr defaultRowHeight="13.5" x14ac:dyDescent="0.3"/>
  <cols>
    <col min="1" max="1" width="8.625" style="10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46258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9" si="0">(H7/1000*I7/1000)*J7</f>
        <v>0</v>
      </c>
      <c r="L7" s="26">
        <f>SUM(J7:J29)</f>
        <v>193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SUM(K7:K29)</f>
        <v>1280.4335810000002</v>
      </c>
    </row>
    <row r="9" spans="1:12" s="27" customFormat="1" ht="19.5" customHeight="1" x14ac:dyDescent="0.3">
      <c r="A9" s="28" t="s">
        <v>7826</v>
      </c>
      <c r="B9" s="16" t="s">
        <v>7827</v>
      </c>
      <c r="C9" s="17">
        <v>16</v>
      </c>
      <c r="D9" s="18" t="s">
        <v>7828</v>
      </c>
      <c r="E9" s="41">
        <v>8</v>
      </c>
      <c r="F9" s="42">
        <v>12.56</v>
      </c>
      <c r="G9" s="34" t="s">
        <v>7829</v>
      </c>
      <c r="H9" s="35">
        <v>1829</v>
      </c>
      <c r="I9" s="36">
        <v>3353</v>
      </c>
      <c r="J9" s="37">
        <v>3</v>
      </c>
      <c r="K9" s="25">
        <f t="shared" si="0"/>
        <v>18.397911000000001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7830</v>
      </c>
      <c r="H10" s="35">
        <v>1981</v>
      </c>
      <c r="I10" s="36">
        <v>3353</v>
      </c>
      <c r="J10" s="37">
        <v>3</v>
      </c>
      <c r="K10" s="25">
        <f t="shared" si="0"/>
        <v>19.926879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7831</v>
      </c>
      <c r="B12" s="16" t="s">
        <v>7832</v>
      </c>
      <c r="C12" s="17">
        <v>22</v>
      </c>
      <c r="D12" s="18" t="s">
        <v>7833</v>
      </c>
      <c r="E12" s="41">
        <v>270</v>
      </c>
      <c r="F12" s="42">
        <v>226.4</v>
      </c>
      <c r="G12" s="34" t="s">
        <v>7834</v>
      </c>
      <c r="H12" s="35">
        <v>1981</v>
      </c>
      <c r="I12" s="36">
        <v>3353</v>
      </c>
      <c r="J12" s="37">
        <v>34</v>
      </c>
      <c r="K12" s="25">
        <f t="shared" si="0"/>
        <v>225.837962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7835</v>
      </c>
      <c r="H13" s="35">
        <v>1981</v>
      </c>
      <c r="I13" s="36">
        <v>3353</v>
      </c>
      <c r="J13" s="37">
        <v>34</v>
      </c>
      <c r="K13" s="25">
        <f t="shared" si="0"/>
        <v>225.837962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0"/>
        <v>0</v>
      </c>
      <c r="L14" s="39"/>
    </row>
    <row r="15" spans="1:12" s="27" customFormat="1" ht="19.5" customHeight="1" x14ac:dyDescent="0.3">
      <c r="A15" s="28" t="s">
        <v>7836</v>
      </c>
      <c r="B15" s="16" t="s">
        <v>7837</v>
      </c>
      <c r="C15" s="17">
        <v>22</v>
      </c>
      <c r="D15" s="18" t="s">
        <v>7838</v>
      </c>
      <c r="E15" s="41">
        <v>1</v>
      </c>
      <c r="F15" s="42">
        <v>2.78</v>
      </c>
      <c r="G15" s="34"/>
      <c r="H15" s="35"/>
      <c r="I15" s="36"/>
      <c r="J15" s="37"/>
      <c r="K15" s="25">
        <f t="shared" si="0"/>
        <v>0</v>
      </c>
      <c r="L15" s="39" t="s">
        <v>7839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 t="s">
        <v>7840</v>
      </c>
      <c r="B17" s="16" t="s">
        <v>7837</v>
      </c>
      <c r="C17" s="17">
        <v>22</v>
      </c>
      <c r="D17" s="18" t="s">
        <v>7838</v>
      </c>
      <c r="E17" s="41">
        <v>1</v>
      </c>
      <c r="F17" s="42">
        <v>2.78</v>
      </c>
      <c r="G17" s="34"/>
      <c r="H17" s="35"/>
      <c r="I17" s="36"/>
      <c r="J17" s="37"/>
      <c r="K17" s="25">
        <f t="shared" si="0"/>
        <v>0</v>
      </c>
      <c r="L17" s="39" t="s">
        <v>7839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 t="s">
        <v>7841</v>
      </c>
      <c r="B19" s="16" t="s">
        <v>7832</v>
      </c>
      <c r="C19" s="17">
        <v>22</v>
      </c>
      <c r="D19" s="18" t="s">
        <v>45</v>
      </c>
      <c r="E19" s="41">
        <v>240</v>
      </c>
      <c r="F19" s="42">
        <v>146.9</v>
      </c>
      <c r="G19" s="34" t="s">
        <v>49</v>
      </c>
      <c r="H19" s="35">
        <v>1981</v>
      </c>
      <c r="I19" s="36">
        <v>3353</v>
      </c>
      <c r="J19" s="37">
        <v>23</v>
      </c>
      <c r="K19" s="25">
        <f t="shared" si="0"/>
        <v>152.772739</v>
      </c>
      <c r="L19" s="39"/>
    </row>
    <row r="20" spans="1:12" s="27" customFormat="1" ht="19.5" customHeight="1" x14ac:dyDescent="0.3">
      <c r="A20" s="28"/>
      <c r="B20" s="16"/>
      <c r="C20" s="17">
        <v>22</v>
      </c>
      <c r="D20" s="18" t="s">
        <v>45</v>
      </c>
      <c r="E20" s="41">
        <v>60</v>
      </c>
      <c r="F20" s="42">
        <v>16.8</v>
      </c>
      <c r="G20" s="34" t="s">
        <v>216</v>
      </c>
      <c r="H20" s="35">
        <v>1981</v>
      </c>
      <c r="I20" s="36">
        <v>3353</v>
      </c>
      <c r="J20" s="37">
        <v>23</v>
      </c>
      <c r="K20" s="25">
        <f t="shared" si="0"/>
        <v>152.772739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 t="s">
        <v>7842</v>
      </c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7873</v>
      </c>
      <c r="B23" s="16" t="s">
        <v>7874</v>
      </c>
      <c r="C23" s="17">
        <v>22</v>
      </c>
      <c r="D23" s="18" t="s">
        <v>7875</v>
      </c>
      <c r="E23" s="41">
        <v>10</v>
      </c>
      <c r="F23" s="42">
        <v>32.299999999999997</v>
      </c>
      <c r="G23" s="34" t="s">
        <v>216</v>
      </c>
      <c r="H23" s="35">
        <v>1981</v>
      </c>
      <c r="I23" s="36">
        <v>3353</v>
      </c>
      <c r="J23" s="37">
        <v>39</v>
      </c>
      <c r="K23" s="25">
        <f t="shared" si="0"/>
        <v>259.04942700000004</v>
      </c>
      <c r="L23" s="39" t="s">
        <v>7876</v>
      </c>
    </row>
    <row r="24" spans="1:12" s="27" customFormat="1" ht="19.5" customHeight="1" x14ac:dyDescent="0.3">
      <c r="A24" s="28"/>
      <c r="B24" s="16"/>
      <c r="C24" s="17">
        <v>22</v>
      </c>
      <c r="D24" s="18" t="s">
        <v>7867</v>
      </c>
      <c r="E24" s="41">
        <v>270</v>
      </c>
      <c r="F24" s="42">
        <v>226.4</v>
      </c>
      <c r="G24" s="34" t="s">
        <v>7878</v>
      </c>
      <c r="H24" s="35">
        <v>1981</v>
      </c>
      <c r="I24" s="36">
        <v>3353</v>
      </c>
      <c r="J24" s="37">
        <v>34</v>
      </c>
      <c r="K24" s="25">
        <f t="shared" si="0"/>
        <v>225.837962</v>
      </c>
      <c r="L24" s="39" t="s">
        <v>7877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/>
      <c r="B29" s="29"/>
      <c r="C29" s="30"/>
      <c r="D29" s="31"/>
      <c r="E29" s="41"/>
      <c r="F29" s="42"/>
      <c r="G29" s="43"/>
      <c r="H29" s="35"/>
      <c r="I29" s="36"/>
      <c r="J29" s="37"/>
      <c r="K29" s="85">
        <f t="shared" si="0"/>
        <v>0</v>
      </c>
      <c r="L29" s="39"/>
    </row>
    <row r="30" spans="1:12" s="55" customFormat="1" ht="19.5" customHeight="1" x14ac:dyDescent="0.3">
      <c r="A30" s="44"/>
      <c r="B30" s="45"/>
      <c r="C30" s="46"/>
      <c r="D30" s="47"/>
      <c r="E30" s="48"/>
      <c r="F30" s="49"/>
      <c r="G30" s="50"/>
      <c r="H30" s="51"/>
      <c r="I30" s="45"/>
      <c r="J30" s="52"/>
      <c r="K30" s="53">
        <f t="shared" si="0"/>
        <v>0</v>
      </c>
      <c r="L30" s="54"/>
    </row>
    <row r="31" spans="1:12" s="55" customFormat="1" ht="19.5" customHeight="1" x14ac:dyDescent="0.3">
      <c r="A31" s="44" t="s">
        <v>7843</v>
      </c>
      <c r="B31" s="76" t="s">
        <v>7844</v>
      </c>
      <c r="C31" s="77">
        <v>24</v>
      </c>
      <c r="D31" s="78" t="s">
        <v>7845</v>
      </c>
      <c r="E31" s="48">
        <v>4</v>
      </c>
      <c r="F31" s="49">
        <v>11.24</v>
      </c>
      <c r="G31" s="50" t="s">
        <v>7847</v>
      </c>
      <c r="H31" s="51">
        <v>2438</v>
      </c>
      <c r="I31" s="45">
        <v>3353</v>
      </c>
      <c r="J31" s="52">
        <v>2</v>
      </c>
      <c r="K31" s="53">
        <f t="shared" si="0"/>
        <v>16.349228</v>
      </c>
      <c r="L31" s="54"/>
    </row>
    <row r="32" spans="1:12" s="55" customFormat="1" ht="19.5" customHeight="1" x14ac:dyDescent="0.3">
      <c r="A32" s="44"/>
      <c r="B32" s="76"/>
      <c r="C32" s="77">
        <v>28</v>
      </c>
      <c r="D32" s="78" t="s">
        <v>7846</v>
      </c>
      <c r="E32" s="48">
        <v>12</v>
      </c>
      <c r="F32" s="49">
        <v>10.32</v>
      </c>
      <c r="G32" s="50" t="s">
        <v>7835</v>
      </c>
      <c r="H32" s="51">
        <v>2438</v>
      </c>
      <c r="I32" s="45">
        <v>3353</v>
      </c>
      <c r="J32" s="52">
        <v>1</v>
      </c>
      <c r="K32" s="53">
        <f t="shared" si="0"/>
        <v>8.174614</v>
      </c>
      <c r="L32" s="54"/>
    </row>
    <row r="33" spans="1:12" s="55" customFormat="1" ht="19.5" customHeight="1" x14ac:dyDescent="0.3">
      <c r="A33" s="44"/>
      <c r="B33" s="76"/>
      <c r="C33" s="77"/>
      <c r="D33" s="78"/>
      <c r="E33" s="48"/>
      <c r="F33" s="49"/>
      <c r="G33" s="50" t="s">
        <v>7835</v>
      </c>
      <c r="H33" s="51">
        <v>2134</v>
      </c>
      <c r="I33" s="45">
        <v>3048</v>
      </c>
      <c r="J33" s="52">
        <v>1</v>
      </c>
      <c r="K33" s="53">
        <f t="shared" si="0"/>
        <v>6.5044319999999995</v>
      </c>
      <c r="L33" s="54"/>
    </row>
    <row r="34" spans="1:12" s="55" customFormat="1" ht="19.5" customHeight="1" x14ac:dyDescent="0.3">
      <c r="A34" s="44"/>
      <c r="B34" s="76"/>
      <c r="C34" s="77"/>
      <c r="D34" s="78"/>
      <c r="E34" s="48"/>
      <c r="F34" s="49"/>
      <c r="G34" s="50" t="s">
        <v>7848</v>
      </c>
      <c r="H34" s="51">
        <v>2438</v>
      </c>
      <c r="I34" s="45">
        <v>3353</v>
      </c>
      <c r="J34" s="52">
        <v>3</v>
      </c>
      <c r="K34" s="53">
        <f t="shared" si="0"/>
        <v>24.523842000000002</v>
      </c>
      <c r="L34" s="54"/>
    </row>
    <row r="35" spans="1:12" s="55" customFormat="1" ht="19.5" customHeight="1" x14ac:dyDescent="0.3">
      <c r="A35" s="44"/>
      <c r="B35" s="76"/>
      <c r="C35" s="77"/>
      <c r="D35" s="78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7849</v>
      </c>
      <c r="B36" s="76" t="s">
        <v>7850</v>
      </c>
      <c r="C36" s="77">
        <v>24</v>
      </c>
      <c r="D36" s="78" t="s">
        <v>7851</v>
      </c>
      <c r="E36" s="48">
        <v>131</v>
      </c>
      <c r="F36" s="49">
        <v>274.14</v>
      </c>
      <c r="G36" s="50" t="s">
        <v>7852</v>
      </c>
      <c r="H36" s="51">
        <v>2438</v>
      </c>
      <c r="I36" s="45">
        <v>3048</v>
      </c>
      <c r="J36" s="52">
        <v>46</v>
      </c>
      <c r="K36" s="53">
        <f t="shared" si="0"/>
        <v>341.82710400000002</v>
      </c>
      <c r="L36" s="54"/>
    </row>
    <row r="37" spans="1:12" s="55" customFormat="1" ht="19.5" customHeight="1" x14ac:dyDescent="0.3">
      <c r="A37" s="44"/>
      <c r="B37" s="76"/>
      <c r="C37" s="77"/>
      <c r="D37" s="78"/>
      <c r="E37" s="48"/>
      <c r="F37" s="49"/>
      <c r="G37" s="50" t="s">
        <v>7853</v>
      </c>
      <c r="H37" s="51">
        <v>2438</v>
      </c>
      <c r="I37" s="45">
        <v>3048</v>
      </c>
      <c r="J37" s="52">
        <v>23</v>
      </c>
      <c r="K37" s="53">
        <f t="shared" si="0"/>
        <v>170.91355200000001</v>
      </c>
      <c r="L37" s="54"/>
    </row>
    <row r="38" spans="1:12" s="55" customFormat="1" ht="19.5" customHeight="1" x14ac:dyDescent="0.3">
      <c r="A38" s="44"/>
      <c r="B38" s="76"/>
      <c r="C38" s="77"/>
      <c r="D38" s="78"/>
      <c r="E38" s="48"/>
      <c r="F38" s="49"/>
      <c r="G38" s="50" t="s">
        <v>7853</v>
      </c>
      <c r="H38" s="51">
        <v>2134</v>
      </c>
      <c r="I38" s="45">
        <v>3048</v>
      </c>
      <c r="J38" s="52">
        <v>19</v>
      </c>
      <c r="K38" s="53">
        <f t="shared" si="0"/>
        <v>123.58420799999999</v>
      </c>
      <c r="L38" s="54"/>
    </row>
    <row r="39" spans="1:12" s="55" customFormat="1" ht="19.5" customHeight="1" x14ac:dyDescent="0.3">
      <c r="A39" s="44"/>
      <c r="B39" s="76"/>
      <c r="C39" s="77"/>
      <c r="D39" s="78"/>
      <c r="E39" s="48"/>
      <c r="F39" s="49"/>
      <c r="G39" s="50" t="s">
        <v>7853</v>
      </c>
      <c r="H39" s="51">
        <v>1981</v>
      </c>
      <c r="I39" s="45">
        <v>3048</v>
      </c>
      <c r="J39" s="52">
        <v>4</v>
      </c>
      <c r="K39" s="53">
        <f t="shared" si="0"/>
        <v>24.152352000000004</v>
      </c>
      <c r="L39" s="54"/>
    </row>
    <row r="40" spans="1:12" s="55" customFormat="1" ht="19.5" customHeight="1" x14ac:dyDescent="0.3">
      <c r="A40" s="44"/>
      <c r="B40" s="76"/>
      <c r="C40" s="77"/>
      <c r="D40" s="78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7854</v>
      </c>
      <c r="B41" s="76" t="s">
        <v>7855</v>
      </c>
      <c r="C41" s="77">
        <v>22</v>
      </c>
      <c r="D41" s="78" t="s">
        <v>7856</v>
      </c>
      <c r="E41" s="48">
        <v>2</v>
      </c>
      <c r="F41" s="49">
        <v>2.76</v>
      </c>
      <c r="G41" s="50"/>
      <c r="H41" s="51"/>
      <c r="I41" s="45"/>
      <c r="J41" s="52"/>
      <c r="K41" s="53">
        <f t="shared" si="0"/>
        <v>0</v>
      </c>
      <c r="L41" s="54" t="s">
        <v>7857</v>
      </c>
    </row>
    <row r="42" spans="1:12" s="55" customFormat="1" ht="19.5" customHeight="1" x14ac:dyDescent="0.3">
      <c r="A42" s="44"/>
      <c r="B42" s="76"/>
      <c r="C42" s="77"/>
      <c r="D42" s="78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7860</v>
      </c>
      <c r="B43" s="76" t="s">
        <v>7861</v>
      </c>
      <c r="C43" s="77">
        <v>24</v>
      </c>
      <c r="D43" s="78" t="s">
        <v>7862</v>
      </c>
      <c r="E43" s="48">
        <v>5</v>
      </c>
      <c r="F43" s="49">
        <v>18.190000000000001</v>
      </c>
      <c r="G43" s="50" t="s">
        <v>7858</v>
      </c>
      <c r="H43" s="51">
        <v>2438</v>
      </c>
      <c r="I43" s="45">
        <v>3353</v>
      </c>
      <c r="J43" s="52">
        <v>3</v>
      </c>
      <c r="K43" s="53">
        <f t="shared" si="0"/>
        <v>24.523842000000002</v>
      </c>
      <c r="L43" s="54" t="s">
        <v>7859</v>
      </c>
    </row>
    <row r="44" spans="1:12" s="55" customFormat="1" ht="19.5" customHeight="1" x14ac:dyDescent="0.3">
      <c r="A44" s="44"/>
      <c r="B44" s="76"/>
      <c r="C44" s="77"/>
      <c r="D44" s="78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7860</v>
      </c>
      <c r="B45" s="76" t="s">
        <v>7861</v>
      </c>
      <c r="C45" s="77">
        <v>24</v>
      </c>
      <c r="D45" s="78" t="s">
        <v>7862</v>
      </c>
      <c r="E45" s="48">
        <v>1</v>
      </c>
      <c r="F45" s="49">
        <v>2.06</v>
      </c>
      <c r="G45" s="50"/>
      <c r="H45" s="51"/>
      <c r="I45" s="45"/>
      <c r="J45" s="52"/>
      <c r="K45" s="53">
        <f t="shared" si="0"/>
        <v>0</v>
      </c>
      <c r="L45" s="54" t="s">
        <v>7863</v>
      </c>
    </row>
    <row r="46" spans="1:12" s="55" customFormat="1" ht="19.5" customHeight="1" x14ac:dyDescent="0.3">
      <c r="A46" s="44"/>
      <c r="B46" s="76"/>
      <c r="C46" s="77"/>
      <c r="D46" s="78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7864</v>
      </c>
      <c r="B47" s="76" t="s">
        <v>7850</v>
      </c>
      <c r="C47" s="77">
        <v>24</v>
      </c>
      <c r="D47" s="78" t="s">
        <v>7851</v>
      </c>
      <c r="E47" s="48">
        <v>61</v>
      </c>
      <c r="F47" s="49">
        <v>123.86</v>
      </c>
      <c r="G47" s="50" t="s">
        <v>7852</v>
      </c>
      <c r="H47" s="51">
        <v>2438</v>
      </c>
      <c r="I47" s="45">
        <v>3048</v>
      </c>
      <c r="J47" s="52">
        <v>22</v>
      </c>
      <c r="K47" s="53">
        <f t="shared" si="0"/>
        <v>163.482528</v>
      </c>
      <c r="L47" s="54" t="s">
        <v>7865</v>
      </c>
    </row>
    <row r="48" spans="1:12" s="55" customFormat="1" ht="19.5" customHeight="1" x14ac:dyDescent="0.3">
      <c r="A48" s="44"/>
      <c r="B48" s="76"/>
      <c r="C48" s="77"/>
      <c r="D48" s="78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7842</v>
      </c>
      <c r="B49" s="76"/>
      <c r="C49" s="77"/>
      <c r="D49" s="78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7879</v>
      </c>
      <c r="B50" s="76" t="s">
        <v>7477</v>
      </c>
      <c r="C50" s="77">
        <v>24</v>
      </c>
      <c r="D50" s="78" t="s">
        <v>7823</v>
      </c>
      <c r="E50" s="48">
        <v>57</v>
      </c>
      <c r="F50" s="49">
        <v>122.29</v>
      </c>
      <c r="G50" s="50" t="s">
        <v>7479</v>
      </c>
      <c r="H50" s="51">
        <v>2438</v>
      </c>
      <c r="I50" s="45">
        <v>3048</v>
      </c>
      <c r="J50" s="52">
        <v>16</v>
      </c>
      <c r="K50" s="53">
        <f t="shared" si="0"/>
        <v>118.89638400000001</v>
      </c>
      <c r="L50" s="54" t="s">
        <v>7880</v>
      </c>
    </row>
    <row r="51" spans="1:12" s="55" customFormat="1" ht="19.5" customHeight="1" x14ac:dyDescent="0.3">
      <c r="A51" s="44"/>
      <c r="B51" s="76"/>
      <c r="C51" s="77"/>
      <c r="D51" s="78"/>
      <c r="E51" s="48"/>
      <c r="F51" s="49"/>
      <c r="G51" s="50" t="s">
        <v>7479</v>
      </c>
      <c r="H51" s="51">
        <v>2438</v>
      </c>
      <c r="I51" s="45">
        <v>3353</v>
      </c>
      <c r="J51" s="52">
        <v>4</v>
      </c>
      <c r="K51" s="53">
        <f t="shared" si="0"/>
        <v>32.698456</v>
      </c>
      <c r="L51" s="54"/>
    </row>
    <row r="52" spans="1:12" s="55" customFormat="1" ht="19.5" customHeight="1" x14ac:dyDescent="0.3">
      <c r="A52" s="44"/>
      <c r="B52" s="76"/>
      <c r="C52" s="77"/>
      <c r="D52" s="78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7881</v>
      </c>
      <c r="B53" s="76" t="s">
        <v>7870</v>
      </c>
      <c r="C53" s="77">
        <v>24</v>
      </c>
      <c r="D53" s="78" t="s">
        <v>7882</v>
      </c>
      <c r="E53" s="48">
        <v>229</v>
      </c>
      <c r="F53" s="49">
        <v>310.67</v>
      </c>
      <c r="G53" s="50" t="s">
        <v>7883</v>
      </c>
      <c r="H53" s="51">
        <v>2438</v>
      </c>
      <c r="I53" s="45">
        <v>3353</v>
      </c>
      <c r="J53" s="52">
        <v>42</v>
      </c>
      <c r="K53" s="53">
        <f t="shared" si="0"/>
        <v>343.33378800000003</v>
      </c>
      <c r="L53" s="54" t="s">
        <v>7876</v>
      </c>
    </row>
    <row r="54" spans="1:12" s="55" customFormat="1" ht="19.5" customHeight="1" x14ac:dyDescent="0.3">
      <c r="A54" s="44"/>
      <c r="B54" s="76"/>
      <c r="C54" s="77"/>
      <c r="D54" s="78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76"/>
      <c r="C55" s="77"/>
      <c r="D55" s="78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94"/>
      <c r="B56" s="76"/>
      <c r="C56" s="77"/>
      <c r="D56" s="78"/>
      <c r="E56" s="48"/>
      <c r="F56" s="49"/>
      <c r="G56" s="50"/>
      <c r="H56" s="51"/>
      <c r="I56" s="45"/>
      <c r="J56" s="52"/>
      <c r="K56" s="53">
        <f t="shared" si="0"/>
        <v>0</v>
      </c>
      <c r="L56" s="6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9" customFormat="1" ht="20.100000000000001" customHeight="1" x14ac:dyDescent="0.3">
      <c r="A58" s="44"/>
      <c r="B58" s="45"/>
      <c r="C58" s="46"/>
      <c r="D58" s="47"/>
      <c r="E58" s="56"/>
      <c r="F58" s="57"/>
      <c r="G58" s="50"/>
      <c r="H58" s="51"/>
      <c r="I58" s="45"/>
      <c r="J58" s="52"/>
      <c r="K58" s="53">
        <f t="shared" si="0"/>
        <v>0</v>
      </c>
      <c r="L58" s="58">
        <f>SUM(J30:J59)</f>
        <v>186</v>
      </c>
    </row>
    <row r="59" spans="1:12" s="59" customFormat="1" ht="20.100000000000001" customHeight="1" x14ac:dyDescent="0.3">
      <c r="A59" s="44"/>
      <c r="B59" s="45"/>
      <c r="C59" s="46"/>
      <c r="D59" s="47"/>
      <c r="E59" s="60"/>
      <c r="F59" s="61"/>
      <c r="G59" s="62"/>
      <c r="H59" s="51"/>
      <c r="I59" s="45"/>
      <c r="J59" s="63"/>
      <c r="K59" s="53">
        <f t="shared" si="0"/>
        <v>0</v>
      </c>
      <c r="L59" s="64">
        <f>SUM(K30:K59)</f>
        <v>1398.9643299999998</v>
      </c>
    </row>
    <row r="60" spans="1:12" s="59" customFormat="1" ht="20.100000000000001" customHeight="1" thickBot="1" x14ac:dyDescent="0.35">
      <c r="A60" s="114"/>
      <c r="B60" s="115"/>
      <c r="C60" s="115"/>
      <c r="D60" s="115"/>
      <c r="E60" s="115"/>
      <c r="F60" s="115"/>
      <c r="G60" s="115"/>
      <c r="H60" s="115"/>
      <c r="I60" s="115"/>
      <c r="J60" s="65">
        <f>SUM(J7:J59)</f>
        <v>379</v>
      </c>
      <c r="K60" s="66">
        <f>SUM(K7:K59)</f>
        <v>2679.3979110000005</v>
      </c>
      <c r="L60" s="67"/>
    </row>
    <row r="61" spans="1:12" s="59" customFormat="1" ht="20.100000000000001" customHeight="1" thickTop="1" thickBot="1" x14ac:dyDescent="0.35">
      <c r="A61" s="116" t="s">
        <v>52</v>
      </c>
      <c r="B61" s="117"/>
      <c r="C61" s="110"/>
      <c r="D61" s="118">
        <f>J60</f>
        <v>379</v>
      </c>
      <c r="E61" s="119"/>
      <c r="F61" s="119"/>
      <c r="G61" s="120"/>
      <c r="H61" s="121"/>
      <c r="I61" s="121"/>
      <c r="J61" s="122"/>
      <c r="K61" s="119"/>
      <c r="L61" s="123"/>
    </row>
    <row r="62" spans="1:12" s="59" customFormat="1" ht="20.100000000000001" customHeight="1" x14ac:dyDescent="0.3">
      <c r="A62" s="109"/>
      <c r="B62" s="5"/>
      <c r="C62" s="5"/>
      <c r="D62" s="5"/>
      <c r="E62" s="5"/>
      <c r="F62" s="70"/>
      <c r="G62" s="5"/>
      <c r="H62" s="5"/>
      <c r="I62" s="5"/>
      <c r="J62" s="5"/>
      <c r="K62" s="5"/>
      <c r="L62" s="71"/>
    </row>
    <row r="63" spans="1:12" s="59" customFormat="1" ht="20.100000000000001" customHeight="1" x14ac:dyDescent="0.3">
      <c r="A63" s="10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09"/>
      <c r="B64" s="5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0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72"/>
      <c r="F67" s="5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5"/>
      <c r="G68" s="73"/>
      <c r="H68" s="5"/>
      <c r="I68" s="74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0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72"/>
      <c r="I72" s="72"/>
      <c r="J72" s="5"/>
      <c r="K72" s="5"/>
      <c r="L72" s="5"/>
    </row>
    <row r="73" spans="1:12" ht="20.100000000000001" customHeight="1" x14ac:dyDescent="0.3">
      <c r="A73" s="113"/>
      <c r="B73" s="113"/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H75" s="72"/>
      <c r="I75" s="72"/>
    </row>
    <row r="76" spans="1:12" ht="20.100000000000001" customHeight="1" x14ac:dyDescent="0.3">
      <c r="A76" s="113"/>
      <c r="B76" s="113"/>
      <c r="H76" s="72"/>
      <c r="I76" s="72"/>
    </row>
    <row r="77" spans="1:12" ht="20.100000000000001" customHeight="1" x14ac:dyDescent="0.3">
      <c r="A77" s="113"/>
      <c r="B77" s="113"/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s="72" customFormat="1" ht="20.100000000000001" customHeight="1" x14ac:dyDescent="0.3">
      <c r="A81" s="109"/>
      <c r="B81" s="5"/>
      <c r="C81" s="5"/>
      <c r="D81" s="5"/>
      <c r="E81" s="5"/>
      <c r="F81" s="70"/>
      <c r="G81" s="5"/>
      <c r="J81" s="5"/>
      <c r="K81" s="5"/>
      <c r="L81" s="5"/>
    </row>
    <row r="82" spans="1:12" s="72" customFormat="1" ht="20.100000000000001" customHeight="1" x14ac:dyDescent="0.3">
      <c r="A82" s="10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20.100000000000001" customHeight="1" x14ac:dyDescent="0.3">
      <c r="A83" s="10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5" customFormat="1" ht="20.100000000000001" customHeight="1" x14ac:dyDescent="0.3">
      <c r="A84" s="10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5" customFormat="1" ht="19.5" customHeight="1" x14ac:dyDescent="0.3">
      <c r="A85" s="10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2" customFormat="1" ht="20.100000000000001" customHeight="1" x14ac:dyDescent="0.3">
      <c r="A86" s="10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2" customFormat="1" ht="20.100000000000001" customHeight="1" x14ac:dyDescent="0.3">
      <c r="A87" s="10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ht="19.5" customHeight="1" x14ac:dyDescent="0.3"/>
    <row r="89" spans="1:12" ht="19.5" customHeight="1" x14ac:dyDescent="0.3"/>
    <row r="90" spans="1:12" ht="19.5" customHeight="1" x14ac:dyDescent="0.3"/>
    <row r="91" spans="1:12" s="10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10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10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10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10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10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10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10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10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10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10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10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10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10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10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10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s="10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10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10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10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10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10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10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10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10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10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10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10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10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10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10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10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10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10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10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10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10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10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10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10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10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10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10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10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10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10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10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10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10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10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6:B6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0:I60"/>
    <mergeCell ref="A61:B61"/>
    <mergeCell ref="D61:G61"/>
    <mergeCell ref="H61:J61"/>
    <mergeCell ref="K61:L61"/>
    <mergeCell ref="A76:B76"/>
    <mergeCell ref="A77:B77"/>
    <mergeCell ref="A67:B67"/>
    <mergeCell ref="A68:B68"/>
    <mergeCell ref="A69:B69"/>
    <mergeCell ref="A71:B71"/>
    <mergeCell ref="A72:B72"/>
    <mergeCell ref="A73:B73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35"/>
  <sheetViews>
    <sheetView view="pageBreakPreview" topLeftCell="A10" zoomScale="85" zoomScaleNormal="100" zoomScaleSheetLayoutView="85" workbookViewId="0">
      <selection activeCell="G14" sqref="G14:I15"/>
    </sheetView>
  </sheetViews>
  <sheetFormatPr defaultRowHeight="13.5" x14ac:dyDescent="0.3"/>
  <cols>
    <col min="1" max="1" width="8.625" style="10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46256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43" si="0">(H7/1000*I7/1000)*J7</f>
        <v>0</v>
      </c>
      <c r="L7" s="26">
        <f>SUM(J7:J23)</f>
        <v>122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SUM(K7:K23)</f>
        <v>810.35974599999997</v>
      </c>
    </row>
    <row r="9" spans="1:12" s="27" customFormat="1" ht="19.5" customHeight="1" x14ac:dyDescent="0.3">
      <c r="A9" s="28" t="s">
        <v>7822</v>
      </c>
      <c r="B9" s="16" t="s">
        <v>1483</v>
      </c>
      <c r="C9" s="17">
        <v>5</v>
      </c>
      <c r="D9" s="18" t="s">
        <v>219</v>
      </c>
      <c r="E9" s="41">
        <v>40</v>
      </c>
      <c r="F9" s="42">
        <v>16</v>
      </c>
      <c r="G9" s="34" t="s">
        <v>18</v>
      </c>
      <c r="H9" s="35">
        <v>1981</v>
      </c>
      <c r="I9" s="36">
        <v>3353</v>
      </c>
      <c r="J9" s="37">
        <v>6</v>
      </c>
      <c r="K9" s="25">
        <f t="shared" si="0"/>
        <v>39.853757999999999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>
        <f t="shared" si="0"/>
        <v>0</v>
      </c>
      <c r="L10" s="39"/>
    </row>
    <row r="11" spans="1:12" s="27" customFormat="1" ht="19.5" customHeight="1" x14ac:dyDescent="0.3">
      <c r="A11" s="28" t="s">
        <v>7707</v>
      </c>
      <c r="B11" s="16" t="s">
        <v>2662</v>
      </c>
      <c r="C11" s="17">
        <v>22</v>
      </c>
      <c r="D11" s="18" t="s">
        <v>17</v>
      </c>
      <c r="E11" s="41">
        <v>270</v>
      </c>
      <c r="F11" s="42">
        <v>226.4</v>
      </c>
      <c r="G11" s="34" t="s">
        <v>18</v>
      </c>
      <c r="H11" s="35">
        <v>1981</v>
      </c>
      <c r="I11" s="36">
        <v>3353</v>
      </c>
      <c r="J11" s="37">
        <v>34</v>
      </c>
      <c r="K11" s="25">
        <f t="shared" si="0"/>
        <v>225.837962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216</v>
      </c>
      <c r="H12" s="35">
        <v>1981</v>
      </c>
      <c r="I12" s="36">
        <v>3353</v>
      </c>
      <c r="J12" s="37">
        <v>34</v>
      </c>
      <c r="K12" s="25">
        <f t="shared" si="0"/>
        <v>225.837962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 t="s">
        <v>7708</v>
      </c>
      <c r="B14" s="16" t="s">
        <v>2662</v>
      </c>
      <c r="C14" s="17">
        <v>22</v>
      </c>
      <c r="D14" s="18" t="s">
        <v>45</v>
      </c>
      <c r="E14" s="41">
        <v>240</v>
      </c>
      <c r="F14" s="42">
        <v>146.9</v>
      </c>
      <c r="G14" s="34" t="s">
        <v>49</v>
      </c>
      <c r="H14" s="35">
        <v>1981</v>
      </c>
      <c r="I14" s="36">
        <v>3353</v>
      </c>
      <c r="J14" s="37">
        <v>24</v>
      </c>
      <c r="K14" s="25">
        <f t="shared" si="0"/>
        <v>159.415032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45</v>
      </c>
      <c r="E15" s="41">
        <v>60</v>
      </c>
      <c r="F15" s="42">
        <v>16.8</v>
      </c>
      <c r="G15" s="34" t="s">
        <v>216</v>
      </c>
      <c r="H15" s="35">
        <v>1981</v>
      </c>
      <c r="I15" s="36">
        <v>3353</v>
      </c>
      <c r="J15" s="37">
        <v>24</v>
      </c>
      <c r="K15" s="25">
        <f t="shared" si="0"/>
        <v>159.415032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>
        <f t="shared" si="0"/>
        <v>0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0"/>
        <v>0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/>
      <c r="B23" s="29"/>
      <c r="C23" s="30"/>
      <c r="D23" s="31"/>
      <c r="E23" s="41"/>
      <c r="F23" s="42"/>
      <c r="G23" s="43"/>
      <c r="H23" s="35"/>
      <c r="I23" s="36"/>
      <c r="J23" s="37"/>
      <c r="K23" s="85">
        <f t="shared" si="0"/>
        <v>0</v>
      </c>
      <c r="L23" s="39"/>
    </row>
    <row r="24" spans="1:12" s="55" customFormat="1" ht="19.5" customHeight="1" x14ac:dyDescent="0.3">
      <c r="A24" s="44"/>
      <c r="B24" s="45"/>
      <c r="C24" s="46"/>
      <c r="D24" s="47"/>
      <c r="E24" s="48"/>
      <c r="F24" s="49"/>
      <c r="G24" s="50"/>
      <c r="H24" s="51"/>
      <c r="I24" s="45"/>
      <c r="J24" s="52"/>
      <c r="K24" s="53">
        <f t="shared" si="0"/>
        <v>0</v>
      </c>
      <c r="L24" s="54"/>
    </row>
    <row r="25" spans="1:12" s="55" customFormat="1" ht="19.5" customHeight="1" x14ac:dyDescent="0.3">
      <c r="A25" s="44" t="s">
        <v>7825</v>
      </c>
      <c r="B25" s="76" t="s">
        <v>7477</v>
      </c>
      <c r="C25" s="77">
        <v>24</v>
      </c>
      <c r="D25" s="78" t="s">
        <v>7823</v>
      </c>
      <c r="E25" s="48">
        <v>129</v>
      </c>
      <c r="F25" s="49">
        <v>266.47000000000003</v>
      </c>
      <c r="G25" s="50" t="s">
        <v>7479</v>
      </c>
      <c r="H25" s="51">
        <v>2438</v>
      </c>
      <c r="I25" s="45">
        <v>3048</v>
      </c>
      <c r="J25" s="52">
        <v>45</v>
      </c>
      <c r="K25" s="53">
        <f t="shared" si="0"/>
        <v>334.39608000000004</v>
      </c>
      <c r="L25" s="54"/>
    </row>
    <row r="26" spans="1:12" s="55" customFormat="1" ht="19.5" customHeight="1" x14ac:dyDescent="0.3">
      <c r="A26" s="44"/>
      <c r="B26" s="76"/>
      <c r="C26" s="77"/>
      <c r="D26" s="78"/>
      <c r="E26" s="48"/>
      <c r="F26" s="49"/>
      <c r="G26" s="50" t="s">
        <v>189</v>
      </c>
      <c r="H26" s="51">
        <v>2438</v>
      </c>
      <c r="I26" s="45">
        <v>3048</v>
      </c>
      <c r="J26" s="52">
        <v>22</v>
      </c>
      <c r="K26" s="53">
        <f t="shared" si="0"/>
        <v>163.482528</v>
      </c>
      <c r="L26" s="54"/>
    </row>
    <row r="27" spans="1:12" s="55" customFormat="1" ht="19.5" customHeight="1" x14ac:dyDescent="0.3">
      <c r="A27" s="44"/>
      <c r="B27" s="76"/>
      <c r="C27" s="77"/>
      <c r="D27" s="78"/>
      <c r="E27" s="48"/>
      <c r="F27" s="49"/>
      <c r="G27" s="50" t="s">
        <v>189</v>
      </c>
      <c r="H27" s="51">
        <v>2134</v>
      </c>
      <c r="I27" s="45">
        <v>3048</v>
      </c>
      <c r="J27" s="52">
        <v>19</v>
      </c>
      <c r="K27" s="53">
        <f t="shared" si="0"/>
        <v>123.58420799999999</v>
      </c>
      <c r="L27" s="54"/>
    </row>
    <row r="28" spans="1:12" s="55" customFormat="1" ht="19.5" customHeight="1" x14ac:dyDescent="0.3">
      <c r="A28" s="44"/>
      <c r="B28" s="76"/>
      <c r="C28" s="77"/>
      <c r="D28" s="78"/>
      <c r="E28" s="48"/>
      <c r="F28" s="49"/>
      <c r="G28" s="50" t="s">
        <v>189</v>
      </c>
      <c r="H28" s="51">
        <v>1981</v>
      </c>
      <c r="I28" s="45">
        <v>3048</v>
      </c>
      <c r="J28" s="52">
        <v>4</v>
      </c>
      <c r="K28" s="53">
        <f t="shared" si="0"/>
        <v>24.152352000000004</v>
      </c>
      <c r="L28" s="54"/>
    </row>
    <row r="29" spans="1:12" s="55" customFormat="1" ht="19.5" customHeight="1" x14ac:dyDescent="0.3">
      <c r="A29" s="44"/>
      <c r="B29" s="76"/>
      <c r="C29" s="77"/>
      <c r="D29" s="78"/>
      <c r="E29" s="48"/>
      <c r="F29" s="49"/>
      <c r="G29" s="50"/>
      <c r="H29" s="51"/>
      <c r="I29" s="45"/>
      <c r="J29" s="52"/>
      <c r="K29" s="53">
        <f t="shared" si="0"/>
        <v>0</v>
      </c>
      <c r="L29" s="54"/>
    </row>
    <row r="30" spans="1:12" s="55" customFormat="1" ht="19.5" customHeight="1" x14ac:dyDescent="0.3">
      <c r="A30" s="44" t="s">
        <v>7824</v>
      </c>
      <c r="B30" s="76" t="s">
        <v>7477</v>
      </c>
      <c r="C30" s="77">
        <v>24</v>
      </c>
      <c r="D30" s="78" t="s">
        <v>7823</v>
      </c>
      <c r="E30" s="48">
        <v>34</v>
      </c>
      <c r="F30" s="49">
        <v>53.16</v>
      </c>
      <c r="G30" s="50" t="s">
        <v>7479</v>
      </c>
      <c r="H30" s="51">
        <v>2438</v>
      </c>
      <c r="I30" s="45">
        <v>3048</v>
      </c>
      <c r="J30" s="52">
        <v>9</v>
      </c>
      <c r="K30" s="53">
        <f t="shared" si="0"/>
        <v>66.879216000000014</v>
      </c>
      <c r="L30" s="54"/>
    </row>
    <row r="31" spans="1:12" s="55" customFormat="1" ht="19.5" customHeight="1" x14ac:dyDescent="0.3">
      <c r="A31" s="44"/>
      <c r="B31" s="76"/>
      <c r="C31" s="77"/>
      <c r="D31" s="78"/>
      <c r="E31" s="48"/>
      <c r="F31" s="49"/>
      <c r="G31" s="50" t="s">
        <v>189</v>
      </c>
      <c r="H31" s="51">
        <v>2134</v>
      </c>
      <c r="I31" s="45">
        <v>3048</v>
      </c>
      <c r="J31" s="52">
        <v>10</v>
      </c>
      <c r="K31" s="53">
        <f t="shared" si="0"/>
        <v>65.044319999999999</v>
      </c>
      <c r="L31" s="54"/>
    </row>
    <row r="32" spans="1:12" s="55" customFormat="1" ht="19.5" customHeight="1" x14ac:dyDescent="0.3">
      <c r="A32" s="44"/>
      <c r="B32" s="76"/>
      <c r="C32" s="77"/>
      <c r="D32" s="78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/>
      <c r="B33" s="76"/>
      <c r="C33" s="77"/>
      <c r="D33" s="78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/>
      <c r="B34" s="76"/>
      <c r="C34" s="77"/>
      <c r="D34" s="78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/>
      <c r="B35" s="76"/>
      <c r="C35" s="77"/>
      <c r="D35" s="78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/>
      <c r="B36" s="76"/>
      <c r="C36" s="77"/>
      <c r="D36" s="78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/>
      <c r="B37" s="76"/>
      <c r="C37" s="77"/>
      <c r="D37" s="78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/>
      <c r="B38" s="76"/>
      <c r="C38" s="77"/>
      <c r="D38" s="78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/>
      <c r="B39" s="76"/>
      <c r="C39" s="77"/>
      <c r="D39" s="78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94"/>
      <c r="B40" s="76"/>
      <c r="C40" s="77"/>
      <c r="D40" s="78"/>
      <c r="E40" s="48"/>
      <c r="F40" s="49"/>
      <c r="G40" s="50"/>
      <c r="H40" s="51"/>
      <c r="I40" s="45"/>
      <c r="J40" s="52"/>
      <c r="K40" s="53">
        <f t="shared" si="0"/>
        <v>0</v>
      </c>
      <c r="L40" s="6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9" customFormat="1" ht="20.100000000000001" customHeight="1" x14ac:dyDescent="0.3">
      <c r="A42" s="44"/>
      <c r="B42" s="45"/>
      <c r="C42" s="46"/>
      <c r="D42" s="47"/>
      <c r="E42" s="56"/>
      <c r="F42" s="57"/>
      <c r="G42" s="50"/>
      <c r="H42" s="51"/>
      <c r="I42" s="45"/>
      <c r="J42" s="52"/>
      <c r="K42" s="53">
        <f t="shared" si="0"/>
        <v>0</v>
      </c>
      <c r="L42" s="58">
        <f>SUM(J24:J43)</f>
        <v>109</v>
      </c>
    </row>
    <row r="43" spans="1:12" s="59" customFormat="1" ht="20.100000000000001" customHeight="1" x14ac:dyDescent="0.3">
      <c r="A43" s="44"/>
      <c r="B43" s="45"/>
      <c r="C43" s="46"/>
      <c r="D43" s="47"/>
      <c r="E43" s="60"/>
      <c r="F43" s="61"/>
      <c r="G43" s="62"/>
      <c r="H43" s="51"/>
      <c r="I43" s="45"/>
      <c r="J43" s="63"/>
      <c r="K43" s="53">
        <f t="shared" si="0"/>
        <v>0</v>
      </c>
      <c r="L43" s="64">
        <f>SUM(K24:K43)</f>
        <v>777.53870399999994</v>
      </c>
    </row>
    <row r="44" spans="1:12" s="59" customFormat="1" ht="20.100000000000001" customHeight="1" thickBot="1" x14ac:dyDescent="0.35">
      <c r="A44" s="114"/>
      <c r="B44" s="115"/>
      <c r="C44" s="115"/>
      <c r="D44" s="115"/>
      <c r="E44" s="115"/>
      <c r="F44" s="115"/>
      <c r="G44" s="115"/>
      <c r="H44" s="115"/>
      <c r="I44" s="115"/>
      <c r="J44" s="65">
        <f>SUM(J7:J43)</f>
        <v>231</v>
      </c>
      <c r="K44" s="66">
        <f>SUM(K7:K43)</f>
        <v>1587.8984500000001</v>
      </c>
      <c r="L44" s="67"/>
    </row>
    <row r="45" spans="1:12" s="59" customFormat="1" ht="20.100000000000001" customHeight="1" thickTop="1" thickBot="1" x14ac:dyDescent="0.35">
      <c r="A45" s="116" t="s">
        <v>52</v>
      </c>
      <c r="B45" s="117"/>
      <c r="C45" s="110"/>
      <c r="D45" s="118">
        <f>J44</f>
        <v>231</v>
      </c>
      <c r="E45" s="119"/>
      <c r="F45" s="119"/>
      <c r="G45" s="120"/>
      <c r="H45" s="121"/>
      <c r="I45" s="121"/>
      <c r="J45" s="122"/>
      <c r="K45" s="119"/>
      <c r="L45" s="123"/>
    </row>
    <row r="46" spans="1:12" s="59" customFormat="1" ht="20.100000000000001" customHeight="1" x14ac:dyDescent="0.3">
      <c r="A46" s="109"/>
      <c r="B46" s="5"/>
      <c r="C46" s="5"/>
      <c r="D46" s="5"/>
      <c r="E46" s="5"/>
      <c r="F46" s="70"/>
      <c r="G46" s="5"/>
      <c r="H46" s="5"/>
      <c r="I46" s="5"/>
      <c r="J46" s="5"/>
      <c r="K46" s="5"/>
      <c r="L46" s="71"/>
    </row>
    <row r="47" spans="1:12" s="59" customFormat="1" ht="20.100000000000001" customHeight="1" x14ac:dyDescent="0.3">
      <c r="A47" s="109"/>
      <c r="B47" s="5"/>
      <c r="C47" s="5"/>
      <c r="D47" s="5"/>
      <c r="E47" s="5"/>
      <c r="F47" s="70"/>
      <c r="G47" s="5"/>
      <c r="H47" s="5"/>
      <c r="I47" s="5"/>
      <c r="J47" s="5"/>
      <c r="K47" s="5"/>
      <c r="L47" s="5"/>
    </row>
    <row r="48" spans="1:12" s="59" customFormat="1" ht="20.100000000000001" customHeight="1" x14ac:dyDescent="0.3">
      <c r="A48" s="109"/>
      <c r="B48" s="5"/>
      <c r="C48" s="5"/>
      <c r="D48" s="5"/>
      <c r="E48" s="5"/>
      <c r="F48" s="70"/>
      <c r="G48" s="5"/>
      <c r="H48" s="5"/>
      <c r="I48" s="5"/>
      <c r="J48" s="5"/>
      <c r="K48" s="5"/>
      <c r="L48" s="5"/>
    </row>
    <row r="49" spans="1:12" s="59" customFormat="1" ht="20.100000000000001" customHeight="1" x14ac:dyDescent="0.3">
      <c r="A49" s="109"/>
      <c r="B49" s="5"/>
      <c r="C49" s="5"/>
      <c r="D49" s="5"/>
      <c r="E49" s="5"/>
      <c r="F49" s="70"/>
      <c r="G49" s="5"/>
      <c r="H49" s="5"/>
      <c r="I49" s="5"/>
      <c r="J49" s="5"/>
      <c r="K49" s="5"/>
      <c r="L49" s="5"/>
    </row>
    <row r="50" spans="1:12" s="59" customFormat="1" ht="20.100000000000001" customHeight="1" x14ac:dyDescent="0.3">
      <c r="A50" s="113"/>
      <c r="B50" s="113"/>
      <c r="C50" s="5"/>
      <c r="D50" s="5"/>
      <c r="E50" s="5"/>
      <c r="F50" s="70"/>
      <c r="G50" s="5"/>
      <c r="H50" s="5"/>
      <c r="I50" s="5"/>
      <c r="J50" s="5"/>
      <c r="K50" s="5"/>
      <c r="L50" s="5"/>
    </row>
    <row r="51" spans="1:12" s="59" customFormat="1" ht="20.100000000000001" customHeight="1" x14ac:dyDescent="0.3">
      <c r="A51" s="113"/>
      <c r="B51" s="113"/>
      <c r="C51" s="5"/>
      <c r="D51" s="5"/>
      <c r="E51" s="72"/>
      <c r="F51" s="5"/>
      <c r="G51" s="5"/>
      <c r="H51" s="5"/>
      <c r="I51" s="5"/>
      <c r="J51" s="5"/>
      <c r="K51" s="5"/>
      <c r="L51" s="5"/>
    </row>
    <row r="52" spans="1:12" s="59" customFormat="1" ht="20.100000000000001" customHeight="1" x14ac:dyDescent="0.3">
      <c r="A52" s="113"/>
      <c r="B52" s="113"/>
      <c r="C52" s="5"/>
      <c r="D52" s="5"/>
      <c r="E52" s="5"/>
      <c r="F52" s="5"/>
      <c r="G52" s="73"/>
      <c r="H52" s="5"/>
      <c r="I52" s="74"/>
      <c r="J52" s="5"/>
      <c r="K52" s="5"/>
      <c r="L52" s="5"/>
    </row>
    <row r="53" spans="1:12" s="59" customFormat="1" ht="20.100000000000001" customHeight="1" x14ac:dyDescent="0.3">
      <c r="A53" s="113"/>
      <c r="B53" s="113"/>
      <c r="C53" s="5"/>
      <c r="D53" s="5"/>
      <c r="E53" s="5"/>
      <c r="F53" s="70"/>
      <c r="G53" s="5"/>
      <c r="H53" s="5"/>
      <c r="I53" s="5"/>
      <c r="J53" s="5"/>
      <c r="K53" s="5"/>
      <c r="L53" s="5"/>
    </row>
    <row r="54" spans="1:12" s="59" customFormat="1" ht="20.100000000000001" customHeight="1" x14ac:dyDescent="0.3">
      <c r="A54" s="109"/>
      <c r="B54" s="5"/>
      <c r="C54" s="5"/>
      <c r="D54" s="5"/>
      <c r="E54" s="5"/>
      <c r="F54" s="70"/>
      <c r="G54" s="5"/>
      <c r="H54" s="5"/>
      <c r="I54" s="5"/>
      <c r="J54" s="5"/>
      <c r="K54" s="5"/>
      <c r="L54" s="5"/>
    </row>
    <row r="55" spans="1:12" s="59" customFormat="1" ht="20.100000000000001" customHeight="1" x14ac:dyDescent="0.3">
      <c r="A55" s="113"/>
      <c r="B55" s="113"/>
      <c r="C55" s="5"/>
      <c r="D55" s="5"/>
      <c r="E55" s="5"/>
      <c r="F55" s="70"/>
      <c r="G55" s="5"/>
      <c r="H55" s="5"/>
      <c r="I55" s="5"/>
      <c r="J55" s="5"/>
      <c r="K55" s="5"/>
      <c r="L55" s="5"/>
    </row>
    <row r="56" spans="1:12" s="59" customFormat="1" ht="20.100000000000001" customHeight="1" x14ac:dyDescent="0.3">
      <c r="A56" s="113"/>
      <c r="B56" s="113"/>
      <c r="C56" s="5"/>
      <c r="D56" s="5"/>
      <c r="E56" s="5"/>
      <c r="F56" s="70"/>
      <c r="G56" s="5"/>
      <c r="H56" s="72"/>
      <c r="I56" s="72"/>
      <c r="J56" s="5"/>
      <c r="K56" s="5"/>
      <c r="L56" s="5"/>
    </row>
    <row r="57" spans="1:12" ht="20.100000000000001" customHeight="1" x14ac:dyDescent="0.3">
      <c r="A57" s="113"/>
      <c r="B57" s="113"/>
      <c r="H57" s="72"/>
      <c r="I57" s="72"/>
    </row>
    <row r="58" spans="1:12" ht="20.100000000000001" customHeight="1" x14ac:dyDescent="0.3">
      <c r="H58" s="72"/>
      <c r="I58" s="72"/>
    </row>
    <row r="59" spans="1:12" ht="20.100000000000001" customHeight="1" x14ac:dyDescent="0.3">
      <c r="H59" s="72"/>
      <c r="I59" s="72"/>
    </row>
    <row r="60" spans="1:12" ht="20.100000000000001" customHeight="1" x14ac:dyDescent="0.3">
      <c r="A60" s="113"/>
      <c r="B60" s="113"/>
      <c r="H60" s="72"/>
      <c r="I60" s="72"/>
    </row>
    <row r="61" spans="1:12" ht="20.100000000000001" customHeight="1" x14ac:dyDescent="0.3">
      <c r="A61" s="113"/>
      <c r="B61" s="113"/>
      <c r="H61" s="72"/>
      <c r="I61" s="72"/>
    </row>
    <row r="62" spans="1:12" ht="20.100000000000001" customHeight="1" x14ac:dyDescent="0.3">
      <c r="H62" s="72"/>
      <c r="I62" s="72"/>
    </row>
    <row r="63" spans="1:12" ht="20.100000000000001" customHeight="1" x14ac:dyDescent="0.3">
      <c r="H63" s="72"/>
      <c r="I63" s="72"/>
    </row>
    <row r="64" spans="1:12" ht="20.100000000000001" customHeight="1" x14ac:dyDescent="0.3">
      <c r="H64" s="72"/>
      <c r="I64" s="72"/>
    </row>
    <row r="65" spans="1:12" s="72" customFormat="1" ht="20.100000000000001" customHeight="1" x14ac:dyDescent="0.3">
      <c r="A65" s="109"/>
      <c r="B65" s="5"/>
      <c r="C65" s="5"/>
      <c r="D65" s="5"/>
      <c r="E65" s="5"/>
      <c r="F65" s="70"/>
      <c r="G65" s="5"/>
      <c r="J65" s="5"/>
      <c r="K65" s="5"/>
      <c r="L65" s="5"/>
    </row>
    <row r="66" spans="1:12" s="72" customFormat="1" ht="20.100000000000001" customHeight="1" x14ac:dyDescent="0.3">
      <c r="A66" s="109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75" customFormat="1" ht="20.100000000000001" customHeight="1" x14ac:dyDescent="0.3">
      <c r="A67" s="10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75" customFormat="1" ht="20.100000000000001" customHeight="1" x14ac:dyDescent="0.3">
      <c r="A68" s="10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75" customFormat="1" ht="19.5" customHeight="1" x14ac:dyDescent="0.3">
      <c r="A69" s="10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72" customFormat="1" ht="20.100000000000001" customHeight="1" x14ac:dyDescent="0.3">
      <c r="A70" s="10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72" customFormat="1" ht="20.100000000000001" customHeight="1" x14ac:dyDescent="0.3">
      <c r="A71" s="10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ht="19.5" customHeight="1" x14ac:dyDescent="0.3"/>
    <row r="73" spans="1:12" ht="19.5" customHeight="1" x14ac:dyDescent="0.3"/>
    <row r="74" spans="1:12" ht="19.5" customHeight="1" x14ac:dyDescent="0.3"/>
    <row r="75" spans="1:12" s="109" customFormat="1" ht="19.5" customHeight="1" x14ac:dyDescent="0.3"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109" customFormat="1" ht="19.5" customHeight="1" x14ac:dyDescent="0.3"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109" customFormat="1" ht="19.5" customHeight="1" x14ac:dyDescent="0.3"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109" customFormat="1" ht="19.5" customHeight="1" x14ac:dyDescent="0.3"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109" customFormat="1" ht="19.5" customHeight="1" x14ac:dyDescent="0.3"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109" customFormat="1" ht="19.5" customHeight="1" x14ac:dyDescent="0.3"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2:12" s="109" customFormat="1" ht="19.5" customHeight="1" x14ac:dyDescent="0.3"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2:12" s="109" customFormat="1" ht="19.5" customHeight="1" x14ac:dyDescent="0.3"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2:12" s="109" customFormat="1" ht="19.5" customHeight="1" x14ac:dyDescent="0.3"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2:12" s="109" customFormat="1" ht="19.5" customHeight="1" x14ac:dyDescent="0.3"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2:12" s="10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2:12" s="10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2:12" s="10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2:12" s="10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2:12" s="10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2:12" s="10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2:12" ht="19.5" customHeight="1" x14ac:dyDescent="0.3"/>
    <row r="92" spans="2:12" ht="19.5" customHeight="1" x14ac:dyDescent="0.3"/>
    <row r="93" spans="2:12" ht="19.5" customHeight="1" x14ac:dyDescent="0.3"/>
    <row r="94" spans="2:12" ht="19.5" customHeight="1" x14ac:dyDescent="0.3"/>
    <row r="95" spans="2:12" ht="19.5" customHeight="1" x14ac:dyDescent="0.3"/>
    <row r="96" spans="2:12" ht="19.5" customHeight="1" x14ac:dyDescent="0.3"/>
    <row r="97" spans="2:12" ht="19.5" customHeight="1" x14ac:dyDescent="0.3"/>
    <row r="98" spans="2:12" ht="19.5" customHeight="1" x14ac:dyDescent="0.3"/>
    <row r="99" spans="2:12" ht="19.5" customHeight="1" x14ac:dyDescent="0.3"/>
    <row r="100" spans="2:12" ht="19.5" customHeight="1" x14ac:dyDescent="0.3"/>
    <row r="101" spans="2:12" ht="19.5" customHeight="1" x14ac:dyDescent="0.3"/>
    <row r="102" spans="2:12" s="10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10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10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10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10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10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10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10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10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10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10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10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10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10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10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10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10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10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10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10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10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10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10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10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10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10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10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10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10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10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10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10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10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10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50:B5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44:I44"/>
    <mergeCell ref="A45:B45"/>
    <mergeCell ref="D45:G45"/>
    <mergeCell ref="H45:J45"/>
    <mergeCell ref="K45:L45"/>
    <mergeCell ref="A60:B60"/>
    <mergeCell ref="A61:B61"/>
    <mergeCell ref="A51:B51"/>
    <mergeCell ref="A52:B52"/>
    <mergeCell ref="A53:B53"/>
    <mergeCell ref="A55:B55"/>
    <mergeCell ref="A56:B56"/>
    <mergeCell ref="A57:B57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80"/>
  <sheetViews>
    <sheetView view="pageBreakPreview" zoomScale="85" zoomScaleNormal="100" zoomScaleSheetLayoutView="85" workbookViewId="0">
      <selection activeCell="I9" sqref="I9"/>
    </sheetView>
  </sheetViews>
  <sheetFormatPr defaultRowHeight="13.5" x14ac:dyDescent="0.3"/>
  <cols>
    <col min="1" max="1" width="8.625" style="107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46255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8" si="0">(H7/1000*I7/1000)*J7</f>
        <v>0</v>
      </c>
      <c r="L7" s="26">
        <f>SUM(J7:J41)</f>
        <v>135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SUM(K7:K41)</f>
        <v>897.94570299999998</v>
      </c>
    </row>
    <row r="9" spans="1:12" s="27" customFormat="1" ht="19.5" customHeight="1" x14ac:dyDescent="0.3">
      <c r="A9" s="28" t="s">
        <v>7756</v>
      </c>
      <c r="B9" s="16" t="s">
        <v>7757</v>
      </c>
      <c r="C9" s="17">
        <v>12</v>
      </c>
      <c r="D9" s="18" t="s">
        <v>7758</v>
      </c>
      <c r="E9" s="41">
        <v>1</v>
      </c>
      <c r="F9" s="42">
        <v>2.04</v>
      </c>
      <c r="G9" s="34" t="s">
        <v>7759</v>
      </c>
      <c r="H9" s="35">
        <v>2743</v>
      </c>
      <c r="I9" s="36">
        <v>3048</v>
      </c>
      <c r="J9" s="37">
        <v>1</v>
      </c>
      <c r="K9" s="25">
        <f t="shared" si="0"/>
        <v>8.3606639999999981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>
        <f t="shared" si="0"/>
        <v>0</v>
      </c>
      <c r="L10" s="39"/>
    </row>
    <row r="11" spans="1:12" s="27" customFormat="1" ht="19.5" customHeight="1" x14ac:dyDescent="0.3">
      <c r="A11" s="28" t="s">
        <v>7760</v>
      </c>
      <c r="B11" s="16" t="s">
        <v>7761</v>
      </c>
      <c r="C11" s="17">
        <v>10</v>
      </c>
      <c r="D11" s="18" t="s">
        <v>7762</v>
      </c>
      <c r="E11" s="41">
        <v>1</v>
      </c>
      <c r="F11" s="42">
        <v>2.34</v>
      </c>
      <c r="G11" s="34"/>
      <c r="H11" s="35"/>
      <c r="I11" s="36"/>
      <c r="J11" s="37"/>
      <c r="K11" s="25">
        <f t="shared" si="0"/>
        <v>0</v>
      </c>
      <c r="L11" s="39" t="s">
        <v>7763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 t="s">
        <v>7764</v>
      </c>
      <c r="B13" s="16" t="s">
        <v>7765</v>
      </c>
      <c r="C13" s="17">
        <v>22</v>
      </c>
      <c r="D13" s="18" t="s">
        <v>7766</v>
      </c>
      <c r="E13" s="41">
        <v>1</v>
      </c>
      <c r="F13" s="42">
        <v>3.22</v>
      </c>
      <c r="G13" s="34" t="s">
        <v>7768</v>
      </c>
      <c r="H13" s="35">
        <v>1981</v>
      </c>
      <c r="I13" s="36">
        <v>3353</v>
      </c>
      <c r="J13" s="37">
        <v>1</v>
      </c>
      <c r="K13" s="25">
        <f t="shared" si="0"/>
        <v>6.6422930000000004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7766</v>
      </c>
      <c r="E14" s="41">
        <v>1</v>
      </c>
      <c r="F14" s="42">
        <v>1</v>
      </c>
      <c r="G14" s="34" t="s">
        <v>7769</v>
      </c>
      <c r="H14" s="35">
        <v>2134</v>
      </c>
      <c r="I14" s="36">
        <v>3658</v>
      </c>
      <c r="J14" s="37">
        <v>1</v>
      </c>
      <c r="K14" s="25">
        <f t="shared" si="0"/>
        <v>7.8061719999999992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7767</v>
      </c>
      <c r="E15" s="41">
        <v>2</v>
      </c>
      <c r="F15" s="42">
        <v>2.4</v>
      </c>
      <c r="G15" s="34" t="s">
        <v>7770</v>
      </c>
      <c r="H15" s="35">
        <v>1981</v>
      </c>
      <c r="I15" s="36">
        <v>3048</v>
      </c>
      <c r="J15" s="37">
        <v>1</v>
      </c>
      <c r="K15" s="25">
        <f t="shared" si="0"/>
        <v>6.038088000000001</v>
      </c>
      <c r="L15" s="39"/>
    </row>
    <row r="16" spans="1:12" s="27" customFormat="1" ht="19.5" customHeight="1" x14ac:dyDescent="0.3">
      <c r="A16" s="28"/>
      <c r="B16" s="16"/>
      <c r="C16" s="17">
        <v>22</v>
      </c>
      <c r="D16" s="18" t="s">
        <v>7767</v>
      </c>
      <c r="E16" s="41">
        <v>3</v>
      </c>
      <c r="F16" s="42">
        <v>3.69</v>
      </c>
      <c r="G16" s="34" t="s">
        <v>7770</v>
      </c>
      <c r="H16" s="35">
        <v>2134</v>
      </c>
      <c r="I16" s="36">
        <v>3048</v>
      </c>
      <c r="J16" s="37">
        <v>1</v>
      </c>
      <c r="K16" s="25">
        <f t="shared" si="0"/>
        <v>6.5044319999999995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>
        <f t="shared" si="0"/>
        <v>0</v>
      </c>
      <c r="L17" s="39"/>
    </row>
    <row r="18" spans="1:12" s="27" customFormat="1" ht="19.5" customHeight="1" x14ac:dyDescent="0.3">
      <c r="A18" s="28" t="s">
        <v>7771</v>
      </c>
      <c r="B18" s="16" t="s">
        <v>7772</v>
      </c>
      <c r="C18" s="17">
        <v>22</v>
      </c>
      <c r="D18" s="18" t="s">
        <v>7773</v>
      </c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/>
      <c r="B19" s="16"/>
      <c r="C19" s="17">
        <v>22</v>
      </c>
      <c r="D19" s="18" t="s">
        <v>7774</v>
      </c>
      <c r="E19" s="41">
        <v>3</v>
      </c>
      <c r="F19" s="42">
        <v>5.01</v>
      </c>
      <c r="G19" s="34" t="s">
        <v>7769</v>
      </c>
      <c r="H19" s="35">
        <v>2134</v>
      </c>
      <c r="I19" s="36">
        <v>3658</v>
      </c>
      <c r="J19" s="37">
        <v>1</v>
      </c>
      <c r="K19" s="25">
        <f t="shared" si="0"/>
        <v>7.8061719999999992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>
        <v>1</v>
      </c>
      <c r="F20" s="42">
        <v>2.12</v>
      </c>
      <c r="G20" s="34" t="s">
        <v>7769</v>
      </c>
      <c r="H20" s="35">
        <v>1981</v>
      </c>
      <c r="I20" s="36">
        <v>3353</v>
      </c>
      <c r="J20" s="37">
        <v>1</v>
      </c>
      <c r="K20" s="25">
        <f t="shared" si="0"/>
        <v>6.6422930000000004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 t="s">
        <v>7775</v>
      </c>
      <c r="B22" s="16" t="s">
        <v>7761</v>
      </c>
      <c r="C22" s="17">
        <v>22</v>
      </c>
      <c r="D22" s="18" t="s">
        <v>7767</v>
      </c>
      <c r="E22" s="41">
        <v>1</v>
      </c>
      <c r="F22" s="42">
        <v>1.35</v>
      </c>
      <c r="G22" s="34" t="s">
        <v>7769</v>
      </c>
      <c r="H22" s="35">
        <v>1981</v>
      </c>
      <c r="I22" s="36">
        <v>3353</v>
      </c>
      <c r="J22" s="37">
        <v>1</v>
      </c>
      <c r="K22" s="85">
        <f t="shared" si="0"/>
        <v>6.6422930000000004</v>
      </c>
      <c r="L22" s="39" t="s">
        <v>7776</v>
      </c>
    </row>
    <row r="23" spans="1:12" s="27" customFormat="1" ht="19.5" customHeight="1" x14ac:dyDescent="0.3">
      <c r="A23" s="28"/>
      <c r="B23" s="16"/>
      <c r="C23" s="17">
        <v>22</v>
      </c>
      <c r="D23" s="18" t="s">
        <v>7767</v>
      </c>
      <c r="E23" s="41">
        <v>2</v>
      </c>
      <c r="F23" s="42">
        <v>2.08</v>
      </c>
      <c r="G23" s="34" t="s">
        <v>7769</v>
      </c>
      <c r="H23" s="35">
        <v>2134</v>
      </c>
      <c r="I23" s="36">
        <v>3048</v>
      </c>
      <c r="J23" s="37">
        <v>1</v>
      </c>
      <c r="K23" s="85">
        <f t="shared" si="0"/>
        <v>6.5044319999999995</v>
      </c>
      <c r="L23" s="39" t="s">
        <v>7776</v>
      </c>
    </row>
    <row r="24" spans="1:12" s="27" customFormat="1" ht="19.5" customHeight="1" x14ac:dyDescent="0.3">
      <c r="A24" s="28"/>
      <c r="B24" s="16"/>
      <c r="C24" s="17">
        <v>16</v>
      </c>
      <c r="D24" s="18" t="s">
        <v>7773</v>
      </c>
      <c r="E24" s="41">
        <v>1</v>
      </c>
      <c r="F24" s="42">
        <v>1.3</v>
      </c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/>
      <c r="B25" s="16"/>
      <c r="C25" s="17">
        <v>22</v>
      </c>
      <c r="D25" s="18" t="s">
        <v>7773</v>
      </c>
      <c r="E25" s="41">
        <v>1</v>
      </c>
      <c r="F25" s="42">
        <v>1.3</v>
      </c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 t="s">
        <v>7704</v>
      </c>
      <c r="B27" s="16" t="s">
        <v>2662</v>
      </c>
      <c r="C27" s="17">
        <v>22</v>
      </c>
      <c r="D27" s="18" t="s">
        <v>17</v>
      </c>
      <c r="E27" s="41">
        <v>270</v>
      </c>
      <c r="F27" s="42">
        <v>226.4</v>
      </c>
      <c r="G27" s="34" t="s">
        <v>7777</v>
      </c>
      <c r="H27" s="35">
        <v>1981</v>
      </c>
      <c r="I27" s="36">
        <v>3353</v>
      </c>
      <c r="J27" s="37">
        <v>35</v>
      </c>
      <c r="K27" s="25">
        <f t="shared" si="0"/>
        <v>232.48025500000003</v>
      </c>
      <c r="L27" s="39" t="s">
        <v>7778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 t="s">
        <v>7779</v>
      </c>
      <c r="B29" s="16" t="s">
        <v>7780</v>
      </c>
      <c r="C29" s="17">
        <v>16</v>
      </c>
      <c r="D29" s="18" t="s">
        <v>7773</v>
      </c>
      <c r="E29" s="41">
        <v>32</v>
      </c>
      <c r="F29" s="42">
        <v>44.92</v>
      </c>
      <c r="G29" s="34" t="s">
        <v>7769</v>
      </c>
      <c r="H29" s="35">
        <v>2134</v>
      </c>
      <c r="I29" s="36">
        <v>3048</v>
      </c>
      <c r="J29" s="37">
        <v>14</v>
      </c>
      <c r="K29" s="25">
        <f t="shared" si="0"/>
        <v>91.06204799999999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 t="s">
        <v>7781</v>
      </c>
      <c r="B31" s="16" t="s">
        <v>2662</v>
      </c>
      <c r="C31" s="17">
        <v>22</v>
      </c>
      <c r="D31" s="18" t="s">
        <v>7766</v>
      </c>
      <c r="E31" s="41">
        <v>240</v>
      </c>
      <c r="F31" s="42">
        <v>146.9</v>
      </c>
      <c r="G31" s="34" t="s">
        <v>7768</v>
      </c>
      <c r="H31" s="35">
        <v>1981</v>
      </c>
      <c r="I31" s="36">
        <v>3353</v>
      </c>
      <c r="J31" s="37">
        <v>24</v>
      </c>
      <c r="K31" s="25">
        <f t="shared" si="0"/>
        <v>159.415032</v>
      </c>
      <c r="L31" s="39"/>
    </row>
    <row r="32" spans="1:12" s="27" customFormat="1" ht="19.5" customHeight="1" x14ac:dyDescent="0.3">
      <c r="A32" s="28"/>
      <c r="B32" s="16"/>
      <c r="C32" s="17">
        <v>22</v>
      </c>
      <c r="D32" s="18" t="s">
        <v>7766</v>
      </c>
      <c r="E32" s="41">
        <v>60</v>
      </c>
      <c r="F32" s="42">
        <v>16.8</v>
      </c>
      <c r="G32" s="34" t="s">
        <v>7777</v>
      </c>
      <c r="H32" s="35">
        <v>1981</v>
      </c>
      <c r="I32" s="36">
        <v>3353</v>
      </c>
      <c r="J32" s="37">
        <v>24</v>
      </c>
      <c r="K32" s="25">
        <f t="shared" si="0"/>
        <v>159.415032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 t="s">
        <v>7782</v>
      </c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 t="s">
        <v>7812</v>
      </c>
      <c r="B35" s="16" t="s">
        <v>7813</v>
      </c>
      <c r="C35" s="17">
        <v>5</v>
      </c>
      <c r="D35" s="18" t="s">
        <v>7814</v>
      </c>
      <c r="E35" s="41">
        <v>280</v>
      </c>
      <c r="F35" s="42">
        <v>170.24</v>
      </c>
      <c r="G35" s="34" t="s">
        <v>7815</v>
      </c>
      <c r="H35" s="35">
        <v>1981</v>
      </c>
      <c r="I35" s="36">
        <v>3353</v>
      </c>
      <c r="J35" s="37">
        <f>29</f>
        <v>29</v>
      </c>
      <c r="K35" s="25">
        <f t="shared" ref="K35:K38" si="1">(H35/1000*I35/1000)*J35</f>
        <v>192.626497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1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1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1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85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85">
        <f t="shared" si="0"/>
        <v>0</v>
      </c>
      <c r="L40" s="39"/>
    </row>
    <row r="41" spans="1:12" s="27" customFormat="1" ht="19.5" customHeight="1" x14ac:dyDescent="0.3">
      <c r="A41" s="28"/>
      <c r="B41" s="29"/>
      <c r="C41" s="30"/>
      <c r="D41" s="31"/>
      <c r="E41" s="41"/>
      <c r="F41" s="42"/>
      <c r="G41" s="43"/>
      <c r="H41" s="35"/>
      <c r="I41" s="36"/>
      <c r="J41" s="37"/>
      <c r="K41" s="85">
        <f t="shared" si="0"/>
        <v>0</v>
      </c>
      <c r="L41" s="39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7783</v>
      </c>
      <c r="B43" s="76" t="s">
        <v>7784</v>
      </c>
      <c r="C43" s="77">
        <v>22</v>
      </c>
      <c r="D43" s="78" t="s">
        <v>7785</v>
      </c>
      <c r="E43" s="48">
        <v>14</v>
      </c>
      <c r="F43" s="49">
        <v>6.69</v>
      </c>
      <c r="G43" s="50" t="s">
        <v>7769</v>
      </c>
      <c r="H43" s="51">
        <v>1829</v>
      </c>
      <c r="I43" s="45">
        <v>3048</v>
      </c>
      <c r="J43" s="52">
        <v>1</v>
      </c>
      <c r="K43" s="53">
        <f t="shared" si="0"/>
        <v>5.5747919999999995</v>
      </c>
      <c r="L43" s="54" t="s">
        <v>7786</v>
      </c>
    </row>
    <row r="44" spans="1:12" s="55" customFormat="1" ht="19.5" customHeight="1" x14ac:dyDescent="0.3">
      <c r="A44" s="44"/>
      <c r="B44" s="76"/>
      <c r="C44" s="77"/>
      <c r="D44" s="78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7787</v>
      </c>
      <c r="B45" s="76" t="s">
        <v>7788</v>
      </c>
      <c r="C45" s="77">
        <v>24</v>
      </c>
      <c r="D45" s="78" t="s">
        <v>7789</v>
      </c>
      <c r="E45" s="48">
        <v>1</v>
      </c>
      <c r="F45" s="49">
        <v>3.69</v>
      </c>
      <c r="G45" s="50" t="s">
        <v>7769</v>
      </c>
      <c r="H45" s="51">
        <v>1981</v>
      </c>
      <c r="I45" s="45">
        <v>3353</v>
      </c>
      <c r="J45" s="52">
        <v>1</v>
      </c>
      <c r="K45" s="53">
        <f t="shared" si="0"/>
        <v>6.6422930000000004</v>
      </c>
      <c r="L45" s="54" t="s">
        <v>7790</v>
      </c>
    </row>
    <row r="46" spans="1:12" s="55" customFormat="1" ht="19.5" customHeight="1" x14ac:dyDescent="0.3">
      <c r="A46" s="44"/>
      <c r="B46" s="76"/>
      <c r="C46" s="77"/>
      <c r="D46" s="78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7791</v>
      </c>
      <c r="B47" s="76" t="s">
        <v>7784</v>
      </c>
      <c r="C47" s="77">
        <v>22</v>
      </c>
      <c r="D47" s="78" t="s">
        <v>7767</v>
      </c>
      <c r="E47" s="48">
        <v>120</v>
      </c>
      <c r="F47" s="49">
        <v>109.5</v>
      </c>
      <c r="G47" s="50" t="s">
        <v>7769</v>
      </c>
      <c r="H47" s="51">
        <v>1829</v>
      </c>
      <c r="I47" s="45">
        <v>3048</v>
      </c>
      <c r="J47" s="52">
        <v>20</v>
      </c>
      <c r="K47" s="53">
        <f t="shared" si="0"/>
        <v>111.49583999999999</v>
      </c>
      <c r="L47" s="54"/>
    </row>
    <row r="48" spans="1:12" s="55" customFormat="1" ht="19.5" customHeight="1" x14ac:dyDescent="0.3">
      <c r="A48" s="44"/>
      <c r="B48" s="76"/>
      <c r="C48" s="77"/>
      <c r="D48" s="78"/>
      <c r="E48" s="48"/>
      <c r="F48" s="49"/>
      <c r="G48" s="50" t="s">
        <v>7770</v>
      </c>
      <c r="H48" s="51">
        <v>1981</v>
      </c>
      <c r="I48" s="45">
        <v>3048</v>
      </c>
      <c r="J48" s="52">
        <v>17</v>
      </c>
      <c r="K48" s="53">
        <f t="shared" si="0"/>
        <v>102.64749600000002</v>
      </c>
      <c r="L48" s="54"/>
    </row>
    <row r="49" spans="1:12" s="55" customFormat="1" ht="19.5" customHeight="1" x14ac:dyDescent="0.3">
      <c r="A49" s="44"/>
      <c r="B49" s="76"/>
      <c r="C49" s="77"/>
      <c r="D49" s="78"/>
      <c r="E49" s="48"/>
      <c r="F49" s="49"/>
      <c r="G49" s="50" t="s">
        <v>7770</v>
      </c>
      <c r="H49" s="51">
        <v>2134</v>
      </c>
      <c r="I49" s="45">
        <v>3048</v>
      </c>
      <c r="J49" s="52">
        <v>2</v>
      </c>
      <c r="K49" s="53">
        <f t="shared" si="0"/>
        <v>13.008863999999999</v>
      </c>
      <c r="L49" s="54"/>
    </row>
    <row r="50" spans="1:12" s="55" customFormat="1" ht="19.5" customHeight="1" x14ac:dyDescent="0.3">
      <c r="A50" s="44"/>
      <c r="B50" s="76"/>
      <c r="C50" s="77"/>
      <c r="D50" s="78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7783</v>
      </c>
      <c r="B51" s="76" t="s">
        <v>7784</v>
      </c>
      <c r="C51" s="77">
        <v>22</v>
      </c>
      <c r="D51" s="78" t="s">
        <v>7767</v>
      </c>
      <c r="E51" s="48">
        <v>140</v>
      </c>
      <c r="F51" s="49">
        <v>117.8</v>
      </c>
      <c r="G51" s="50" t="s">
        <v>7769</v>
      </c>
      <c r="H51" s="51">
        <v>1829</v>
      </c>
      <c r="I51" s="45">
        <v>3048</v>
      </c>
      <c r="J51" s="52">
        <v>21</v>
      </c>
      <c r="K51" s="53">
        <f t="shared" si="0"/>
        <v>117.07063199999999</v>
      </c>
      <c r="L51" s="54"/>
    </row>
    <row r="52" spans="1:12" s="55" customFormat="1" ht="19.5" customHeight="1" x14ac:dyDescent="0.3">
      <c r="A52" s="44"/>
      <c r="B52" s="76"/>
      <c r="C52" s="77"/>
      <c r="D52" s="78"/>
      <c r="E52" s="48"/>
      <c r="F52" s="49"/>
      <c r="G52" s="50" t="s">
        <v>7770</v>
      </c>
      <c r="H52" s="51">
        <v>1981</v>
      </c>
      <c r="I52" s="45">
        <v>3048</v>
      </c>
      <c r="J52" s="52">
        <v>20</v>
      </c>
      <c r="K52" s="53">
        <f t="shared" si="0"/>
        <v>120.76176000000002</v>
      </c>
      <c r="L52" s="54"/>
    </row>
    <row r="53" spans="1:12" s="55" customFormat="1" ht="19.5" customHeight="1" x14ac:dyDescent="0.3">
      <c r="A53" s="44"/>
      <c r="B53" s="76"/>
      <c r="C53" s="77"/>
      <c r="D53" s="78"/>
      <c r="E53" s="48"/>
      <c r="F53" s="49"/>
      <c r="G53" s="50" t="s">
        <v>7770</v>
      </c>
      <c r="H53" s="51">
        <v>2134</v>
      </c>
      <c r="I53" s="45">
        <v>3048</v>
      </c>
      <c r="J53" s="52">
        <v>1</v>
      </c>
      <c r="K53" s="53">
        <f t="shared" si="0"/>
        <v>6.5044319999999995</v>
      </c>
      <c r="L53" s="54"/>
    </row>
    <row r="54" spans="1:12" s="55" customFormat="1" ht="19.5" customHeight="1" x14ac:dyDescent="0.3">
      <c r="A54" s="44"/>
      <c r="B54" s="76"/>
      <c r="C54" s="77"/>
      <c r="D54" s="78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7792</v>
      </c>
      <c r="B55" s="76" t="s">
        <v>7784</v>
      </c>
      <c r="C55" s="77">
        <v>22</v>
      </c>
      <c r="D55" s="78" t="s">
        <v>7785</v>
      </c>
      <c r="E55" s="48">
        <v>1</v>
      </c>
      <c r="F55" s="49">
        <f>27.6/20</f>
        <v>1.3800000000000001</v>
      </c>
      <c r="G55" s="50"/>
      <c r="H55" s="51"/>
      <c r="I55" s="45"/>
      <c r="J55" s="52"/>
      <c r="K55" s="53">
        <f t="shared" si="0"/>
        <v>0</v>
      </c>
      <c r="L55" s="54" t="s">
        <v>7793</v>
      </c>
    </row>
    <row r="56" spans="1:12" s="55" customFormat="1" ht="19.5" customHeight="1" x14ac:dyDescent="0.3">
      <c r="A56" s="44"/>
      <c r="B56" s="76"/>
      <c r="C56" s="77"/>
      <c r="D56" s="78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7792</v>
      </c>
      <c r="B57" s="76" t="s">
        <v>7784</v>
      </c>
      <c r="C57" s="77">
        <v>22</v>
      </c>
      <c r="D57" s="78" t="s">
        <v>7785</v>
      </c>
      <c r="E57" s="48">
        <v>1</v>
      </c>
      <c r="F57" s="49">
        <v>0.28000000000000003</v>
      </c>
      <c r="G57" s="50"/>
      <c r="H57" s="51"/>
      <c r="I57" s="45"/>
      <c r="J57" s="52"/>
      <c r="K57" s="53">
        <f t="shared" si="0"/>
        <v>0</v>
      </c>
      <c r="L57" s="54" t="s">
        <v>7794</v>
      </c>
    </row>
    <row r="58" spans="1:12" s="55" customFormat="1" ht="19.5" customHeight="1" x14ac:dyDescent="0.3">
      <c r="A58" s="44"/>
      <c r="B58" s="76"/>
      <c r="C58" s="77"/>
      <c r="D58" s="78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7795</v>
      </c>
      <c r="B59" s="76" t="s">
        <v>7796</v>
      </c>
      <c r="C59" s="77">
        <v>22</v>
      </c>
      <c r="D59" s="78" t="s">
        <v>7797</v>
      </c>
      <c r="E59" s="48">
        <v>1</v>
      </c>
      <c r="F59" s="49">
        <v>1.37</v>
      </c>
      <c r="G59" s="50"/>
      <c r="H59" s="51"/>
      <c r="I59" s="45"/>
      <c r="J59" s="52"/>
      <c r="K59" s="53">
        <f t="shared" si="0"/>
        <v>0</v>
      </c>
      <c r="L59" s="54" t="s">
        <v>7763</v>
      </c>
    </row>
    <row r="60" spans="1:12" s="55" customFormat="1" ht="19.5" customHeight="1" x14ac:dyDescent="0.3">
      <c r="A60" s="44"/>
      <c r="B60" s="76"/>
      <c r="C60" s="77"/>
      <c r="D60" s="78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7798</v>
      </c>
      <c r="B61" s="76" t="s">
        <v>7799</v>
      </c>
      <c r="C61" s="77">
        <v>22</v>
      </c>
      <c r="D61" s="78" t="s">
        <v>7800</v>
      </c>
      <c r="E61" s="48">
        <v>2</v>
      </c>
      <c r="F61" s="49">
        <v>5.44</v>
      </c>
      <c r="G61" s="50" t="s">
        <v>7768</v>
      </c>
      <c r="H61" s="51">
        <v>1981</v>
      </c>
      <c r="I61" s="45">
        <v>3353</v>
      </c>
      <c r="J61" s="52">
        <v>1</v>
      </c>
      <c r="K61" s="53">
        <f t="shared" si="0"/>
        <v>6.6422930000000004</v>
      </c>
      <c r="L61" s="54" t="s">
        <v>7801</v>
      </c>
    </row>
    <row r="62" spans="1:12" s="55" customFormat="1" ht="19.5" customHeight="1" x14ac:dyDescent="0.3">
      <c r="A62" s="44"/>
      <c r="B62" s="76"/>
      <c r="C62" s="77"/>
      <c r="D62" s="78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7798</v>
      </c>
      <c r="B63" s="76" t="s">
        <v>7799</v>
      </c>
      <c r="C63" s="77">
        <v>22</v>
      </c>
      <c r="D63" s="78" t="s">
        <v>7800</v>
      </c>
      <c r="E63" s="48">
        <v>1</v>
      </c>
      <c r="F63" s="49">
        <v>2.72</v>
      </c>
      <c r="G63" s="50" t="s">
        <v>7804</v>
      </c>
      <c r="H63" s="51">
        <v>1981</v>
      </c>
      <c r="I63" s="45">
        <v>3048</v>
      </c>
      <c r="J63" s="52">
        <v>3</v>
      </c>
      <c r="K63" s="53">
        <f t="shared" si="0"/>
        <v>18.114264000000002</v>
      </c>
      <c r="L63" s="54" t="s">
        <v>7805</v>
      </c>
    </row>
    <row r="64" spans="1:12" s="55" customFormat="1" ht="19.5" customHeight="1" x14ac:dyDescent="0.3">
      <c r="A64" s="44" t="s">
        <v>7802</v>
      </c>
      <c r="B64" s="76" t="s">
        <v>7799</v>
      </c>
      <c r="C64" s="77">
        <v>22</v>
      </c>
      <c r="D64" s="78" t="s">
        <v>7800</v>
      </c>
      <c r="E64" s="48">
        <v>1</v>
      </c>
      <c r="F64" s="49">
        <v>2.78</v>
      </c>
      <c r="G64" s="50"/>
      <c r="H64" s="51"/>
      <c r="I64" s="45"/>
      <c r="J64" s="52"/>
      <c r="K64" s="53">
        <f t="shared" si="0"/>
        <v>0</v>
      </c>
      <c r="L64" s="54" t="s">
        <v>7805</v>
      </c>
    </row>
    <row r="65" spans="1:12" s="55" customFormat="1" ht="19.5" customHeight="1" x14ac:dyDescent="0.3">
      <c r="A65" s="44" t="s">
        <v>7803</v>
      </c>
      <c r="B65" s="76" t="s">
        <v>7799</v>
      </c>
      <c r="C65" s="77">
        <v>22</v>
      </c>
      <c r="D65" s="78" t="s">
        <v>7800</v>
      </c>
      <c r="E65" s="48">
        <v>3</v>
      </c>
      <c r="F65" s="49">
        <v>8.34</v>
      </c>
      <c r="G65" s="50"/>
      <c r="H65" s="51"/>
      <c r="I65" s="45"/>
      <c r="J65" s="52"/>
      <c r="K65" s="53">
        <f t="shared" si="0"/>
        <v>0</v>
      </c>
      <c r="L65" s="54" t="s">
        <v>7805</v>
      </c>
    </row>
    <row r="66" spans="1:12" s="55" customFormat="1" ht="19.5" customHeight="1" x14ac:dyDescent="0.3">
      <c r="A66" s="44"/>
      <c r="B66" s="76"/>
      <c r="C66" s="77"/>
      <c r="D66" s="78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7806</v>
      </c>
      <c r="B67" s="76" t="s">
        <v>7807</v>
      </c>
      <c r="C67" s="77">
        <v>7</v>
      </c>
      <c r="D67" s="78" t="s">
        <v>7808</v>
      </c>
      <c r="E67" s="48">
        <v>20</v>
      </c>
      <c r="F67" s="49">
        <v>6.72</v>
      </c>
      <c r="G67" s="50" t="s">
        <v>7809</v>
      </c>
      <c r="H67" s="51">
        <v>2134</v>
      </c>
      <c r="I67" s="45">
        <v>3302</v>
      </c>
      <c r="J67" s="52">
        <v>1</v>
      </c>
      <c r="K67" s="53">
        <f t="shared" si="0"/>
        <v>7.046468</v>
      </c>
      <c r="L67" s="54"/>
    </row>
    <row r="68" spans="1:12" s="55" customFormat="1" ht="19.5" customHeight="1" x14ac:dyDescent="0.3">
      <c r="A68" s="44"/>
      <c r="B68" s="76"/>
      <c r="C68" s="77"/>
      <c r="D68" s="78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7810</v>
      </c>
      <c r="B69" s="76" t="s">
        <v>7784</v>
      </c>
      <c r="C69" s="77">
        <v>22</v>
      </c>
      <c r="D69" s="78" t="s">
        <v>7767</v>
      </c>
      <c r="E69" s="48">
        <v>125</v>
      </c>
      <c r="F69" s="49">
        <v>111.65</v>
      </c>
      <c r="G69" s="50" t="s">
        <v>7769</v>
      </c>
      <c r="H69" s="51">
        <v>1829</v>
      </c>
      <c r="I69" s="45">
        <v>3048</v>
      </c>
      <c r="J69" s="52">
        <v>20</v>
      </c>
      <c r="K69" s="53">
        <f t="shared" si="0"/>
        <v>111.49583999999999</v>
      </c>
      <c r="L69" s="54" t="s">
        <v>7811</v>
      </c>
    </row>
    <row r="70" spans="1:12" s="55" customFormat="1" ht="19.5" customHeight="1" x14ac:dyDescent="0.3">
      <c r="A70" s="44"/>
      <c r="B70" s="76"/>
      <c r="C70" s="77"/>
      <c r="D70" s="78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7782</v>
      </c>
      <c r="B71" s="76"/>
      <c r="C71" s="77"/>
      <c r="D71" s="78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 t="s">
        <v>7816</v>
      </c>
      <c r="B72" s="76" t="s">
        <v>7817</v>
      </c>
      <c r="C72" s="77">
        <v>22</v>
      </c>
      <c r="D72" s="78" t="s">
        <v>7818</v>
      </c>
      <c r="E72" s="48">
        <v>120</v>
      </c>
      <c r="F72" s="49">
        <v>109.5</v>
      </c>
      <c r="G72" s="50" t="s">
        <v>18</v>
      </c>
      <c r="H72" s="51">
        <v>1829</v>
      </c>
      <c r="I72" s="45">
        <v>3048</v>
      </c>
      <c r="J72" s="52">
        <v>16</v>
      </c>
      <c r="K72" s="53">
        <f t="shared" si="0"/>
        <v>89.196671999999992</v>
      </c>
      <c r="L72" s="54"/>
    </row>
    <row r="73" spans="1:12" s="55" customFormat="1" ht="19.5" customHeight="1" x14ac:dyDescent="0.3">
      <c r="A73" s="44"/>
      <c r="B73" s="76"/>
      <c r="C73" s="77"/>
      <c r="D73" s="78"/>
      <c r="E73" s="48"/>
      <c r="F73" s="49"/>
      <c r="G73" s="50" t="s">
        <v>18</v>
      </c>
      <c r="H73" s="51">
        <v>1981</v>
      </c>
      <c r="I73" s="45">
        <v>3353</v>
      </c>
      <c r="J73" s="52">
        <v>4</v>
      </c>
      <c r="K73" s="53">
        <f t="shared" ref="K73:K79" si="2">(H73/1000*I73/1000)*J73</f>
        <v>26.569172000000002</v>
      </c>
      <c r="L73" s="54"/>
    </row>
    <row r="74" spans="1:12" s="55" customFormat="1" ht="19.5" customHeight="1" x14ac:dyDescent="0.3">
      <c r="A74" s="44"/>
      <c r="B74" s="76"/>
      <c r="C74" s="77"/>
      <c r="D74" s="78"/>
      <c r="E74" s="48"/>
      <c r="F74" s="49"/>
      <c r="G74" s="50" t="s">
        <v>19</v>
      </c>
      <c r="H74" s="51">
        <v>1981</v>
      </c>
      <c r="I74" s="45">
        <v>3048</v>
      </c>
      <c r="J74" s="52">
        <v>17</v>
      </c>
      <c r="K74" s="53">
        <f t="shared" si="2"/>
        <v>102.64749600000002</v>
      </c>
      <c r="L74" s="54"/>
    </row>
    <row r="75" spans="1:12" s="55" customFormat="1" ht="19.5" customHeight="1" x14ac:dyDescent="0.3">
      <c r="A75" s="44"/>
      <c r="B75" s="76"/>
      <c r="C75" s="77"/>
      <c r="D75" s="78"/>
      <c r="E75" s="48"/>
      <c r="F75" s="49"/>
      <c r="G75" s="50" t="s">
        <v>19</v>
      </c>
      <c r="H75" s="51">
        <v>2134</v>
      </c>
      <c r="I75" s="45">
        <v>3048</v>
      </c>
      <c r="J75" s="52">
        <v>2</v>
      </c>
      <c r="K75" s="53">
        <f t="shared" si="2"/>
        <v>13.008863999999999</v>
      </c>
      <c r="L75" s="54"/>
    </row>
    <row r="76" spans="1:12" s="55" customFormat="1" ht="19.5" customHeight="1" x14ac:dyDescent="0.3">
      <c r="A76" s="44"/>
      <c r="B76" s="76"/>
      <c r="C76" s="77"/>
      <c r="D76" s="78"/>
      <c r="E76" s="48"/>
      <c r="F76" s="49"/>
      <c r="G76" s="50"/>
      <c r="H76" s="51"/>
      <c r="I76" s="45"/>
      <c r="J76" s="52"/>
      <c r="K76" s="53">
        <f t="shared" si="2"/>
        <v>0</v>
      </c>
      <c r="L76" s="54"/>
    </row>
    <row r="77" spans="1:12" s="55" customFormat="1" ht="19.5" customHeight="1" x14ac:dyDescent="0.3">
      <c r="A77" s="44" t="s">
        <v>7819</v>
      </c>
      <c r="B77" s="76" t="s">
        <v>7817</v>
      </c>
      <c r="C77" s="77">
        <v>22</v>
      </c>
      <c r="D77" s="78" t="s">
        <v>7818</v>
      </c>
      <c r="E77" s="48">
        <v>150</v>
      </c>
      <c r="F77" s="49">
        <v>119.4</v>
      </c>
      <c r="G77" s="50" t="s">
        <v>18</v>
      </c>
      <c r="H77" s="51">
        <v>1829</v>
      </c>
      <c r="I77" s="45">
        <v>3048</v>
      </c>
      <c r="J77" s="52">
        <v>21</v>
      </c>
      <c r="K77" s="53">
        <f t="shared" si="2"/>
        <v>117.07063199999999</v>
      </c>
      <c r="L77" s="54"/>
    </row>
    <row r="78" spans="1:12" s="55" customFormat="1" ht="19.5" customHeight="1" x14ac:dyDescent="0.3">
      <c r="A78" s="44"/>
      <c r="B78" s="76"/>
      <c r="C78" s="77"/>
      <c r="D78" s="78"/>
      <c r="E78" s="48"/>
      <c r="F78" s="49"/>
      <c r="G78" s="50" t="s">
        <v>19</v>
      </c>
      <c r="H78" s="51">
        <v>1981</v>
      </c>
      <c r="I78" s="45">
        <v>3048</v>
      </c>
      <c r="J78" s="52">
        <v>21</v>
      </c>
      <c r="K78" s="53">
        <f t="shared" si="2"/>
        <v>126.79984800000003</v>
      </c>
      <c r="L78" s="54"/>
    </row>
    <row r="79" spans="1:12" s="55" customFormat="1" ht="19.5" customHeight="1" x14ac:dyDescent="0.3">
      <c r="A79" s="44"/>
      <c r="B79" s="76"/>
      <c r="C79" s="77"/>
      <c r="D79" s="78"/>
      <c r="E79" s="48"/>
      <c r="F79" s="49"/>
      <c r="G79" s="50"/>
      <c r="H79" s="51"/>
      <c r="I79" s="45"/>
      <c r="J79" s="52"/>
      <c r="K79" s="53">
        <f t="shared" si="2"/>
        <v>0</v>
      </c>
      <c r="L79" s="54"/>
    </row>
    <row r="80" spans="1:12" s="55" customFormat="1" ht="19.5" customHeight="1" x14ac:dyDescent="0.3">
      <c r="A80" s="44" t="s">
        <v>7820</v>
      </c>
      <c r="B80" s="76" t="s">
        <v>7817</v>
      </c>
      <c r="C80" s="77">
        <v>22</v>
      </c>
      <c r="D80" s="78" t="s">
        <v>7818</v>
      </c>
      <c r="E80" s="48">
        <v>125</v>
      </c>
      <c r="F80" s="49">
        <v>111.65</v>
      </c>
      <c r="G80" s="50" t="s">
        <v>19</v>
      </c>
      <c r="H80" s="51">
        <v>1981</v>
      </c>
      <c r="I80" s="45">
        <v>3048</v>
      </c>
      <c r="J80" s="52">
        <v>20</v>
      </c>
      <c r="K80" s="53">
        <f t="shared" si="0"/>
        <v>120.76176000000002</v>
      </c>
      <c r="L80" s="54" t="s">
        <v>7821</v>
      </c>
    </row>
    <row r="81" spans="1:12" s="55" customFormat="1" ht="19.5" customHeight="1" x14ac:dyDescent="0.3">
      <c r="A81" s="44"/>
      <c r="B81" s="76"/>
      <c r="C81" s="77"/>
      <c r="D81" s="78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76"/>
      <c r="C82" s="77"/>
      <c r="D82" s="78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5" customFormat="1" ht="19.5" customHeight="1" x14ac:dyDescent="0.3">
      <c r="A83" s="44"/>
      <c r="B83" s="76"/>
      <c r="C83" s="77"/>
      <c r="D83" s="78"/>
      <c r="E83" s="48"/>
      <c r="F83" s="49"/>
      <c r="G83" s="50"/>
      <c r="H83" s="51"/>
      <c r="I83" s="45"/>
      <c r="J83" s="52"/>
      <c r="K83" s="53">
        <f t="shared" si="0"/>
        <v>0</v>
      </c>
      <c r="L83" s="54"/>
    </row>
    <row r="84" spans="1:12" s="55" customFormat="1" ht="19.5" customHeight="1" x14ac:dyDescent="0.3">
      <c r="A84" s="44"/>
      <c r="B84" s="76"/>
      <c r="C84" s="77"/>
      <c r="D84" s="78"/>
      <c r="E84" s="48"/>
      <c r="F84" s="49"/>
      <c r="G84" s="50"/>
      <c r="H84" s="51"/>
      <c r="I84" s="45"/>
      <c r="J84" s="52"/>
      <c r="K84" s="53">
        <f t="shared" si="0"/>
        <v>0</v>
      </c>
      <c r="L84" s="54"/>
    </row>
    <row r="85" spans="1:12" s="55" customFormat="1" ht="19.5" customHeight="1" x14ac:dyDescent="0.3">
      <c r="A85" s="94"/>
      <c r="B85" s="76"/>
      <c r="C85" s="77"/>
      <c r="D85" s="78"/>
      <c r="E85" s="48"/>
      <c r="F85" s="49"/>
      <c r="G85" s="50"/>
      <c r="H85" s="51"/>
      <c r="I85" s="45"/>
      <c r="J85" s="52"/>
      <c r="K85" s="53">
        <f t="shared" si="0"/>
        <v>0</v>
      </c>
      <c r="L85" s="64"/>
    </row>
    <row r="86" spans="1:12" s="55" customFormat="1" ht="19.5" customHeight="1" x14ac:dyDescent="0.3">
      <c r="A86" s="44"/>
      <c r="B86" s="45"/>
      <c r="C86" s="46"/>
      <c r="D86" s="47"/>
      <c r="E86" s="48"/>
      <c r="F86" s="49"/>
      <c r="G86" s="50"/>
      <c r="H86" s="51"/>
      <c r="I86" s="45"/>
      <c r="J86" s="52"/>
      <c r="K86" s="53">
        <f t="shared" si="0"/>
        <v>0</v>
      </c>
      <c r="L86" s="54"/>
    </row>
    <row r="87" spans="1:12" s="59" customFormat="1" ht="20.100000000000001" customHeight="1" x14ac:dyDescent="0.3">
      <c r="A87" s="44"/>
      <c r="B87" s="45"/>
      <c r="C87" s="46"/>
      <c r="D87" s="47"/>
      <c r="E87" s="56"/>
      <c r="F87" s="57"/>
      <c r="G87" s="50"/>
      <c r="H87" s="51"/>
      <c r="I87" s="45"/>
      <c r="J87" s="52"/>
      <c r="K87" s="53">
        <f t="shared" si="0"/>
        <v>0</v>
      </c>
      <c r="L87" s="58">
        <f>SUM(J42:J88)</f>
        <v>209</v>
      </c>
    </row>
    <row r="88" spans="1:12" s="59" customFormat="1" ht="20.100000000000001" customHeight="1" x14ac:dyDescent="0.3">
      <c r="A88" s="44"/>
      <c r="B88" s="45"/>
      <c r="C88" s="46"/>
      <c r="D88" s="47"/>
      <c r="E88" s="60"/>
      <c r="F88" s="61"/>
      <c r="G88" s="62"/>
      <c r="H88" s="51"/>
      <c r="I88" s="45"/>
      <c r="J88" s="63"/>
      <c r="K88" s="53">
        <f t="shared" si="0"/>
        <v>0</v>
      </c>
      <c r="L88" s="64">
        <f>SUM(K42:K88)</f>
        <v>1223.0594180000003</v>
      </c>
    </row>
    <row r="89" spans="1:12" s="59" customFormat="1" ht="20.100000000000001" customHeight="1" thickBot="1" x14ac:dyDescent="0.35">
      <c r="A89" s="114"/>
      <c r="B89" s="115"/>
      <c r="C89" s="115"/>
      <c r="D89" s="115"/>
      <c r="E89" s="115"/>
      <c r="F89" s="115"/>
      <c r="G89" s="115"/>
      <c r="H89" s="115"/>
      <c r="I89" s="115"/>
      <c r="J89" s="65">
        <f>SUM(J7:J88)</f>
        <v>344</v>
      </c>
      <c r="K89" s="66">
        <f>SUM(K7:K88)</f>
        <v>2121.0051210000001</v>
      </c>
      <c r="L89" s="67"/>
    </row>
    <row r="90" spans="1:12" s="59" customFormat="1" ht="20.100000000000001" customHeight="1" thickTop="1" thickBot="1" x14ac:dyDescent="0.35">
      <c r="A90" s="116" t="s">
        <v>52</v>
      </c>
      <c r="B90" s="117"/>
      <c r="C90" s="108"/>
      <c r="D90" s="118">
        <f>J89</f>
        <v>344</v>
      </c>
      <c r="E90" s="119"/>
      <c r="F90" s="119"/>
      <c r="G90" s="120"/>
      <c r="H90" s="121"/>
      <c r="I90" s="121"/>
      <c r="J90" s="122"/>
      <c r="K90" s="119"/>
      <c r="L90" s="123"/>
    </row>
    <row r="91" spans="1:12" s="59" customFormat="1" ht="20.100000000000001" customHeight="1" x14ac:dyDescent="0.3">
      <c r="A91" s="107"/>
      <c r="B91" s="5"/>
      <c r="C91" s="5"/>
      <c r="D91" s="5"/>
      <c r="E91" s="5"/>
      <c r="F91" s="70"/>
      <c r="G91" s="5"/>
      <c r="H91" s="5"/>
      <c r="I91" s="5"/>
      <c r="J91" s="5"/>
      <c r="K91" s="5"/>
      <c r="L91" s="71"/>
    </row>
    <row r="92" spans="1:12" s="59" customFormat="1" ht="20.100000000000001" customHeight="1" x14ac:dyDescent="0.3">
      <c r="A92" s="107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07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107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113"/>
      <c r="B95" s="113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72"/>
      <c r="F96" s="5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5"/>
      <c r="G97" s="73"/>
      <c r="H97" s="5"/>
      <c r="I97" s="74"/>
      <c r="J97" s="5"/>
      <c r="K97" s="5"/>
      <c r="L97" s="5"/>
    </row>
    <row r="98" spans="1:12" s="59" customFormat="1" ht="20.100000000000001" customHeight="1" x14ac:dyDescent="0.3">
      <c r="A98" s="113"/>
      <c r="B98" s="113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107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113"/>
      <c r="B100" s="113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113"/>
      <c r="B101" s="113"/>
      <c r="C101" s="5"/>
      <c r="D101" s="5"/>
      <c r="E101" s="5"/>
      <c r="F101" s="70"/>
      <c r="G101" s="5"/>
      <c r="H101" s="72"/>
      <c r="I101" s="72"/>
      <c r="J101" s="5"/>
      <c r="K101" s="5"/>
      <c r="L101" s="5"/>
    </row>
    <row r="102" spans="1:12" ht="20.100000000000001" customHeight="1" x14ac:dyDescent="0.3">
      <c r="A102" s="113"/>
      <c r="B102" s="113"/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A105" s="113"/>
      <c r="B105" s="113"/>
      <c r="H105" s="72"/>
      <c r="I105" s="72"/>
    </row>
    <row r="106" spans="1:12" ht="20.100000000000001" customHeight="1" x14ac:dyDescent="0.3">
      <c r="A106" s="113"/>
      <c r="B106" s="113"/>
      <c r="H106" s="72"/>
      <c r="I106" s="72"/>
    </row>
    <row r="107" spans="1:12" ht="20.100000000000001" customHeight="1" x14ac:dyDescent="0.3">
      <c r="H107" s="72"/>
      <c r="I107" s="72"/>
    </row>
    <row r="108" spans="1:12" ht="20.100000000000001" customHeight="1" x14ac:dyDescent="0.3">
      <c r="H108" s="72"/>
      <c r="I108" s="72"/>
    </row>
    <row r="109" spans="1:12" ht="20.100000000000001" customHeight="1" x14ac:dyDescent="0.3">
      <c r="H109" s="72"/>
      <c r="I109" s="72"/>
    </row>
    <row r="110" spans="1:12" s="72" customFormat="1" ht="20.100000000000001" customHeight="1" x14ac:dyDescent="0.3">
      <c r="A110" s="107"/>
      <c r="B110" s="5"/>
      <c r="C110" s="5"/>
      <c r="D110" s="5"/>
      <c r="E110" s="5"/>
      <c r="F110" s="70"/>
      <c r="G110" s="5"/>
      <c r="J110" s="5"/>
      <c r="K110" s="5"/>
      <c r="L110" s="5"/>
    </row>
    <row r="111" spans="1:12" s="72" customFormat="1" ht="20.100000000000001" customHeight="1" x14ac:dyDescent="0.3">
      <c r="A111" s="107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5" customFormat="1" ht="20.100000000000001" customHeight="1" x14ac:dyDescent="0.3">
      <c r="A112" s="107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75" customFormat="1" ht="20.100000000000001" customHeight="1" x14ac:dyDescent="0.3">
      <c r="A113" s="107"/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75" customFormat="1" ht="19.5" customHeight="1" x14ac:dyDescent="0.3">
      <c r="A114" s="107"/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1:12" s="72" customFormat="1" ht="20.100000000000001" customHeight="1" x14ac:dyDescent="0.3">
      <c r="A115" s="107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s="72" customFormat="1" ht="20.100000000000001" customHeight="1" x14ac:dyDescent="0.3">
      <c r="A116" s="107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ht="19.5" customHeight="1" x14ac:dyDescent="0.3"/>
    <row r="118" spans="1:12" ht="19.5" customHeight="1" x14ac:dyDescent="0.3"/>
    <row r="119" spans="1:12" ht="19.5" customHeight="1" x14ac:dyDescent="0.3"/>
    <row r="120" spans="1:12" s="107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s="107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107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107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107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107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107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107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107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107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107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107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107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107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107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107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s="107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107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107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107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107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107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107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107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107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107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107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107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107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107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107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107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107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107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107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107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107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107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107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107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107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107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107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107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107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107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107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107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107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107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</sheetData>
  <mergeCells count="30">
    <mergeCell ref="A105:B105"/>
    <mergeCell ref="A106:B106"/>
    <mergeCell ref="A96:B96"/>
    <mergeCell ref="A97:B97"/>
    <mergeCell ref="A98:B98"/>
    <mergeCell ref="A100:B100"/>
    <mergeCell ref="A101:B101"/>
    <mergeCell ref="A102:B102"/>
    <mergeCell ref="A95:B9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9:I89"/>
    <mergeCell ref="A90:B90"/>
    <mergeCell ref="D90:G90"/>
    <mergeCell ref="H90:J90"/>
    <mergeCell ref="K90:L90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71"/>
  <sheetViews>
    <sheetView view="pageBreakPreview" topLeftCell="A36" zoomScale="85" zoomScaleNormal="100" zoomScaleSheetLayoutView="85" workbookViewId="0">
      <selection activeCell="D57" sqref="D57"/>
    </sheetView>
  </sheetViews>
  <sheetFormatPr defaultRowHeight="13.5" x14ac:dyDescent="0.3"/>
  <cols>
    <col min="1" max="1" width="8.625" style="105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46254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9" si="0">(H7/1000*I7/1000)*J7</f>
        <v>0</v>
      </c>
      <c r="L7" s="26">
        <f>SUM(J7:J38)</f>
        <v>210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SUM(K7:K38)</f>
        <v>1394.8815300000001</v>
      </c>
    </row>
    <row r="9" spans="1:12" s="27" customFormat="1" ht="19.5" customHeight="1" x14ac:dyDescent="0.3">
      <c r="A9" s="28" t="s">
        <v>7749</v>
      </c>
      <c r="B9" s="16" t="s">
        <v>7701</v>
      </c>
      <c r="C9" s="17">
        <v>10</v>
      </c>
      <c r="D9" s="18" t="s">
        <v>7702</v>
      </c>
      <c r="E9" s="41">
        <v>1</v>
      </c>
      <c r="F9" s="42">
        <v>0.37</v>
      </c>
      <c r="G9" s="34"/>
      <c r="H9" s="35"/>
      <c r="I9" s="36"/>
      <c r="J9" s="37"/>
      <c r="K9" s="25">
        <f t="shared" si="0"/>
        <v>0</v>
      </c>
      <c r="L9" s="39" t="s">
        <v>7703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>
        <f t="shared" si="0"/>
        <v>0</v>
      </c>
      <c r="L10" s="39"/>
    </row>
    <row r="11" spans="1:12" s="27" customFormat="1" ht="19.5" customHeight="1" x14ac:dyDescent="0.3">
      <c r="A11" s="28" t="s">
        <v>7704</v>
      </c>
      <c r="B11" s="16" t="s">
        <v>7705</v>
      </c>
      <c r="C11" s="17">
        <v>22</v>
      </c>
      <c r="D11" s="18" t="s">
        <v>7706</v>
      </c>
      <c r="E11" s="41">
        <v>30</v>
      </c>
      <c r="F11" s="42">
        <v>79.5</v>
      </c>
      <c r="G11" s="34" t="s">
        <v>7712</v>
      </c>
      <c r="H11" s="35">
        <v>1981</v>
      </c>
      <c r="I11" s="36">
        <v>3353</v>
      </c>
      <c r="J11" s="37">
        <v>50</v>
      </c>
      <c r="K11" s="25">
        <f t="shared" si="0"/>
        <v>332.11465000000004</v>
      </c>
      <c r="L11" s="39" t="s">
        <v>7711</v>
      </c>
    </row>
    <row r="12" spans="1:12" s="27" customFormat="1" ht="19.5" customHeight="1" x14ac:dyDescent="0.3">
      <c r="A12" s="28" t="s">
        <v>7707</v>
      </c>
      <c r="B12" s="16" t="s">
        <v>7705</v>
      </c>
      <c r="C12" s="17">
        <v>22</v>
      </c>
      <c r="D12" s="18" t="s">
        <v>7706</v>
      </c>
      <c r="E12" s="41">
        <v>30</v>
      </c>
      <c r="F12" s="42">
        <v>79.5</v>
      </c>
      <c r="G12" s="34"/>
      <c r="H12" s="35"/>
      <c r="I12" s="36"/>
      <c r="J12" s="37"/>
      <c r="K12" s="25">
        <f t="shared" si="0"/>
        <v>0</v>
      </c>
      <c r="L12" s="39" t="s">
        <v>7711</v>
      </c>
    </row>
    <row r="13" spans="1:12" s="27" customFormat="1" ht="19.5" customHeight="1" x14ac:dyDescent="0.3">
      <c r="A13" s="28" t="s">
        <v>7708</v>
      </c>
      <c r="B13" s="16" t="s">
        <v>7705</v>
      </c>
      <c r="C13" s="17">
        <v>22</v>
      </c>
      <c r="D13" s="18" t="s">
        <v>7706</v>
      </c>
      <c r="E13" s="41">
        <v>30</v>
      </c>
      <c r="F13" s="42">
        <v>79.5</v>
      </c>
      <c r="G13" s="34"/>
      <c r="H13" s="35"/>
      <c r="I13" s="36"/>
      <c r="J13" s="37"/>
      <c r="K13" s="25">
        <f t="shared" si="0"/>
        <v>0</v>
      </c>
      <c r="L13" s="39" t="s">
        <v>7711</v>
      </c>
    </row>
    <row r="14" spans="1:12" s="27" customFormat="1" ht="19.5" customHeight="1" x14ac:dyDescent="0.3">
      <c r="A14" s="28" t="s">
        <v>7709</v>
      </c>
      <c r="B14" s="16" t="s">
        <v>7705</v>
      </c>
      <c r="C14" s="17">
        <v>22</v>
      </c>
      <c r="D14" s="18" t="s">
        <v>7706</v>
      </c>
      <c r="E14" s="41">
        <v>20</v>
      </c>
      <c r="F14" s="42">
        <v>47.2</v>
      </c>
      <c r="G14" s="34"/>
      <c r="H14" s="35"/>
      <c r="I14" s="36"/>
      <c r="J14" s="37"/>
      <c r="K14" s="25">
        <f t="shared" si="0"/>
        <v>0</v>
      </c>
      <c r="L14" s="39" t="s">
        <v>7711</v>
      </c>
    </row>
    <row r="15" spans="1:12" s="27" customFormat="1" ht="19.5" customHeight="1" x14ac:dyDescent="0.3">
      <c r="A15" s="28"/>
      <c r="B15" s="16"/>
      <c r="C15" s="17">
        <v>22</v>
      </c>
      <c r="D15" s="18" t="s">
        <v>7710</v>
      </c>
      <c r="E15" s="41">
        <v>10</v>
      </c>
      <c r="F15" s="42">
        <v>32.299999999999997</v>
      </c>
      <c r="G15" s="34"/>
      <c r="H15" s="35"/>
      <c r="I15" s="36"/>
      <c r="J15" s="37"/>
      <c r="K15" s="25">
        <f t="shared" si="0"/>
        <v>0</v>
      </c>
      <c r="L15" s="39" t="s">
        <v>7711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 t="s">
        <v>7704</v>
      </c>
      <c r="B17" s="16" t="s">
        <v>7705</v>
      </c>
      <c r="C17" s="17">
        <v>22</v>
      </c>
      <c r="D17" s="18" t="s">
        <v>7706</v>
      </c>
      <c r="E17" s="41">
        <v>30</v>
      </c>
      <c r="F17" s="42">
        <v>79.5</v>
      </c>
      <c r="G17" s="34" t="s">
        <v>7713</v>
      </c>
      <c r="H17" s="35">
        <v>1981</v>
      </c>
      <c r="I17" s="36">
        <v>3353</v>
      </c>
      <c r="J17" s="37">
        <v>45</v>
      </c>
      <c r="K17" s="25">
        <f t="shared" si="0"/>
        <v>298.90318500000001</v>
      </c>
      <c r="L17" s="39" t="s">
        <v>7714</v>
      </c>
    </row>
    <row r="18" spans="1:12" s="27" customFormat="1" ht="19.5" customHeight="1" x14ac:dyDescent="0.3">
      <c r="A18" s="28" t="s">
        <v>7707</v>
      </c>
      <c r="B18" s="16" t="s">
        <v>7705</v>
      </c>
      <c r="C18" s="17">
        <v>22</v>
      </c>
      <c r="D18" s="18" t="s">
        <v>7706</v>
      </c>
      <c r="E18" s="41">
        <v>30</v>
      </c>
      <c r="F18" s="42">
        <v>79.5</v>
      </c>
      <c r="G18" s="34"/>
      <c r="H18" s="35"/>
      <c r="I18" s="36"/>
      <c r="J18" s="37"/>
      <c r="K18" s="25">
        <f t="shared" si="0"/>
        <v>0</v>
      </c>
      <c r="L18" s="39" t="s">
        <v>7714</v>
      </c>
    </row>
    <row r="19" spans="1:12" s="27" customFormat="1" ht="19.5" customHeight="1" x14ac:dyDescent="0.3">
      <c r="A19" s="28" t="s">
        <v>7708</v>
      </c>
      <c r="B19" s="16" t="s">
        <v>7705</v>
      </c>
      <c r="C19" s="17">
        <v>22</v>
      </c>
      <c r="D19" s="18" t="s">
        <v>7706</v>
      </c>
      <c r="E19" s="41">
        <v>30</v>
      </c>
      <c r="F19" s="42">
        <v>79.5</v>
      </c>
      <c r="G19" s="34"/>
      <c r="H19" s="35"/>
      <c r="I19" s="36"/>
      <c r="J19" s="37"/>
      <c r="K19" s="25">
        <f t="shared" si="0"/>
        <v>0</v>
      </c>
      <c r="L19" s="39" t="s">
        <v>7714</v>
      </c>
    </row>
    <row r="20" spans="1:12" s="27" customFormat="1" ht="19.5" customHeight="1" x14ac:dyDescent="0.3">
      <c r="A20" s="28" t="s">
        <v>7709</v>
      </c>
      <c r="B20" s="16" t="s">
        <v>7705</v>
      </c>
      <c r="C20" s="17">
        <v>22</v>
      </c>
      <c r="D20" s="18" t="s">
        <v>7706</v>
      </c>
      <c r="E20" s="41">
        <v>20</v>
      </c>
      <c r="F20" s="42">
        <v>47.2</v>
      </c>
      <c r="G20" s="34"/>
      <c r="H20" s="35"/>
      <c r="I20" s="36"/>
      <c r="J20" s="37"/>
      <c r="K20" s="25">
        <f t="shared" si="0"/>
        <v>0</v>
      </c>
      <c r="L20" s="39" t="s">
        <v>7714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 t="s">
        <v>7203</v>
      </c>
      <c r="B22" s="16" t="s">
        <v>3843</v>
      </c>
      <c r="C22" s="17">
        <v>22</v>
      </c>
      <c r="D22" s="18" t="s">
        <v>45</v>
      </c>
      <c r="E22" s="41">
        <v>60</v>
      </c>
      <c r="F22" s="42">
        <v>142.19999999999999</v>
      </c>
      <c r="G22" s="34" t="s">
        <v>19</v>
      </c>
      <c r="H22" s="35">
        <v>1981</v>
      </c>
      <c r="I22" s="36">
        <v>3353</v>
      </c>
      <c r="J22" s="37">
        <v>33</v>
      </c>
      <c r="K22" s="85">
        <f t="shared" si="0"/>
        <v>219.19566900000001</v>
      </c>
      <c r="L22" s="39" t="s">
        <v>7715</v>
      </c>
    </row>
    <row r="23" spans="1:12" s="27" customFormat="1" ht="19.5" customHeight="1" x14ac:dyDescent="0.3">
      <c r="A23" s="28"/>
      <c r="B23" s="16"/>
      <c r="C23" s="17">
        <v>22</v>
      </c>
      <c r="D23" s="18" t="s">
        <v>17</v>
      </c>
      <c r="E23" s="41">
        <v>60</v>
      </c>
      <c r="F23" s="42">
        <v>140</v>
      </c>
      <c r="G23" s="34"/>
      <c r="H23" s="35"/>
      <c r="I23" s="36"/>
      <c r="J23" s="37"/>
      <c r="K23" s="85">
        <f t="shared" si="0"/>
        <v>0</v>
      </c>
      <c r="L23" s="39" t="s">
        <v>1640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 t="s">
        <v>7704</v>
      </c>
      <c r="B25" s="16" t="s">
        <v>7705</v>
      </c>
      <c r="C25" s="17">
        <v>22</v>
      </c>
      <c r="D25" s="18" t="s">
        <v>45</v>
      </c>
      <c r="E25" s="41">
        <v>240</v>
      </c>
      <c r="F25" s="42">
        <v>146.9</v>
      </c>
      <c r="G25" s="34" t="s">
        <v>19</v>
      </c>
      <c r="H25" s="35">
        <v>1981</v>
      </c>
      <c r="I25" s="36">
        <v>3353</v>
      </c>
      <c r="J25" s="37">
        <v>23</v>
      </c>
      <c r="K25" s="25">
        <f t="shared" si="0"/>
        <v>152.772739</v>
      </c>
      <c r="L25" s="39" t="s">
        <v>7716</v>
      </c>
    </row>
    <row r="26" spans="1:12" s="27" customFormat="1" ht="19.5" customHeight="1" x14ac:dyDescent="0.3">
      <c r="A26" s="28"/>
      <c r="B26" s="16"/>
      <c r="C26" s="17">
        <v>22</v>
      </c>
      <c r="D26" s="18" t="s">
        <v>45</v>
      </c>
      <c r="E26" s="41">
        <v>60</v>
      </c>
      <c r="F26" s="42">
        <v>16.8</v>
      </c>
      <c r="G26" s="34"/>
      <c r="H26" s="35"/>
      <c r="I26" s="36"/>
      <c r="J26" s="37"/>
      <c r="K26" s="25">
        <f t="shared" si="0"/>
        <v>0</v>
      </c>
      <c r="L26" s="39" t="s">
        <v>106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 t="s">
        <v>57</v>
      </c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 t="s">
        <v>7704</v>
      </c>
      <c r="B29" s="16" t="s">
        <v>2662</v>
      </c>
      <c r="C29" s="17">
        <v>22</v>
      </c>
      <c r="D29" s="18" t="s">
        <v>45</v>
      </c>
      <c r="E29" s="41">
        <v>240</v>
      </c>
      <c r="F29" s="42">
        <v>146.9</v>
      </c>
      <c r="G29" s="34" t="s">
        <v>49</v>
      </c>
      <c r="H29" s="35">
        <v>1981</v>
      </c>
      <c r="I29" s="36">
        <v>3353</v>
      </c>
      <c r="J29" s="37">
        <v>24</v>
      </c>
      <c r="K29" s="25">
        <f t="shared" si="0"/>
        <v>159.415032</v>
      </c>
      <c r="L29" s="39" t="s">
        <v>202</v>
      </c>
    </row>
    <row r="30" spans="1:12" s="27" customFormat="1" ht="19.5" customHeight="1" x14ac:dyDescent="0.3">
      <c r="A30" s="28"/>
      <c r="B30" s="16"/>
      <c r="C30" s="17">
        <v>22</v>
      </c>
      <c r="D30" s="18" t="s">
        <v>45</v>
      </c>
      <c r="E30" s="41">
        <v>60</v>
      </c>
      <c r="F30" s="42">
        <v>16.8</v>
      </c>
      <c r="G30" s="34"/>
      <c r="H30" s="35"/>
      <c r="I30" s="36"/>
      <c r="J30" s="37"/>
      <c r="K30" s="25">
        <f t="shared" si="0"/>
        <v>0</v>
      </c>
      <c r="L30" s="39" t="s">
        <v>202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 t="s">
        <v>7704</v>
      </c>
      <c r="B32" s="16" t="s">
        <v>2662</v>
      </c>
      <c r="C32" s="17">
        <v>22</v>
      </c>
      <c r="D32" s="18" t="s">
        <v>17</v>
      </c>
      <c r="E32" s="41">
        <v>270</v>
      </c>
      <c r="F32" s="42">
        <v>226.4</v>
      </c>
      <c r="G32" s="34" t="s">
        <v>7750</v>
      </c>
      <c r="H32" s="35">
        <v>1981</v>
      </c>
      <c r="I32" s="36">
        <v>3353</v>
      </c>
      <c r="J32" s="37">
        <v>35</v>
      </c>
      <c r="K32" s="25">
        <f t="shared" si="0"/>
        <v>232.48025500000003</v>
      </c>
      <c r="L32" s="39" t="s">
        <v>7751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8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85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85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7718</v>
      </c>
      <c r="B40" s="76" t="s">
        <v>7719</v>
      </c>
      <c r="C40" s="77">
        <v>24</v>
      </c>
      <c r="D40" s="78" t="s">
        <v>7720</v>
      </c>
      <c r="E40" s="48">
        <v>7</v>
      </c>
      <c r="F40" s="49">
        <v>4.87</v>
      </c>
      <c r="G40" s="50" t="s">
        <v>7721</v>
      </c>
      <c r="H40" s="51">
        <v>2438</v>
      </c>
      <c r="I40" s="45">
        <v>3353</v>
      </c>
      <c r="J40" s="52">
        <v>1</v>
      </c>
      <c r="K40" s="53">
        <f t="shared" si="0"/>
        <v>8.174614</v>
      </c>
      <c r="L40" s="54" t="s">
        <v>7722</v>
      </c>
    </row>
    <row r="41" spans="1:12" s="55" customFormat="1" ht="19.5" customHeight="1" x14ac:dyDescent="0.3">
      <c r="A41" s="44"/>
      <c r="B41" s="76"/>
      <c r="C41" s="77"/>
      <c r="D41" s="78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7723</v>
      </c>
      <c r="B42" s="76" t="s">
        <v>7724</v>
      </c>
      <c r="C42" s="77">
        <v>24</v>
      </c>
      <c r="D42" s="78" t="s">
        <v>7725</v>
      </c>
      <c r="E42" s="48">
        <v>75</v>
      </c>
      <c r="F42" s="49">
        <v>117.63</v>
      </c>
      <c r="G42" s="50" t="s">
        <v>56</v>
      </c>
      <c r="H42" s="51">
        <v>2438</v>
      </c>
      <c r="I42" s="45">
        <v>3353</v>
      </c>
      <c r="J42" s="52">
        <v>10</v>
      </c>
      <c r="K42" s="53">
        <f t="shared" si="0"/>
        <v>81.746139999999997</v>
      </c>
      <c r="L42" s="54"/>
    </row>
    <row r="43" spans="1:12" s="55" customFormat="1" ht="19.5" customHeight="1" x14ac:dyDescent="0.3">
      <c r="A43" s="44"/>
      <c r="B43" s="76"/>
      <c r="C43" s="77"/>
      <c r="D43" s="78"/>
      <c r="E43" s="48"/>
      <c r="F43" s="49"/>
      <c r="G43" s="50" t="s">
        <v>56</v>
      </c>
      <c r="H43" s="51">
        <v>3048</v>
      </c>
      <c r="I43" s="45">
        <v>3658</v>
      </c>
      <c r="J43" s="52">
        <v>6</v>
      </c>
      <c r="K43" s="53">
        <f t="shared" si="0"/>
        <v>66.897503999999998</v>
      </c>
      <c r="L43" s="54"/>
    </row>
    <row r="44" spans="1:12" s="55" customFormat="1" ht="19.5" customHeight="1" x14ac:dyDescent="0.3">
      <c r="A44" s="44"/>
      <c r="B44" s="76"/>
      <c r="C44" s="77"/>
      <c r="D44" s="78"/>
      <c r="E44" s="48"/>
      <c r="F44" s="49"/>
      <c r="G44" s="50" t="s">
        <v>7726</v>
      </c>
      <c r="H44" s="51">
        <v>3048</v>
      </c>
      <c r="I44" s="45">
        <v>3658</v>
      </c>
      <c r="J44" s="52">
        <v>7</v>
      </c>
      <c r="K44" s="53">
        <f t="shared" si="0"/>
        <v>78.047088000000002</v>
      </c>
      <c r="L44" s="54"/>
    </row>
    <row r="45" spans="1:12" s="55" customFormat="1" ht="19.5" customHeight="1" x14ac:dyDescent="0.3">
      <c r="A45" s="44"/>
      <c r="B45" s="76"/>
      <c r="C45" s="77"/>
      <c r="D45" s="78"/>
      <c r="E45" s="48"/>
      <c r="F45" s="49"/>
      <c r="G45" s="50" t="s">
        <v>7726</v>
      </c>
      <c r="H45" s="51">
        <v>2438</v>
      </c>
      <c r="I45" s="45">
        <v>3353</v>
      </c>
      <c r="J45" s="52">
        <v>7</v>
      </c>
      <c r="K45" s="53">
        <f t="shared" si="0"/>
        <v>57.222298000000002</v>
      </c>
      <c r="L45" s="54"/>
    </row>
    <row r="46" spans="1:12" s="55" customFormat="1" ht="19.5" customHeight="1" x14ac:dyDescent="0.3">
      <c r="A46" s="44"/>
      <c r="B46" s="76"/>
      <c r="C46" s="77"/>
      <c r="D46" s="78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7727</v>
      </c>
      <c r="B47" s="76" t="s">
        <v>7728</v>
      </c>
      <c r="C47" s="77">
        <v>22</v>
      </c>
      <c r="D47" s="78" t="s">
        <v>7732</v>
      </c>
      <c r="E47" s="48">
        <v>5</v>
      </c>
      <c r="F47" s="49">
        <v>19.149999999999999</v>
      </c>
      <c r="G47" s="50" t="s">
        <v>7726</v>
      </c>
      <c r="H47" s="51">
        <v>2134</v>
      </c>
      <c r="I47" s="45">
        <v>3658</v>
      </c>
      <c r="J47" s="52">
        <v>15</v>
      </c>
      <c r="K47" s="53">
        <f t="shared" si="0"/>
        <v>117.09257999999998</v>
      </c>
      <c r="L47" s="54" t="s">
        <v>7733</v>
      </c>
    </row>
    <row r="48" spans="1:12" s="55" customFormat="1" ht="19.5" customHeight="1" x14ac:dyDescent="0.3">
      <c r="A48" s="44" t="s">
        <v>7729</v>
      </c>
      <c r="B48" s="76" t="s">
        <v>7728</v>
      </c>
      <c r="C48" s="77">
        <v>22</v>
      </c>
      <c r="D48" s="78" t="s">
        <v>7732</v>
      </c>
      <c r="E48" s="48">
        <v>10</v>
      </c>
      <c r="F48" s="49">
        <v>38.299999999999997</v>
      </c>
      <c r="G48" s="50"/>
      <c r="H48" s="51"/>
      <c r="I48" s="45"/>
      <c r="J48" s="52"/>
      <c r="K48" s="53">
        <f t="shared" si="0"/>
        <v>0</v>
      </c>
      <c r="L48" s="54" t="s">
        <v>7733</v>
      </c>
    </row>
    <row r="49" spans="1:12" s="55" customFormat="1" ht="19.5" customHeight="1" x14ac:dyDescent="0.3">
      <c r="A49" s="44" t="s">
        <v>7730</v>
      </c>
      <c r="B49" s="76" t="s">
        <v>7728</v>
      </c>
      <c r="C49" s="77">
        <v>22</v>
      </c>
      <c r="D49" s="78" t="s">
        <v>7732</v>
      </c>
      <c r="E49" s="48">
        <v>5</v>
      </c>
      <c r="F49" s="49">
        <v>19.149999999999999</v>
      </c>
      <c r="G49" s="50"/>
      <c r="H49" s="51"/>
      <c r="I49" s="45"/>
      <c r="J49" s="52"/>
      <c r="K49" s="53">
        <f t="shared" si="0"/>
        <v>0</v>
      </c>
      <c r="L49" s="54" t="s">
        <v>7733</v>
      </c>
    </row>
    <row r="50" spans="1:12" s="55" customFormat="1" ht="19.5" customHeight="1" x14ac:dyDescent="0.3">
      <c r="A50" s="44" t="s">
        <v>7731</v>
      </c>
      <c r="B50" s="76" t="s">
        <v>7728</v>
      </c>
      <c r="C50" s="77">
        <v>22</v>
      </c>
      <c r="D50" s="78" t="s">
        <v>7732</v>
      </c>
      <c r="E50" s="48">
        <v>10</v>
      </c>
      <c r="F50" s="49">
        <v>38.299999999999997</v>
      </c>
      <c r="G50" s="50"/>
      <c r="H50" s="51"/>
      <c r="I50" s="45"/>
      <c r="J50" s="52"/>
      <c r="K50" s="53">
        <f t="shared" si="0"/>
        <v>0</v>
      </c>
      <c r="L50" s="54" t="s">
        <v>7733</v>
      </c>
    </row>
    <row r="51" spans="1:12" s="55" customFormat="1" ht="19.5" customHeight="1" x14ac:dyDescent="0.3">
      <c r="A51" s="44"/>
      <c r="B51" s="76"/>
      <c r="C51" s="77"/>
      <c r="D51" s="78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7734</v>
      </c>
      <c r="B52" s="76" t="s">
        <v>7735</v>
      </c>
      <c r="C52" s="77">
        <v>24</v>
      </c>
      <c r="D52" s="78" t="s">
        <v>7725</v>
      </c>
      <c r="E52" s="48">
        <v>5</v>
      </c>
      <c r="F52" s="49">
        <v>9.0500000000000007</v>
      </c>
      <c r="G52" s="50" t="s">
        <v>7736</v>
      </c>
      <c r="H52" s="51">
        <v>2438</v>
      </c>
      <c r="I52" s="45">
        <v>3353</v>
      </c>
      <c r="J52" s="52">
        <v>2</v>
      </c>
      <c r="K52" s="53">
        <f t="shared" si="0"/>
        <v>16.349228</v>
      </c>
      <c r="L52" s="54" t="s">
        <v>7737</v>
      </c>
    </row>
    <row r="53" spans="1:12" s="55" customFormat="1" ht="19.5" customHeight="1" x14ac:dyDescent="0.3">
      <c r="A53" s="44"/>
      <c r="B53" s="76"/>
      <c r="C53" s="77"/>
      <c r="D53" s="78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7738</v>
      </c>
      <c r="B54" s="76" t="s">
        <v>7739</v>
      </c>
      <c r="C54" s="77">
        <v>28</v>
      </c>
      <c r="D54" s="78" t="s">
        <v>7740</v>
      </c>
      <c r="E54" s="48">
        <v>2</v>
      </c>
      <c r="F54" s="49">
        <v>5.0999999999999996</v>
      </c>
      <c r="G54" s="50" t="s">
        <v>7741</v>
      </c>
      <c r="H54" s="51">
        <v>2134</v>
      </c>
      <c r="I54" s="45">
        <v>3048</v>
      </c>
      <c r="J54" s="52">
        <v>2</v>
      </c>
      <c r="K54" s="53">
        <f t="shared" si="0"/>
        <v>13.008863999999999</v>
      </c>
      <c r="L54" s="54" t="s">
        <v>7722</v>
      </c>
    </row>
    <row r="55" spans="1:12" s="55" customFormat="1" ht="19.5" customHeight="1" x14ac:dyDescent="0.3">
      <c r="A55" s="44"/>
      <c r="B55" s="76"/>
      <c r="C55" s="77"/>
      <c r="D55" s="78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7742</v>
      </c>
      <c r="B56" s="76" t="s">
        <v>7701</v>
      </c>
      <c r="C56" s="77">
        <v>43</v>
      </c>
      <c r="D56" s="78" t="s">
        <v>7743</v>
      </c>
      <c r="E56" s="48">
        <v>14</v>
      </c>
      <c r="F56" s="49">
        <v>4.87</v>
      </c>
      <c r="G56" s="50" t="s">
        <v>7744</v>
      </c>
      <c r="H56" s="51">
        <v>2438</v>
      </c>
      <c r="I56" s="45">
        <v>3353</v>
      </c>
      <c r="J56" s="52">
        <v>1</v>
      </c>
      <c r="K56" s="53">
        <f t="shared" si="0"/>
        <v>8.174614</v>
      </c>
      <c r="L56" s="54"/>
    </row>
    <row r="57" spans="1:12" s="55" customFormat="1" ht="19.5" customHeight="1" x14ac:dyDescent="0.3">
      <c r="A57" s="44"/>
      <c r="B57" s="76"/>
      <c r="C57" s="77"/>
      <c r="D57" s="78"/>
      <c r="E57" s="48"/>
      <c r="F57" s="49"/>
      <c r="G57" s="50" t="s">
        <v>7712</v>
      </c>
      <c r="H57" s="51">
        <v>1981</v>
      </c>
      <c r="I57" s="45">
        <v>3353</v>
      </c>
      <c r="J57" s="52">
        <v>1</v>
      </c>
      <c r="K57" s="53">
        <f t="shared" si="0"/>
        <v>6.6422930000000004</v>
      </c>
      <c r="L57" s="54"/>
    </row>
    <row r="58" spans="1:12" s="55" customFormat="1" ht="19.5" customHeight="1" x14ac:dyDescent="0.3">
      <c r="A58" s="44"/>
      <c r="B58" s="76"/>
      <c r="C58" s="77"/>
      <c r="D58" s="78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7745</v>
      </c>
      <c r="B59" s="76" t="s">
        <v>7746</v>
      </c>
      <c r="C59" s="77">
        <v>24</v>
      </c>
      <c r="D59" s="78" t="s">
        <v>7747</v>
      </c>
      <c r="E59" s="48">
        <v>2</v>
      </c>
      <c r="F59" s="49">
        <v>7.29</v>
      </c>
      <c r="G59" s="50" t="s">
        <v>7726</v>
      </c>
      <c r="H59" s="51">
        <v>1981</v>
      </c>
      <c r="I59" s="45">
        <v>3353</v>
      </c>
      <c r="J59" s="52">
        <v>2</v>
      </c>
      <c r="K59" s="53">
        <f t="shared" si="0"/>
        <v>13.284586000000001</v>
      </c>
      <c r="L59" s="54" t="s">
        <v>7748</v>
      </c>
    </row>
    <row r="60" spans="1:12" s="55" customFormat="1" ht="19.5" customHeight="1" x14ac:dyDescent="0.3">
      <c r="A60" s="44"/>
      <c r="B60" s="76"/>
      <c r="C60" s="77"/>
      <c r="D60" s="78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7697</v>
      </c>
      <c r="B61" s="76" t="s">
        <v>6063</v>
      </c>
      <c r="C61" s="77">
        <v>22</v>
      </c>
      <c r="D61" s="78" t="s">
        <v>228</v>
      </c>
      <c r="E61" s="48">
        <v>120</v>
      </c>
      <c r="F61" s="49">
        <v>92.5</v>
      </c>
      <c r="G61" s="50" t="s">
        <v>7726</v>
      </c>
      <c r="H61" s="51">
        <v>1981</v>
      </c>
      <c r="I61" s="45">
        <v>3353</v>
      </c>
      <c r="J61" s="52">
        <v>6</v>
      </c>
      <c r="K61" s="53">
        <f t="shared" si="0"/>
        <v>39.853757999999999</v>
      </c>
      <c r="L61" s="54" t="s">
        <v>7748</v>
      </c>
    </row>
    <row r="62" spans="1:12" s="55" customFormat="1" ht="19.5" customHeight="1" x14ac:dyDescent="0.3">
      <c r="A62" s="44"/>
      <c r="B62" s="76"/>
      <c r="C62" s="77">
        <v>22</v>
      </c>
      <c r="D62" s="78" t="s">
        <v>83</v>
      </c>
      <c r="E62" s="48">
        <v>5</v>
      </c>
      <c r="F62" s="49">
        <v>19.149999999999999</v>
      </c>
      <c r="G62" s="50" t="s">
        <v>7726</v>
      </c>
      <c r="H62" s="51">
        <v>2438</v>
      </c>
      <c r="I62" s="45">
        <v>3353</v>
      </c>
      <c r="J62" s="52">
        <v>14</v>
      </c>
      <c r="K62" s="53">
        <f t="shared" si="0"/>
        <v>114.444596</v>
      </c>
      <c r="L62" s="54" t="s">
        <v>7748</v>
      </c>
    </row>
    <row r="63" spans="1:12" s="55" customFormat="1" ht="19.5" customHeight="1" x14ac:dyDescent="0.3">
      <c r="A63" s="44"/>
      <c r="B63" s="76"/>
      <c r="C63" s="77">
        <v>22</v>
      </c>
      <c r="D63" s="78" t="s">
        <v>228</v>
      </c>
      <c r="E63" s="48">
        <v>40</v>
      </c>
      <c r="F63" s="49">
        <v>32.4</v>
      </c>
      <c r="G63" s="50"/>
      <c r="H63" s="51"/>
      <c r="I63" s="45"/>
      <c r="J63" s="52"/>
      <c r="K63" s="53">
        <f t="shared" si="0"/>
        <v>0</v>
      </c>
      <c r="L63" s="54" t="s">
        <v>7748</v>
      </c>
    </row>
    <row r="64" spans="1:12" s="55" customFormat="1" ht="19.5" customHeight="1" x14ac:dyDescent="0.3">
      <c r="A64" s="44"/>
      <c r="B64" s="76"/>
      <c r="C64" s="77"/>
      <c r="D64" s="78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7717</v>
      </c>
      <c r="B65" s="76"/>
      <c r="C65" s="77"/>
      <c r="D65" s="78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7752</v>
      </c>
      <c r="B66" s="76" t="s">
        <v>7753</v>
      </c>
      <c r="C66" s="77">
        <v>22</v>
      </c>
      <c r="D66" s="78" t="s">
        <v>17</v>
      </c>
      <c r="E66" s="48">
        <v>150</v>
      </c>
      <c r="F66" s="49">
        <v>119.4</v>
      </c>
      <c r="G66" s="50" t="s">
        <v>18</v>
      </c>
      <c r="H66" s="51">
        <v>1829</v>
      </c>
      <c r="I66" s="45">
        <v>3048</v>
      </c>
      <c r="J66" s="52">
        <v>21</v>
      </c>
      <c r="K66" s="53">
        <f t="shared" si="0"/>
        <v>117.07063199999999</v>
      </c>
      <c r="L66" s="54"/>
    </row>
    <row r="67" spans="1:12" s="55" customFormat="1" ht="19.5" customHeight="1" x14ac:dyDescent="0.3">
      <c r="A67" s="44"/>
      <c r="B67" s="76"/>
      <c r="C67" s="77"/>
      <c r="D67" s="78"/>
      <c r="E67" s="48"/>
      <c r="F67" s="49"/>
      <c r="G67" s="50" t="s">
        <v>7754</v>
      </c>
      <c r="H67" s="51">
        <v>1981</v>
      </c>
      <c r="I67" s="45">
        <v>3048</v>
      </c>
      <c r="J67" s="52">
        <v>21</v>
      </c>
      <c r="K67" s="53">
        <f t="shared" si="0"/>
        <v>126.79984800000003</v>
      </c>
      <c r="L67" s="54"/>
    </row>
    <row r="68" spans="1:12" s="55" customFormat="1" ht="19.5" customHeight="1" x14ac:dyDescent="0.3">
      <c r="A68" s="44"/>
      <c r="B68" s="76"/>
      <c r="C68" s="77"/>
      <c r="D68" s="78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7755</v>
      </c>
      <c r="B69" s="76" t="s">
        <v>7753</v>
      </c>
      <c r="C69" s="77">
        <v>22</v>
      </c>
      <c r="D69" s="78" t="s">
        <v>17</v>
      </c>
      <c r="E69" s="48">
        <v>125</v>
      </c>
      <c r="F69" s="49">
        <v>111.65</v>
      </c>
      <c r="G69" s="50" t="s">
        <v>18</v>
      </c>
      <c r="H69" s="51">
        <v>1829</v>
      </c>
      <c r="I69" s="45">
        <v>3048</v>
      </c>
      <c r="J69" s="52">
        <v>20</v>
      </c>
      <c r="K69" s="53">
        <f t="shared" si="0"/>
        <v>111.49583999999999</v>
      </c>
      <c r="L69" s="54"/>
    </row>
    <row r="70" spans="1:12" s="55" customFormat="1" ht="19.5" customHeight="1" x14ac:dyDescent="0.3">
      <c r="A70" s="44"/>
      <c r="B70" s="76"/>
      <c r="C70" s="77"/>
      <c r="D70" s="78"/>
      <c r="E70" s="48"/>
      <c r="F70" s="49"/>
      <c r="G70" s="50" t="s">
        <v>7754</v>
      </c>
      <c r="H70" s="51">
        <v>1981</v>
      </c>
      <c r="I70" s="45">
        <v>3048</v>
      </c>
      <c r="J70" s="52">
        <v>20</v>
      </c>
      <c r="K70" s="53">
        <f t="shared" si="0"/>
        <v>120.76176000000002</v>
      </c>
      <c r="L70" s="54"/>
    </row>
    <row r="71" spans="1:12" s="55" customFormat="1" ht="19.5" customHeight="1" x14ac:dyDescent="0.3">
      <c r="A71" s="44"/>
      <c r="B71" s="76"/>
      <c r="C71" s="77"/>
      <c r="D71" s="78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76"/>
      <c r="C72" s="77"/>
      <c r="D72" s="78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76"/>
      <c r="C73" s="77"/>
      <c r="D73" s="78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76"/>
      <c r="C74" s="77"/>
      <c r="D74" s="78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76"/>
      <c r="C75" s="77"/>
      <c r="D75" s="78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94"/>
      <c r="B76" s="76"/>
      <c r="C76" s="77"/>
      <c r="D76" s="78"/>
      <c r="E76" s="48"/>
      <c r="F76" s="49"/>
      <c r="G76" s="50"/>
      <c r="H76" s="51"/>
      <c r="I76" s="45"/>
      <c r="J76" s="52"/>
      <c r="K76" s="53">
        <f t="shared" si="0"/>
        <v>0</v>
      </c>
      <c r="L76" s="6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9" customFormat="1" ht="20.100000000000001" customHeight="1" x14ac:dyDescent="0.3">
      <c r="A78" s="44"/>
      <c r="B78" s="45"/>
      <c r="C78" s="46"/>
      <c r="D78" s="47"/>
      <c r="E78" s="56"/>
      <c r="F78" s="57"/>
      <c r="G78" s="50"/>
      <c r="H78" s="51"/>
      <c r="I78" s="45"/>
      <c r="J78" s="52"/>
      <c r="K78" s="53">
        <f t="shared" si="0"/>
        <v>0</v>
      </c>
      <c r="L78" s="58">
        <f>SUM(J39:J79)</f>
        <v>156</v>
      </c>
    </row>
    <row r="79" spans="1:12" s="59" customFormat="1" ht="20.100000000000001" customHeight="1" x14ac:dyDescent="0.3">
      <c r="A79" s="44"/>
      <c r="B79" s="45"/>
      <c r="C79" s="46"/>
      <c r="D79" s="47"/>
      <c r="E79" s="60"/>
      <c r="F79" s="61"/>
      <c r="G79" s="62"/>
      <c r="H79" s="51"/>
      <c r="I79" s="45"/>
      <c r="J79" s="63"/>
      <c r="K79" s="53">
        <f t="shared" si="0"/>
        <v>0</v>
      </c>
      <c r="L79" s="64">
        <f>SUM(K39:K79)</f>
        <v>1097.066243</v>
      </c>
    </row>
    <row r="80" spans="1:12" s="59" customFormat="1" ht="20.100000000000001" customHeight="1" thickBot="1" x14ac:dyDescent="0.35">
      <c r="A80" s="114"/>
      <c r="B80" s="115"/>
      <c r="C80" s="115"/>
      <c r="D80" s="115"/>
      <c r="E80" s="115"/>
      <c r="F80" s="115"/>
      <c r="G80" s="115"/>
      <c r="H80" s="115"/>
      <c r="I80" s="115"/>
      <c r="J80" s="65">
        <f>SUM(J7:J79)</f>
        <v>366</v>
      </c>
      <c r="K80" s="66">
        <f>SUM(K7:K79)</f>
        <v>2491.9477730000003</v>
      </c>
      <c r="L80" s="67"/>
    </row>
    <row r="81" spans="1:12" s="59" customFormat="1" ht="20.100000000000001" customHeight="1" thickTop="1" thickBot="1" x14ac:dyDescent="0.35">
      <c r="A81" s="116" t="s">
        <v>52</v>
      </c>
      <c r="B81" s="117"/>
      <c r="C81" s="106"/>
      <c r="D81" s="118">
        <f>J80</f>
        <v>366</v>
      </c>
      <c r="E81" s="119"/>
      <c r="F81" s="119"/>
      <c r="G81" s="120"/>
      <c r="H81" s="121"/>
      <c r="I81" s="121"/>
      <c r="J81" s="122"/>
      <c r="K81" s="119"/>
      <c r="L81" s="123"/>
    </row>
    <row r="82" spans="1:12" s="59" customFormat="1" ht="20.100000000000001" customHeight="1" x14ac:dyDescent="0.3">
      <c r="A82" s="105"/>
      <c r="B82" s="5"/>
      <c r="C82" s="5"/>
      <c r="D82" s="5"/>
      <c r="E82" s="5"/>
      <c r="F82" s="70"/>
      <c r="G82" s="5"/>
      <c r="H82" s="5"/>
      <c r="I82" s="5"/>
      <c r="J82" s="5"/>
      <c r="K82" s="5"/>
      <c r="L82" s="71"/>
    </row>
    <row r="83" spans="1:12" s="59" customFormat="1" ht="20.100000000000001" customHeight="1" x14ac:dyDescent="0.3">
      <c r="A83" s="105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05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05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72"/>
      <c r="F87" s="5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5"/>
      <c r="F88" s="5"/>
      <c r="G88" s="73"/>
      <c r="H88" s="5"/>
      <c r="I88" s="74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105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70"/>
      <c r="G92" s="5"/>
      <c r="H92" s="72"/>
      <c r="I92" s="72"/>
      <c r="J92" s="5"/>
      <c r="K92" s="5"/>
      <c r="L92" s="5"/>
    </row>
    <row r="93" spans="1:12" ht="20.100000000000001" customHeight="1" x14ac:dyDescent="0.3">
      <c r="A93" s="113"/>
      <c r="B93" s="113"/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H95" s="72"/>
      <c r="I95" s="72"/>
    </row>
    <row r="96" spans="1:12" ht="20.100000000000001" customHeight="1" x14ac:dyDescent="0.3">
      <c r="A96" s="113"/>
      <c r="B96" s="113"/>
      <c r="H96" s="72"/>
      <c r="I96" s="72"/>
    </row>
    <row r="97" spans="1:12" ht="20.100000000000001" customHeight="1" x14ac:dyDescent="0.3">
      <c r="A97" s="113"/>
      <c r="B97" s="113"/>
      <c r="H97" s="72"/>
      <c r="I97" s="72"/>
    </row>
    <row r="98" spans="1:12" ht="20.100000000000001" customHeight="1" x14ac:dyDescent="0.3"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s="72" customFormat="1" ht="20.100000000000001" customHeight="1" x14ac:dyDescent="0.3">
      <c r="A101" s="105"/>
      <c r="B101" s="5"/>
      <c r="C101" s="5"/>
      <c r="D101" s="5"/>
      <c r="E101" s="5"/>
      <c r="F101" s="70"/>
      <c r="G101" s="5"/>
      <c r="J101" s="5"/>
      <c r="K101" s="5"/>
      <c r="L101" s="5"/>
    </row>
    <row r="102" spans="1:12" s="72" customFormat="1" ht="20.100000000000001" customHeight="1" x14ac:dyDescent="0.3">
      <c r="A102" s="105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5" customFormat="1" ht="20.100000000000001" customHeight="1" x14ac:dyDescent="0.3">
      <c r="A103" s="105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5" customFormat="1" ht="20.100000000000001" customHeight="1" x14ac:dyDescent="0.3">
      <c r="A104" s="105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5" customFormat="1" ht="19.5" customHeight="1" x14ac:dyDescent="0.3">
      <c r="A105" s="105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72" customFormat="1" ht="20.100000000000001" customHeight="1" x14ac:dyDescent="0.3">
      <c r="A106" s="105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2" customFormat="1" ht="20.100000000000001" customHeight="1" x14ac:dyDescent="0.3">
      <c r="A107" s="105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ht="19.5" customHeight="1" x14ac:dyDescent="0.3"/>
    <row r="109" spans="1:12" ht="19.5" customHeight="1" x14ac:dyDescent="0.3"/>
    <row r="110" spans="1:12" ht="19.5" customHeight="1" x14ac:dyDescent="0.3"/>
    <row r="111" spans="1:12" s="105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105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105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105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105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105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105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105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105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105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105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105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105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105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105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105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s="105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105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105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105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105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105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105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105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105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105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105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105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105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105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105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105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105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105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105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105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105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105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105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105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105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105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105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105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105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105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105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105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105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105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</sheetData>
  <mergeCells count="30">
    <mergeCell ref="A96:B96"/>
    <mergeCell ref="A97:B97"/>
    <mergeCell ref="A87:B87"/>
    <mergeCell ref="A88:B88"/>
    <mergeCell ref="A89:B89"/>
    <mergeCell ref="A91:B91"/>
    <mergeCell ref="A92:B92"/>
    <mergeCell ref="A93:B93"/>
    <mergeCell ref="A86:B8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0:I80"/>
    <mergeCell ref="A81:B81"/>
    <mergeCell ref="D81:G81"/>
    <mergeCell ref="H81:J81"/>
    <mergeCell ref="K81:L81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46"/>
  <sheetViews>
    <sheetView view="pageBreakPreview" topLeftCell="A26" zoomScale="85" zoomScaleNormal="100" zoomScaleSheetLayoutView="85" workbookViewId="0">
      <selection activeCell="A48" sqref="A48:L49"/>
    </sheetView>
  </sheetViews>
  <sheetFormatPr defaultRowHeight="13.5" x14ac:dyDescent="0.3"/>
  <cols>
    <col min="1" max="1" width="8.625" style="103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46253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4" si="0">(H7/1000*I7/1000)*J7</f>
        <v>0</v>
      </c>
      <c r="L7" s="26">
        <f>SUM(J7:J13)</f>
        <v>0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SUM(K7:K13)</f>
        <v>0</v>
      </c>
    </row>
    <row r="9" spans="1:12" s="27" customFormat="1" ht="19.5" customHeight="1" x14ac:dyDescent="0.3">
      <c r="A9" s="28"/>
      <c r="B9" s="16"/>
      <c r="C9" s="17"/>
      <c r="D9" s="18"/>
      <c r="E9" s="41"/>
      <c r="F9" s="42"/>
      <c r="G9" s="34"/>
      <c r="H9" s="35"/>
      <c r="I9" s="36"/>
      <c r="J9" s="37"/>
      <c r="K9" s="25">
        <f t="shared" si="0"/>
        <v>0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>
        <f t="shared" si="0"/>
        <v>0</v>
      </c>
      <c r="L12" s="39"/>
    </row>
    <row r="13" spans="1:12" s="27" customFormat="1" ht="19.5" customHeight="1" x14ac:dyDescent="0.3">
      <c r="A13" s="28"/>
      <c r="B13" s="29"/>
      <c r="C13" s="30"/>
      <c r="D13" s="31"/>
      <c r="E13" s="41"/>
      <c r="F13" s="42"/>
      <c r="G13" s="43"/>
      <c r="H13" s="35"/>
      <c r="I13" s="36"/>
      <c r="J13" s="37"/>
      <c r="K13" s="85">
        <f t="shared" si="0"/>
        <v>0</v>
      </c>
      <c r="L13" s="39"/>
    </row>
    <row r="14" spans="1:12" s="55" customFormat="1" ht="19.5" customHeight="1" x14ac:dyDescent="0.3">
      <c r="A14" s="44"/>
      <c r="B14" s="45"/>
      <c r="C14" s="46"/>
      <c r="D14" s="47"/>
      <c r="E14" s="48"/>
      <c r="F14" s="49"/>
      <c r="G14" s="50"/>
      <c r="H14" s="51"/>
      <c r="I14" s="45"/>
      <c r="J14" s="52"/>
      <c r="K14" s="53">
        <f t="shared" si="0"/>
        <v>0</v>
      </c>
      <c r="L14" s="54"/>
    </row>
    <row r="15" spans="1:12" s="55" customFormat="1" ht="19.5" customHeight="1" x14ac:dyDescent="0.3">
      <c r="A15" s="44" t="s">
        <v>7628</v>
      </c>
      <c r="B15" s="76" t="s">
        <v>363</v>
      </c>
      <c r="C15" s="77">
        <v>43</v>
      </c>
      <c r="D15" s="78" t="s">
        <v>2802</v>
      </c>
      <c r="E15" s="48">
        <v>1</v>
      </c>
      <c r="F15" s="49">
        <v>3.24</v>
      </c>
      <c r="G15" s="50" t="s">
        <v>421</v>
      </c>
      <c r="H15" s="51">
        <v>2438</v>
      </c>
      <c r="I15" s="45">
        <v>3353</v>
      </c>
      <c r="J15" s="52">
        <v>5</v>
      </c>
      <c r="K15" s="53">
        <f t="shared" si="0"/>
        <v>40.873069999999998</v>
      </c>
      <c r="L15" s="54" t="s">
        <v>7700</v>
      </c>
    </row>
    <row r="16" spans="1:12" s="55" customFormat="1" ht="19.5" customHeight="1" x14ac:dyDescent="0.3">
      <c r="A16" s="44"/>
      <c r="B16" s="76"/>
      <c r="C16" s="77"/>
      <c r="D16" s="78"/>
      <c r="E16" s="48"/>
      <c r="F16" s="49"/>
      <c r="G16" s="50" t="s">
        <v>421</v>
      </c>
      <c r="H16" s="51">
        <v>2134</v>
      </c>
      <c r="I16" s="45">
        <v>3048</v>
      </c>
      <c r="J16" s="52">
        <v>1</v>
      </c>
      <c r="K16" s="53">
        <f t="shared" si="0"/>
        <v>6.5044319999999995</v>
      </c>
      <c r="L16" s="54"/>
    </row>
    <row r="17" spans="1:12" s="55" customFormat="1" ht="19.5" customHeight="1" x14ac:dyDescent="0.3">
      <c r="A17" s="44"/>
      <c r="B17" s="76"/>
      <c r="C17" s="77"/>
      <c r="D17" s="78"/>
      <c r="E17" s="48"/>
      <c r="F17" s="49"/>
      <c r="G17" s="50" t="s">
        <v>18</v>
      </c>
      <c r="H17" s="51">
        <v>1981</v>
      </c>
      <c r="I17" s="45">
        <v>3353</v>
      </c>
      <c r="J17" s="52">
        <v>1</v>
      </c>
      <c r="K17" s="53">
        <f t="shared" si="0"/>
        <v>6.6422930000000004</v>
      </c>
      <c r="L17" s="54" t="s">
        <v>7685</v>
      </c>
    </row>
    <row r="18" spans="1:12" s="55" customFormat="1" ht="19.5" customHeight="1" x14ac:dyDescent="0.3">
      <c r="A18" s="44"/>
      <c r="B18" s="76"/>
      <c r="C18" s="77"/>
      <c r="D18" s="78"/>
      <c r="E18" s="48"/>
      <c r="F18" s="49"/>
      <c r="G18" s="50" t="s">
        <v>18</v>
      </c>
      <c r="H18" s="51">
        <v>2134</v>
      </c>
      <c r="I18" s="45">
        <v>3048</v>
      </c>
      <c r="J18" s="52">
        <v>2</v>
      </c>
      <c r="K18" s="53">
        <f t="shared" si="0"/>
        <v>13.008863999999999</v>
      </c>
      <c r="L18" s="54"/>
    </row>
    <row r="19" spans="1:12" s="55" customFormat="1" ht="19.5" customHeight="1" x14ac:dyDescent="0.3">
      <c r="A19" s="44"/>
      <c r="B19" s="76"/>
      <c r="C19" s="77"/>
      <c r="D19" s="78"/>
      <c r="E19" s="48"/>
      <c r="F19" s="49"/>
      <c r="G19" s="50"/>
      <c r="H19" s="51"/>
      <c r="I19" s="45"/>
      <c r="J19" s="52"/>
      <c r="K19" s="53">
        <f t="shared" si="0"/>
        <v>0</v>
      </c>
      <c r="L19" s="54"/>
    </row>
    <row r="20" spans="1:12" s="55" customFormat="1" ht="19.5" customHeight="1" x14ac:dyDescent="0.3">
      <c r="A20" s="44" t="s">
        <v>7279</v>
      </c>
      <c r="B20" s="76" t="s">
        <v>6063</v>
      </c>
      <c r="C20" s="77">
        <v>22</v>
      </c>
      <c r="D20" s="78" t="s">
        <v>228</v>
      </c>
      <c r="E20" s="48">
        <v>140</v>
      </c>
      <c r="F20" s="49">
        <v>117.8</v>
      </c>
      <c r="G20" s="50" t="s">
        <v>19</v>
      </c>
      <c r="H20" s="51">
        <v>1981</v>
      </c>
      <c r="I20" s="45">
        <v>3353</v>
      </c>
      <c r="J20" s="52">
        <v>21</v>
      </c>
      <c r="K20" s="53">
        <f t="shared" si="0"/>
        <v>139.48815300000001</v>
      </c>
      <c r="L20" s="54" t="s">
        <v>106</v>
      </c>
    </row>
    <row r="21" spans="1:12" s="55" customFormat="1" ht="19.5" customHeight="1" x14ac:dyDescent="0.3">
      <c r="A21" s="44"/>
      <c r="B21" s="76"/>
      <c r="C21" s="77">
        <v>22</v>
      </c>
      <c r="D21" s="78" t="s">
        <v>228</v>
      </c>
      <c r="E21" s="48">
        <v>20</v>
      </c>
      <c r="F21" s="49">
        <v>5.6</v>
      </c>
      <c r="G21" s="50"/>
      <c r="H21" s="51"/>
      <c r="I21" s="45"/>
      <c r="J21" s="52"/>
      <c r="K21" s="53">
        <f t="shared" si="0"/>
        <v>0</v>
      </c>
      <c r="L21" s="54" t="s">
        <v>7683</v>
      </c>
    </row>
    <row r="22" spans="1:12" s="55" customFormat="1" ht="19.5" customHeight="1" x14ac:dyDescent="0.3">
      <c r="A22" s="44"/>
      <c r="B22" s="76"/>
      <c r="C22" s="77"/>
      <c r="D22" s="78"/>
      <c r="E22" s="48"/>
      <c r="F22" s="49"/>
      <c r="G22" s="50"/>
      <c r="H22" s="51"/>
      <c r="I22" s="45"/>
      <c r="J22" s="52"/>
      <c r="K22" s="53">
        <f t="shared" si="0"/>
        <v>0</v>
      </c>
      <c r="L22" s="54"/>
    </row>
    <row r="23" spans="1:12" s="55" customFormat="1" ht="19.5" customHeight="1" x14ac:dyDescent="0.3">
      <c r="A23" s="44" t="s">
        <v>7519</v>
      </c>
      <c r="B23" s="76" t="s">
        <v>6063</v>
      </c>
      <c r="C23" s="77">
        <v>22</v>
      </c>
      <c r="D23" s="78" t="s">
        <v>228</v>
      </c>
      <c r="E23" s="48">
        <v>110</v>
      </c>
      <c r="F23" s="49">
        <v>71.2</v>
      </c>
      <c r="G23" s="50" t="s">
        <v>19</v>
      </c>
      <c r="H23" s="51">
        <v>1981</v>
      </c>
      <c r="I23" s="45">
        <v>3048</v>
      </c>
      <c r="J23" s="52">
        <v>10</v>
      </c>
      <c r="K23" s="53">
        <f t="shared" si="0"/>
        <v>60.380880000000012</v>
      </c>
      <c r="L23" s="54" t="s">
        <v>106</v>
      </c>
    </row>
    <row r="24" spans="1:12" s="55" customFormat="1" ht="19.5" customHeight="1" x14ac:dyDescent="0.3">
      <c r="A24" s="44"/>
      <c r="B24" s="76"/>
      <c r="C24" s="77">
        <v>22</v>
      </c>
      <c r="D24" s="78" t="s">
        <v>228</v>
      </c>
      <c r="E24" s="48">
        <v>30</v>
      </c>
      <c r="F24" s="49">
        <v>17.100000000000001</v>
      </c>
      <c r="G24" s="50" t="s">
        <v>39</v>
      </c>
      <c r="H24" s="51">
        <v>2134</v>
      </c>
      <c r="I24" s="45">
        <v>3353</v>
      </c>
      <c r="J24" s="52">
        <v>10</v>
      </c>
      <c r="K24" s="53">
        <f t="shared" si="0"/>
        <v>71.553020000000004</v>
      </c>
      <c r="L24" s="54" t="s">
        <v>106</v>
      </c>
    </row>
    <row r="25" spans="1:12" s="55" customFormat="1" ht="19.5" customHeight="1" x14ac:dyDescent="0.3">
      <c r="A25" s="44"/>
      <c r="B25" s="76"/>
      <c r="C25" s="77"/>
      <c r="D25" s="78"/>
      <c r="E25" s="48"/>
      <c r="F25" s="49"/>
      <c r="G25" s="50"/>
      <c r="H25" s="51"/>
      <c r="I25" s="45"/>
      <c r="J25" s="52"/>
      <c r="K25" s="53">
        <f t="shared" si="0"/>
        <v>0</v>
      </c>
      <c r="L25" s="54"/>
    </row>
    <row r="26" spans="1:12" s="55" customFormat="1" ht="19.5" customHeight="1" x14ac:dyDescent="0.3">
      <c r="A26" s="44" t="s">
        <v>7273</v>
      </c>
      <c r="B26" s="76" t="s">
        <v>6063</v>
      </c>
      <c r="C26" s="77">
        <v>22</v>
      </c>
      <c r="D26" s="78" t="s">
        <v>228</v>
      </c>
      <c r="E26" s="48">
        <v>110</v>
      </c>
      <c r="F26" s="49">
        <v>71.2</v>
      </c>
      <c r="G26" s="50" t="s">
        <v>19</v>
      </c>
      <c r="H26" s="51">
        <v>1981</v>
      </c>
      <c r="I26" s="45">
        <v>3048</v>
      </c>
      <c r="J26" s="52">
        <v>9</v>
      </c>
      <c r="K26" s="53">
        <f t="shared" si="0"/>
        <v>54.34279200000001</v>
      </c>
      <c r="L26" s="54" t="s">
        <v>106</v>
      </c>
    </row>
    <row r="27" spans="1:12" s="55" customFormat="1" ht="19.5" customHeight="1" x14ac:dyDescent="0.3">
      <c r="A27" s="44"/>
      <c r="B27" s="76"/>
      <c r="C27" s="77">
        <v>22</v>
      </c>
      <c r="D27" s="78" t="s">
        <v>228</v>
      </c>
      <c r="E27" s="48">
        <v>30</v>
      </c>
      <c r="F27" s="49">
        <v>17.100000000000001</v>
      </c>
      <c r="G27" s="50" t="s">
        <v>39</v>
      </c>
      <c r="H27" s="51">
        <v>2134</v>
      </c>
      <c r="I27" s="45">
        <v>3353</v>
      </c>
      <c r="J27" s="52">
        <v>10</v>
      </c>
      <c r="K27" s="53">
        <f t="shared" si="0"/>
        <v>71.553020000000004</v>
      </c>
      <c r="L27" s="54" t="s">
        <v>106</v>
      </c>
    </row>
    <row r="28" spans="1:12" s="55" customFormat="1" ht="19.5" customHeight="1" x14ac:dyDescent="0.3">
      <c r="A28" s="44"/>
      <c r="B28" s="76"/>
      <c r="C28" s="77"/>
      <c r="D28" s="78"/>
      <c r="E28" s="48"/>
      <c r="F28" s="49"/>
      <c r="G28" s="50"/>
      <c r="H28" s="51"/>
      <c r="I28" s="45"/>
      <c r="J28" s="52"/>
      <c r="K28" s="53">
        <f t="shared" si="0"/>
        <v>0</v>
      </c>
      <c r="L28" s="54"/>
    </row>
    <row r="29" spans="1:12" s="55" customFormat="1" ht="19.5" customHeight="1" x14ac:dyDescent="0.3">
      <c r="A29" s="44" t="s">
        <v>7684</v>
      </c>
      <c r="B29" s="76" t="s">
        <v>7686</v>
      </c>
      <c r="C29" s="77">
        <v>22</v>
      </c>
      <c r="D29" s="78" t="s">
        <v>45</v>
      </c>
      <c r="E29" s="48">
        <v>1</v>
      </c>
      <c r="F29" s="49">
        <v>0.28000000000000003</v>
      </c>
      <c r="G29" s="50"/>
      <c r="H29" s="51"/>
      <c r="I29" s="45"/>
      <c r="J29" s="52"/>
      <c r="K29" s="53">
        <f t="shared" si="0"/>
        <v>0</v>
      </c>
      <c r="L29" s="54" t="s">
        <v>31</v>
      </c>
    </row>
    <row r="30" spans="1:12" s="55" customFormat="1" ht="19.5" customHeight="1" x14ac:dyDescent="0.3">
      <c r="A30" s="44"/>
      <c r="B30" s="76"/>
      <c r="C30" s="77"/>
      <c r="D30" s="78"/>
      <c r="E30" s="48"/>
      <c r="F30" s="49"/>
      <c r="G30" s="50"/>
      <c r="H30" s="51"/>
      <c r="I30" s="45"/>
      <c r="J30" s="52"/>
      <c r="K30" s="53">
        <f t="shared" si="0"/>
        <v>0</v>
      </c>
      <c r="L30" s="54"/>
    </row>
    <row r="31" spans="1:12" s="55" customFormat="1" ht="19.5" customHeight="1" x14ac:dyDescent="0.3">
      <c r="A31" s="44" t="s">
        <v>57</v>
      </c>
      <c r="B31" s="76"/>
      <c r="C31" s="77"/>
      <c r="D31" s="78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7687</v>
      </c>
      <c r="B32" s="76" t="s">
        <v>7688</v>
      </c>
      <c r="C32" s="77">
        <v>22</v>
      </c>
      <c r="D32" s="78" t="s">
        <v>7689</v>
      </c>
      <c r="E32" s="48">
        <v>1</v>
      </c>
      <c r="F32" s="49">
        <v>4.0599999999999996</v>
      </c>
      <c r="G32" s="50" t="s">
        <v>7690</v>
      </c>
      <c r="H32" s="51">
        <v>1981</v>
      </c>
      <c r="I32" s="45">
        <v>3353</v>
      </c>
      <c r="J32" s="52">
        <v>1</v>
      </c>
      <c r="K32" s="53">
        <f t="shared" si="0"/>
        <v>6.6422930000000004</v>
      </c>
      <c r="L32" s="54"/>
    </row>
    <row r="33" spans="1:12" s="55" customFormat="1" ht="19.5" customHeight="1" x14ac:dyDescent="0.3">
      <c r="A33" s="44"/>
      <c r="B33" s="76"/>
      <c r="C33" s="77"/>
      <c r="D33" s="78"/>
      <c r="E33" s="48"/>
      <c r="F33" s="49"/>
      <c r="G33" s="50" t="s">
        <v>19</v>
      </c>
      <c r="H33" s="51">
        <v>1981</v>
      </c>
      <c r="I33" s="45">
        <v>3048</v>
      </c>
      <c r="J33" s="52">
        <v>1</v>
      </c>
      <c r="K33" s="53">
        <f t="shared" si="0"/>
        <v>6.038088000000001</v>
      </c>
      <c r="L33" s="54"/>
    </row>
    <row r="34" spans="1:12" s="55" customFormat="1" ht="19.5" customHeight="1" x14ac:dyDescent="0.3">
      <c r="A34" s="44"/>
      <c r="B34" s="76"/>
      <c r="C34" s="77"/>
      <c r="D34" s="78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7691</v>
      </c>
      <c r="B35" s="76" t="s">
        <v>7692</v>
      </c>
      <c r="C35" s="77">
        <v>24</v>
      </c>
      <c r="D35" s="78" t="s">
        <v>7693</v>
      </c>
      <c r="E35" s="48">
        <v>2</v>
      </c>
      <c r="F35" s="49">
        <v>1.91</v>
      </c>
      <c r="G35" s="50"/>
      <c r="H35" s="51"/>
      <c r="I35" s="45"/>
      <c r="J35" s="52"/>
      <c r="K35" s="53">
        <f t="shared" si="0"/>
        <v>0</v>
      </c>
      <c r="L35" s="54" t="s">
        <v>31</v>
      </c>
    </row>
    <row r="36" spans="1:12" s="55" customFormat="1" ht="19.5" customHeight="1" x14ac:dyDescent="0.3">
      <c r="A36" s="44"/>
      <c r="B36" s="76"/>
      <c r="C36" s="77"/>
      <c r="D36" s="78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7694</v>
      </c>
      <c r="B37" s="76" t="s">
        <v>7695</v>
      </c>
      <c r="C37" s="77">
        <v>22</v>
      </c>
      <c r="D37" s="78" t="s">
        <v>228</v>
      </c>
      <c r="E37" s="48">
        <v>150</v>
      </c>
      <c r="F37" s="49">
        <v>119.4</v>
      </c>
      <c r="G37" s="50" t="s">
        <v>19</v>
      </c>
      <c r="H37" s="51">
        <v>1981</v>
      </c>
      <c r="I37" s="45">
        <v>3048</v>
      </c>
      <c r="J37" s="52">
        <v>26</v>
      </c>
      <c r="K37" s="53">
        <f t="shared" si="0"/>
        <v>156.99028800000002</v>
      </c>
      <c r="L37" s="54" t="s">
        <v>106</v>
      </c>
    </row>
    <row r="38" spans="1:12" s="55" customFormat="1" ht="19.5" customHeight="1" x14ac:dyDescent="0.3">
      <c r="A38" s="44"/>
      <c r="B38" s="76"/>
      <c r="C38" s="77">
        <v>22</v>
      </c>
      <c r="D38" s="78" t="s">
        <v>228</v>
      </c>
      <c r="E38" s="48">
        <v>40</v>
      </c>
      <c r="F38" s="49">
        <v>32.4</v>
      </c>
      <c r="G38" s="50"/>
      <c r="H38" s="51"/>
      <c r="I38" s="45"/>
      <c r="J38" s="52"/>
      <c r="K38" s="53">
        <f t="shared" si="0"/>
        <v>0</v>
      </c>
      <c r="L38" s="54" t="s">
        <v>106</v>
      </c>
    </row>
    <row r="39" spans="1:12" s="55" customFormat="1" ht="19.5" customHeight="1" x14ac:dyDescent="0.3">
      <c r="A39" s="44"/>
      <c r="B39" s="76"/>
      <c r="C39" s="77"/>
      <c r="D39" s="78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7696</v>
      </c>
      <c r="B40" s="76" t="s">
        <v>7695</v>
      </c>
      <c r="C40" s="77">
        <v>22</v>
      </c>
      <c r="D40" s="78" t="s">
        <v>228</v>
      </c>
      <c r="E40" s="48">
        <v>120</v>
      </c>
      <c r="F40" s="49">
        <v>92.5</v>
      </c>
      <c r="G40" s="50" t="s">
        <v>19</v>
      </c>
      <c r="H40" s="51">
        <v>1981</v>
      </c>
      <c r="I40" s="45">
        <v>3048</v>
      </c>
      <c r="J40" s="52">
        <v>17</v>
      </c>
      <c r="K40" s="53">
        <f t="shared" si="0"/>
        <v>102.64749600000002</v>
      </c>
      <c r="L40" s="54" t="s">
        <v>106</v>
      </c>
    </row>
    <row r="41" spans="1:12" s="55" customFormat="1" ht="19.5" customHeight="1" x14ac:dyDescent="0.3">
      <c r="A41" s="44"/>
      <c r="B41" s="76"/>
      <c r="C41" s="77">
        <v>22</v>
      </c>
      <c r="D41" s="78" t="s">
        <v>83</v>
      </c>
      <c r="E41" s="48">
        <v>5</v>
      </c>
      <c r="F41" s="49">
        <v>19.149999999999999</v>
      </c>
      <c r="G41" s="50" t="s">
        <v>39</v>
      </c>
      <c r="H41" s="51">
        <v>2134</v>
      </c>
      <c r="I41" s="45">
        <v>3353</v>
      </c>
      <c r="J41" s="52">
        <v>5</v>
      </c>
      <c r="K41" s="53">
        <f t="shared" si="0"/>
        <v>35.776510000000002</v>
      </c>
      <c r="L41" s="54" t="s">
        <v>106</v>
      </c>
    </row>
    <row r="42" spans="1:12" s="55" customFormat="1" ht="19.5" customHeight="1" x14ac:dyDescent="0.3">
      <c r="A42" s="44"/>
      <c r="B42" s="76"/>
      <c r="C42" s="77">
        <v>22</v>
      </c>
      <c r="D42" s="78" t="s">
        <v>228</v>
      </c>
      <c r="E42" s="48">
        <v>30</v>
      </c>
      <c r="F42" s="49">
        <v>19</v>
      </c>
      <c r="G42" s="50"/>
      <c r="H42" s="51"/>
      <c r="I42" s="45"/>
      <c r="J42" s="52"/>
      <c r="K42" s="53">
        <f t="shared" si="0"/>
        <v>0</v>
      </c>
      <c r="L42" s="54" t="s">
        <v>106</v>
      </c>
    </row>
    <row r="43" spans="1:12" s="55" customFormat="1" ht="19.5" customHeight="1" x14ac:dyDescent="0.3">
      <c r="A43" s="44"/>
      <c r="B43" s="76"/>
      <c r="C43" s="77"/>
      <c r="D43" s="78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7697</v>
      </c>
      <c r="B44" s="76" t="s">
        <v>7695</v>
      </c>
      <c r="C44" s="77">
        <v>22</v>
      </c>
      <c r="D44" s="78" t="s">
        <v>228</v>
      </c>
      <c r="E44" s="48">
        <v>120</v>
      </c>
      <c r="F44" s="49">
        <v>92.5</v>
      </c>
      <c r="G44" s="50" t="s">
        <v>19</v>
      </c>
      <c r="H44" s="51">
        <v>1981</v>
      </c>
      <c r="I44" s="45">
        <v>3048</v>
      </c>
      <c r="J44" s="52">
        <v>17</v>
      </c>
      <c r="K44" s="53">
        <f t="shared" si="0"/>
        <v>102.64749600000002</v>
      </c>
      <c r="L44" s="54" t="s">
        <v>106</v>
      </c>
    </row>
    <row r="45" spans="1:12" s="55" customFormat="1" ht="19.5" customHeight="1" x14ac:dyDescent="0.3">
      <c r="A45" s="44"/>
      <c r="B45" s="76"/>
      <c r="C45" s="77">
        <v>22</v>
      </c>
      <c r="D45" s="78" t="s">
        <v>83</v>
      </c>
      <c r="E45" s="48">
        <v>5</v>
      </c>
      <c r="F45" s="49">
        <v>19.149999999999999</v>
      </c>
      <c r="G45" s="50" t="s">
        <v>39</v>
      </c>
      <c r="H45" s="51">
        <v>2134</v>
      </c>
      <c r="I45" s="45">
        <v>3353</v>
      </c>
      <c r="J45" s="52">
        <v>7</v>
      </c>
      <c r="K45" s="53">
        <f t="shared" si="0"/>
        <v>50.087114</v>
      </c>
      <c r="L45" s="54" t="s">
        <v>106</v>
      </c>
    </row>
    <row r="46" spans="1:12" s="55" customFormat="1" ht="19.5" customHeight="1" x14ac:dyDescent="0.3">
      <c r="A46" s="44"/>
      <c r="B46" s="76"/>
      <c r="C46" s="77">
        <v>22</v>
      </c>
      <c r="D46" s="78" t="s">
        <v>228</v>
      </c>
      <c r="E46" s="48">
        <v>40</v>
      </c>
      <c r="F46" s="49">
        <v>32.4</v>
      </c>
      <c r="G46" s="50"/>
      <c r="H46" s="51"/>
      <c r="I46" s="45"/>
      <c r="J46" s="52"/>
      <c r="K46" s="53">
        <f t="shared" si="0"/>
        <v>0</v>
      </c>
      <c r="L46" s="54" t="s">
        <v>106</v>
      </c>
    </row>
    <row r="47" spans="1:12" s="55" customFormat="1" ht="19.5" customHeight="1" x14ac:dyDescent="0.3">
      <c r="A47" s="44"/>
      <c r="B47" s="76"/>
      <c r="C47" s="77"/>
      <c r="D47" s="78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7668</v>
      </c>
      <c r="B48" s="76" t="s">
        <v>6063</v>
      </c>
      <c r="C48" s="77">
        <v>22</v>
      </c>
      <c r="D48" s="78" t="s">
        <v>228</v>
      </c>
      <c r="E48" s="48">
        <f>150-50</f>
        <v>100</v>
      </c>
      <c r="F48" s="49">
        <v>41.8</v>
      </c>
      <c r="G48" s="50" t="s">
        <v>18</v>
      </c>
      <c r="H48" s="51">
        <v>1981</v>
      </c>
      <c r="I48" s="45">
        <v>3353</v>
      </c>
      <c r="J48" s="52">
        <v>12</v>
      </c>
      <c r="K48" s="53">
        <f t="shared" si="0"/>
        <v>79.707515999999998</v>
      </c>
      <c r="L48" s="54" t="s">
        <v>7698</v>
      </c>
    </row>
    <row r="49" spans="1:12" s="55" customFormat="1" ht="19.5" customHeight="1" x14ac:dyDescent="0.3">
      <c r="A49" s="44"/>
      <c r="B49" s="76"/>
      <c r="C49" s="77">
        <v>22</v>
      </c>
      <c r="D49" s="78" t="s">
        <v>228</v>
      </c>
      <c r="E49" s="48">
        <v>40</v>
      </c>
      <c r="F49" s="49">
        <v>32.4</v>
      </c>
      <c r="G49" s="50" t="s">
        <v>18</v>
      </c>
      <c r="H49" s="51">
        <v>2134</v>
      </c>
      <c r="I49" s="45">
        <v>3048</v>
      </c>
      <c r="J49" s="52">
        <v>1</v>
      </c>
      <c r="K49" s="53">
        <f t="shared" si="0"/>
        <v>6.5044319999999995</v>
      </c>
      <c r="L49" s="54" t="s">
        <v>7699</v>
      </c>
    </row>
    <row r="50" spans="1:12" s="55" customFormat="1" ht="19.5" customHeight="1" x14ac:dyDescent="0.3">
      <c r="A50" s="44"/>
      <c r="B50" s="76"/>
      <c r="C50" s="77"/>
      <c r="D50" s="78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94"/>
      <c r="B51" s="76"/>
      <c r="C51" s="77"/>
      <c r="D51" s="78"/>
      <c r="E51" s="48"/>
      <c r="F51" s="49"/>
      <c r="G51" s="50"/>
      <c r="H51" s="51"/>
      <c r="I51" s="45"/>
      <c r="J51" s="52"/>
      <c r="K51" s="53">
        <f t="shared" si="0"/>
        <v>0</v>
      </c>
      <c r="L51" s="6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9" customFormat="1" ht="20.100000000000001" customHeight="1" x14ac:dyDescent="0.3">
      <c r="A53" s="44"/>
      <c r="B53" s="45"/>
      <c r="C53" s="46"/>
      <c r="D53" s="47"/>
      <c r="E53" s="56"/>
      <c r="F53" s="57"/>
      <c r="G53" s="50"/>
      <c r="H53" s="51"/>
      <c r="I53" s="45"/>
      <c r="J53" s="52"/>
      <c r="K53" s="53">
        <f t="shared" si="0"/>
        <v>0</v>
      </c>
      <c r="L53" s="58">
        <f>SUM(J14:J54)</f>
        <v>156</v>
      </c>
    </row>
    <row r="54" spans="1:12" s="59" customFormat="1" ht="20.100000000000001" customHeight="1" x14ac:dyDescent="0.3">
      <c r="A54" s="44"/>
      <c r="B54" s="45"/>
      <c r="C54" s="46"/>
      <c r="D54" s="47"/>
      <c r="E54" s="60"/>
      <c r="F54" s="61"/>
      <c r="G54" s="62"/>
      <c r="H54" s="51"/>
      <c r="I54" s="45"/>
      <c r="J54" s="63"/>
      <c r="K54" s="53">
        <f t="shared" si="0"/>
        <v>0</v>
      </c>
      <c r="L54" s="64">
        <f>SUM(K14:K54)</f>
        <v>1011.3877570000002</v>
      </c>
    </row>
    <row r="55" spans="1:12" s="59" customFormat="1" ht="20.100000000000001" customHeight="1" thickBot="1" x14ac:dyDescent="0.35">
      <c r="A55" s="114"/>
      <c r="B55" s="115"/>
      <c r="C55" s="115"/>
      <c r="D55" s="115"/>
      <c r="E55" s="115"/>
      <c r="F55" s="115"/>
      <c r="G55" s="115"/>
      <c r="H55" s="115"/>
      <c r="I55" s="115"/>
      <c r="J55" s="65">
        <f>SUM(J7:J54)</f>
        <v>156</v>
      </c>
      <c r="K55" s="66">
        <f>SUM(K7:K54)</f>
        <v>1011.3877570000002</v>
      </c>
      <c r="L55" s="67"/>
    </row>
    <row r="56" spans="1:12" s="59" customFormat="1" ht="20.100000000000001" customHeight="1" thickTop="1" thickBot="1" x14ac:dyDescent="0.35">
      <c r="A56" s="116" t="s">
        <v>52</v>
      </c>
      <c r="B56" s="117"/>
      <c r="C56" s="104"/>
      <c r="D56" s="118">
        <f>J55</f>
        <v>156</v>
      </c>
      <c r="E56" s="119"/>
      <c r="F56" s="119"/>
      <c r="G56" s="120"/>
      <c r="H56" s="121"/>
      <c r="I56" s="121"/>
      <c r="J56" s="122"/>
      <c r="K56" s="119"/>
      <c r="L56" s="123"/>
    </row>
    <row r="57" spans="1:12" s="59" customFormat="1" ht="20.100000000000001" customHeight="1" x14ac:dyDescent="0.3">
      <c r="A57" s="103"/>
      <c r="B57" s="5"/>
      <c r="C57" s="5"/>
      <c r="D57" s="5"/>
      <c r="E57" s="5"/>
      <c r="F57" s="70"/>
      <c r="G57" s="5"/>
      <c r="H57" s="5"/>
      <c r="I57" s="5"/>
      <c r="J57" s="5"/>
      <c r="K57" s="5"/>
      <c r="L57" s="71"/>
    </row>
    <row r="58" spans="1:12" s="59" customFormat="1" ht="20.100000000000001" customHeight="1" x14ac:dyDescent="0.3">
      <c r="A58" s="103"/>
      <c r="B58" s="5"/>
      <c r="C58" s="5"/>
      <c r="D58" s="5"/>
      <c r="E58" s="5"/>
      <c r="F58" s="70"/>
      <c r="G58" s="5"/>
      <c r="H58" s="5"/>
      <c r="I58" s="5"/>
      <c r="J58" s="5"/>
      <c r="K58" s="5"/>
      <c r="L58" s="5"/>
    </row>
    <row r="59" spans="1:12" s="59" customFormat="1" ht="20.100000000000001" customHeight="1" x14ac:dyDescent="0.3">
      <c r="A59" s="103"/>
      <c r="B59" s="5"/>
      <c r="C59" s="5"/>
      <c r="D59" s="5"/>
      <c r="E59" s="5"/>
      <c r="F59" s="70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103"/>
      <c r="B60" s="5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113"/>
      <c r="B62" s="113"/>
      <c r="C62" s="5"/>
      <c r="D62" s="5"/>
      <c r="E62" s="72"/>
      <c r="F62" s="5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5"/>
      <c r="G63" s="73"/>
      <c r="H63" s="5"/>
      <c r="I63" s="74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03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70"/>
      <c r="G67" s="5"/>
      <c r="H67" s="72"/>
      <c r="I67" s="72"/>
      <c r="J67" s="5"/>
      <c r="K67" s="5"/>
      <c r="L67" s="5"/>
    </row>
    <row r="68" spans="1:12" ht="20.100000000000001" customHeight="1" x14ac:dyDescent="0.3">
      <c r="A68" s="113"/>
      <c r="B68" s="113"/>
      <c r="H68" s="72"/>
      <c r="I68" s="72"/>
    </row>
    <row r="69" spans="1:12" ht="20.100000000000001" customHeight="1" x14ac:dyDescent="0.3">
      <c r="H69" s="72"/>
      <c r="I69" s="72"/>
    </row>
    <row r="70" spans="1:12" ht="20.100000000000001" customHeight="1" x14ac:dyDescent="0.3">
      <c r="H70" s="72"/>
      <c r="I70" s="72"/>
    </row>
    <row r="71" spans="1:12" ht="20.100000000000001" customHeight="1" x14ac:dyDescent="0.3">
      <c r="A71" s="113"/>
      <c r="B71" s="113"/>
      <c r="H71" s="72"/>
      <c r="I71" s="72"/>
    </row>
    <row r="72" spans="1:12" ht="20.100000000000001" customHeight="1" x14ac:dyDescent="0.3">
      <c r="A72" s="113"/>
      <c r="B72" s="113"/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H75" s="72"/>
      <c r="I75" s="72"/>
    </row>
    <row r="76" spans="1:12" s="72" customFormat="1" ht="20.100000000000001" customHeight="1" x14ac:dyDescent="0.3">
      <c r="A76" s="103"/>
      <c r="B76" s="5"/>
      <c r="C76" s="5"/>
      <c r="D76" s="5"/>
      <c r="E76" s="5"/>
      <c r="F76" s="70"/>
      <c r="G76" s="5"/>
      <c r="J76" s="5"/>
      <c r="K76" s="5"/>
      <c r="L76" s="5"/>
    </row>
    <row r="77" spans="1:12" s="72" customFormat="1" ht="20.100000000000001" customHeight="1" x14ac:dyDescent="0.3">
      <c r="A77" s="103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75" customFormat="1" ht="20.100000000000001" customHeight="1" x14ac:dyDescent="0.3">
      <c r="A78" s="103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75" customFormat="1" ht="20.100000000000001" customHeight="1" x14ac:dyDescent="0.3">
      <c r="A79" s="103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75" customFormat="1" ht="19.5" customHeight="1" x14ac:dyDescent="0.3">
      <c r="A80" s="103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2" customFormat="1" ht="20.100000000000001" customHeight="1" x14ac:dyDescent="0.3">
      <c r="A81" s="103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2" customFormat="1" ht="20.100000000000001" customHeight="1" x14ac:dyDescent="0.3">
      <c r="A82" s="103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ht="19.5" customHeight="1" x14ac:dyDescent="0.3"/>
    <row r="84" spans="1:12" ht="19.5" customHeight="1" x14ac:dyDescent="0.3"/>
    <row r="85" spans="1:12" ht="19.5" customHeight="1" x14ac:dyDescent="0.3"/>
    <row r="86" spans="1:12" s="103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103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103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103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103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103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103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103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103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103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103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103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103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103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103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103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s="103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103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103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103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103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103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103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103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103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103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103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103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103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103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103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103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103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103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103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103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103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103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103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103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103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103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103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103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103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103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103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103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103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103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</sheetData>
  <mergeCells count="30">
    <mergeCell ref="A71:B71"/>
    <mergeCell ref="A72:B72"/>
    <mergeCell ref="A62:B62"/>
    <mergeCell ref="A63:B63"/>
    <mergeCell ref="A64:B64"/>
    <mergeCell ref="A66:B66"/>
    <mergeCell ref="A67:B67"/>
    <mergeCell ref="A68:B68"/>
    <mergeCell ref="A61:B6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5:I55"/>
    <mergeCell ref="A56:B56"/>
    <mergeCell ref="D56:G56"/>
    <mergeCell ref="H56:J56"/>
    <mergeCell ref="K56:L56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52"/>
  <sheetViews>
    <sheetView view="pageBreakPreview" topLeftCell="A43" zoomScale="85" zoomScaleNormal="100" zoomScaleSheetLayoutView="85" workbookViewId="0">
      <selection activeCell="K57" sqref="K57"/>
    </sheetView>
  </sheetViews>
  <sheetFormatPr defaultRowHeight="13.5" x14ac:dyDescent="0.3"/>
  <cols>
    <col min="1" max="1" width="8.625" style="100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46252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0" si="0">(H7/1000*I7/1000)*J7</f>
        <v>0</v>
      </c>
      <c r="L7" s="26">
        <f>SUM(J7:J13)</f>
        <v>0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SUM(K7:K13)</f>
        <v>0</v>
      </c>
    </row>
    <row r="9" spans="1:12" s="27" customFormat="1" ht="19.5" customHeight="1" x14ac:dyDescent="0.3">
      <c r="A9" s="28"/>
      <c r="B9" s="16"/>
      <c r="C9" s="17"/>
      <c r="D9" s="18"/>
      <c r="E9" s="41"/>
      <c r="F9" s="42"/>
      <c r="G9" s="34"/>
      <c r="H9" s="35"/>
      <c r="I9" s="36"/>
      <c r="J9" s="37"/>
      <c r="K9" s="25">
        <f t="shared" si="0"/>
        <v>0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>
        <f t="shared" si="0"/>
        <v>0</v>
      </c>
      <c r="L12" s="39"/>
    </row>
    <row r="13" spans="1:12" s="27" customFormat="1" ht="19.5" customHeight="1" x14ac:dyDescent="0.3">
      <c r="A13" s="28"/>
      <c r="B13" s="29"/>
      <c r="C13" s="30"/>
      <c r="D13" s="31"/>
      <c r="E13" s="41"/>
      <c r="F13" s="42"/>
      <c r="G13" s="43"/>
      <c r="H13" s="35"/>
      <c r="I13" s="36"/>
      <c r="J13" s="37"/>
      <c r="K13" s="85">
        <f t="shared" si="0"/>
        <v>0</v>
      </c>
      <c r="L13" s="39"/>
    </row>
    <row r="14" spans="1:12" s="55" customFormat="1" ht="19.5" customHeight="1" x14ac:dyDescent="0.3">
      <c r="A14" s="44"/>
      <c r="B14" s="45"/>
      <c r="C14" s="46"/>
      <c r="D14" s="47"/>
      <c r="E14" s="48"/>
      <c r="F14" s="49"/>
      <c r="G14" s="50"/>
      <c r="H14" s="51"/>
      <c r="I14" s="45"/>
      <c r="J14" s="52"/>
      <c r="K14" s="53">
        <f t="shared" si="0"/>
        <v>0</v>
      </c>
      <c r="L14" s="54"/>
    </row>
    <row r="15" spans="1:12" s="55" customFormat="1" ht="19.5" customHeight="1" x14ac:dyDescent="0.3">
      <c r="A15" s="44" t="s">
        <v>7628</v>
      </c>
      <c r="B15" s="76" t="s">
        <v>7629</v>
      </c>
      <c r="C15" s="77">
        <v>43</v>
      </c>
      <c r="D15" s="78" t="s">
        <v>7630</v>
      </c>
      <c r="E15" s="48">
        <v>2</v>
      </c>
      <c r="F15" s="49">
        <v>6.48</v>
      </c>
      <c r="G15" s="50" t="s">
        <v>7631</v>
      </c>
      <c r="H15" s="51">
        <v>2134</v>
      </c>
      <c r="I15" s="45">
        <v>3048</v>
      </c>
      <c r="J15" s="52">
        <v>4</v>
      </c>
      <c r="K15" s="53">
        <f t="shared" si="0"/>
        <v>26.017727999999998</v>
      </c>
      <c r="L15" s="54"/>
    </row>
    <row r="16" spans="1:12" s="55" customFormat="1" ht="19.5" customHeight="1" x14ac:dyDescent="0.3">
      <c r="A16" s="44"/>
      <c r="B16" s="76"/>
      <c r="C16" s="77"/>
      <c r="D16" s="78"/>
      <c r="E16" s="48"/>
      <c r="F16" s="49"/>
      <c r="G16" s="50" t="s">
        <v>7632</v>
      </c>
      <c r="H16" s="51">
        <v>2134</v>
      </c>
      <c r="I16" s="45">
        <v>3658</v>
      </c>
      <c r="J16" s="52">
        <v>1</v>
      </c>
      <c r="K16" s="53">
        <f t="shared" si="0"/>
        <v>7.8061719999999992</v>
      </c>
      <c r="L16" s="54"/>
    </row>
    <row r="17" spans="1:12" s="55" customFormat="1" ht="19.5" customHeight="1" x14ac:dyDescent="0.3">
      <c r="A17" s="44"/>
      <c r="B17" s="76"/>
      <c r="C17" s="77"/>
      <c r="D17" s="78"/>
      <c r="E17" s="48"/>
      <c r="F17" s="49"/>
      <c r="G17" s="50"/>
      <c r="H17" s="51"/>
      <c r="I17" s="45"/>
      <c r="J17" s="52"/>
      <c r="K17" s="53">
        <f t="shared" si="0"/>
        <v>0</v>
      </c>
      <c r="L17" s="54"/>
    </row>
    <row r="18" spans="1:12" s="55" customFormat="1" ht="19.5" customHeight="1" x14ac:dyDescent="0.3">
      <c r="A18" s="44" t="s">
        <v>7633</v>
      </c>
      <c r="B18" s="76" t="s">
        <v>7634</v>
      </c>
      <c r="C18" s="77">
        <v>5</v>
      </c>
      <c r="D18" s="78" t="s">
        <v>7635</v>
      </c>
      <c r="E18" s="48">
        <v>28</v>
      </c>
      <c r="F18" s="49">
        <v>18.41</v>
      </c>
      <c r="G18" s="50" t="s">
        <v>7632</v>
      </c>
      <c r="H18" s="51">
        <v>1981</v>
      </c>
      <c r="I18" s="45">
        <v>3353</v>
      </c>
      <c r="J18" s="52">
        <v>3</v>
      </c>
      <c r="K18" s="53">
        <f t="shared" si="0"/>
        <v>19.926879</v>
      </c>
      <c r="L18" s="54"/>
    </row>
    <row r="19" spans="1:12" s="55" customFormat="1" ht="19.5" customHeight="1" x14ac:dyDescent="0.3">
      <c r="A19" s="44"/>
      <c r="B19" s="76"/>
      <c r="C19" s="77"/>
      <c r="D19" s="78"/>
      <c r="E19" s="48"/>
      <c r="F19" s="49"/>
      <c r="G19" s="50"/>
      <c r="H19" s="51"/>
      <c r="I19" s="45"/>
      <c r="J19" s="52"/>
      <c r="K19" s="53">
        <f t="shared" si="0"/>
        <v>0</v>
      </c>
      <c r="L19" s="54"/>
    </row>
    <row r="20" spans="1:12" s="55" customFormat="1" ht="19.5" customHeight="1" x14ac:dyDescent="0.3">
      <c r="A20" s="44" t="s">
        <v>7636</v>
      </c>
      <c r="B20" s="76" t="s">
        <v>7637</v>
      </c>
      <c r="C20" s="77">
        <v>22</v>
      </c>
      <c r="D20" s="78" t="s">
        <v>7638</v>
      </c>
      <c r="E20" s="48">
        <v>1</v>
      </c>
      <c r="F20" s="49">
        <v>2.38</v>
      </c>
      <c r="G20" s="50" t="s">
        <v>7639</v>
      </c>
      <c r="H20" s="51">
        <v>1981</v>
      </c>
      <c r="I20" s="45">
        <v>3353</v>
      </c>
      <c r="J20" s="52">
        <v>1</v>
      </c>
      <c r="K20" s="53">
        <f t="shared" si="0"/>
        <v>6.6422930000000004</v>
      </c>
      <c r="L20" s="54" t="s">
        <v>7643</v>
      </c>
    </row>
    <row r="21" spans="1:12" s="55" customFormat="1" ht="19.5" customHeight="1" x14ac:dyDescent="0.3">
      <c r="A21" s="44"/>
      <c r="B21" s="76"/>
      <c r="C21" s="77"/>
      <c r="D21" s="78"/>
      <c r="E21" s="48"/>
      <c r="F21" s="49"/>
      <c r="G21" s="50"/>
      <c r="H21" s="51"/>
      <c r="I21" s="45"/>
      <c r="J21" s="52"/>
      <c r="K21" s="53">
        <f t="shared" si="0"/>
        <v>0</v>
      </c>
      <c r="L21" s="54"/>
    </row>
    <row r="22" spans="1:12" s="55" customFormat="1" ht="19.5" customHeight="1" x14ac:dyDescent="0.3">
      <c r="A22" s="44" t="s">
        <v>7640</v>
      </c>
      <c r="B22" s="76" t="s">
        <v>7641</v>
      </c>
      <c r="C22" s="77">
        <v>27.76</v>
      </c>
      <c r="D22" s="78" t="s">
        <v>7642</v>
      </c>
      <c r="E22" s="48">
        <v>1</v>
      </c>
      <c r="F22" s="49">
        <v>2.93</v>
      </c>
      <c r="G22" s="50" t="s">
        <v>7639</v>
      </c>
      <c r="H22" s="51">
        <v>1981</v>
      </c>
      <c r="I22" s="45">
        <v>3353</v>
      </c>
      <c r="J22" s="52">
        <v>1</v>
      </c>
      <c r="K22" s="53">
        <f t="shared" si="0"/>
        <v>6.6422930000000004</v>
      </c>
      <c r="L22" s="54"/>
    </row>
    <row r="23" spans="1:12" s="55" customFormat="1" ht="19.5" customHeight="1" x14ac:dyDescent="0.3">
      <c r="A23" s="44"/>
      <c r="B23" s="76"/>
      <c r="C23" s="77"/>
      <c r="D23" s="78"/>
      <c r="E23" s="48"/>
      <c r="F23" s="49"/>
      <c r="G23" s="50"/>
      <c r="H23" s="51"/>
      <c r="I23" s="45"/>
      <c r="J23" s="52"/>
      <c r="K23" s="53">
        <f t="shared" si="0"/>
        <v>0</v>
      </c>
      <c r="L23" s="54"/>
    </row>
    <row r="24" spans="1:12" s="55" customFormat="1" ht="19.5" customHeight="1" x14ac:dyDescent="0.3">
      <c r="A24" s="44" t="s">
        <v>7644</v>
      </c>
      <c r="B24" s="76" t="s">
        <v>7645</v>
      </c>
      <c r="C24" s="77">
        <v>35</v>
      </c>
      <c r="D24" s="78" t="s">
        <v>7646</v>
      </c>
      <c r="E24" s="48">
        <v>2</v>
      </c>
      <c r="F24" s="49">
        <v>0.56000000000000005</v>
      </c>
      <c r="G24" s="50"/>
      <c r="H24" s="51"/>
      <c r="I24" s="45"/>
      <c r="J24" s="52"/>
      <c r="K24" s="53">
        <f t="shared" si="0"/>
        <v>0</v>
      </c>
      <c r="L24" s="54" t="s">
        <v>7647</v>
      </c>
    </row>
    <row r="25" spans="1:12" s="55" customFormat="1" ht="19.5" customHeight="1" x14ac:dyDescent="0.3">
      <c r="A25" s="44"/>
      <c r="B25" s="76"/>
      <c r="C25" s="77"/>
      <c r="D25" s="78"/>
      <c r="E25" s="48"/>
      <c r="F25" s="49"/>
      <c r="G25" s="50"/>
      <c r="H25" s="51"/>
      <c r="I25" s="45"/>
      <c r="J25" s="52"/>
      <c r="K25" s="53">
        <f t="shared" si="0"/>
        <v>0</v>
      </c>
      <c r="L25" s="54"/>
    </row>
    <row r="26" spans="1:12" s="55" customFormat="1" ht="19.5" customHeight="1" x14ac:dyDescent="0.3">
      <c r="A26" s="44" t="s">
        <v>7648</v>
      </c>
      <c r="B26" s="76" t="s">
        <v>7649</v>
      </c>
      <c r="C26" s="77">
        <v>24</v>
      </c>
      <c r="D26" s="78" t="s">
        <v>7650</v>
      </c>
      <c r="E26" s="48">
        <v>1</v>
      </c>
      <c r="F26" s="49">
        <v>3.78</v>
      </c>
      <c r="G26" s="50" t="s">
        <v>7652</v>
      </c>
      <c r="H26" s="51">
        <v>2438</v>
      </c>
      <c r="I26" s="45">
        <v>3353</v>
      </c>
      <c r="J26" s="52">
        <v>4</v>
      </c>
      <c r="K26" s="53">
        <f t="shared" si="0"/>
        <v>32.698456</v>
      </c>
      <c r="L26" s="54" t="s">
        <v>7654</v>
      </c>
    </row>
    <row r="27" spans="1:12" s="55" customFormat="1" ht="19.5" customHeight="1" x14ac:dyDescent="0.3">
      <c r="A27" s="44" t="s">
        <v>7651</v>
      </c>
      <c r="B27" s="76" t="s">
        <v>7649</v>
      </c>
      <c r="C27" s="77">
        <v>24</v>
      </c>
      <c r="D27" s="78" t="s">
        <v>7650</v>
      </c>
      <c r="E27" s="48">
        <v>20</v>
      </c>
      <c r="F27" s="49">
        <v>24.69</v>
      </c>
      <c r="G27" s="50" t="s">
        <v>7653</v>
      </c>
      <c r="H27" s="51">
        <v>2438</v>
      </c>
      <c r="I27" s="45">
        <v>3353</v>
      </c>
      <c r="J27" s="52">
        <v>4</v>
      </c>
      <c r="K27" s="53">
        <f t="shared" si="0"/>
        <v>32.698456</v>
      </c>
      <c r="L27" s="54" t="s">
        <v>7654</v>
      </c>
    </row>
    <row r="28" spans="1:12" s="55" customFormat="1" ht="19.5" customHeight="1" x14ac:dyDescent="0.3">
      <c r="A28" s="44"/>
      <c r="B28" s="76"/>
      <c r="C28" s="77"/>
      <c r="D28" s="78"/>
      <c r="E28" s="48"/>
      <c r="F28" s="49"/>
      <c r="G28" s="50"/>
      <c r="H28" s="51"/>
      <c r="I28" s="45"/>
      <c r="J28" s="52"/>
      <c r="K28" s="53">
        <f t="shared" si="0"/>
        <v>0</v>
      </c>
      <c r="L28" s="54"/>
    </row>
    <row r="29" spans="1:12" s="55" customFormat="1" ht="19.5" customHeight="1" x14ac:dyDescent="0.3">
      <c r="A29" s="44" t="s">
        <v>7655</v>
      </c>
      <c r="B29" s="76" t="s">
        <v>7656</v>
      </c>
      <c r="C29" s="77">
        <v>22</v>
      </c>
      <c r="D29" s="78" t="s">
        <v>7657</v>
      </c>
      <c r="E29" s="48">
        <v>88</v>
      </c>
      <c r="F29" s="49">
        <v>60.48</v>
      </c>
      <c r="G29" s="50" t="s">
        <v>7659</v>
      </c>
      <c r="H29" s="51">
        <v>1981</v>
      </c>
      <c r="I29" s="45">
        <v>3353</v>
      </c>
      <c r="J29" s="52">
        <v>9</v>
      </c>
      <c r="K29" s="53">
        <f t="shared" si="0"/>
        <v>59.780637000000006</v>
      </c>
      <c r="L29" s="54"/>
    </row>
    <row r="30" spans="1:12" s="55" customFormat="1" ht="19.5" customHeight="1" x14ac:dyDescent="0.3">
      <c r="A30" s="44"/>
      <c r="B30" s="76"/>
      <c r="C30" s="77">
        <v>22</v>
      </c>
      <c r="D30" s="78" t="s">
        <v>7658</v>
      </c>
      <c r="E30" s="48">
        <v>72</v>
      </c>
      <c r="F30" s="49">
        <v>70.08</v>
      </c>
      <c r="G30" s="50" t="s">
        <v>7632</v>
      </c>
      <c r="H30" s="51">
        <v>1981</v>
      </c>
      <c r="I30" s="45">
        <v>3353</v>
      </c>
      <c r="J30" s="52">
        <v>12</v>
      </c>
      <c r="K30" s="53">
        <f t="shared" si="0"/>
        <v>79.707515999999998</v>
      </c>
      <c r="L30" s="54"/>
    </row>
    <row r="31" spans="1:12" s="55" customFormat="1" ht="19.5" customHeight="1" x14ac:dyDescent="0.3">
      <c r="A31" s="44"/>
      <c r="B31" s="76"/>
      <c r="C31" s="77"/>
      <c r="D31" s="78"/>
      <c r="E31" s="48"/>
      <c r="F31" s="49"/>
      <c r="G31" s="50" t="s">
        <v>7660</v>
      </c>
      <c r="H31" s="51">
        <v>1981</v>
      </c>
      <c r="I31" s="45">
        <v>3353</v>
      </c>
      <c r="J31" s="52">
        <v>20</v>
      </c>
      <c r="K31" s="53">
        <f t="shared" si="0"/>
        <v>132.84586000000002</v>
      </c>
      <c r="L31" s="54"/>
    </row>
    <row r="32" spans="1:12" s="55" customFormat="1" ht="19.5" customHeight="1" x14ac:dyDescent="0.3">
      <c r="A32" s="44"/>
      <c r="B32" s="76"/>
      <c r="C32" s="77"/>
      <c r="D32" s="78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7661</v>
      </c>
      <c r="B33" s="76" t="s">
        <v>7662</v>
      </c>
      <c r="C33" s="77">
        <v>22</v>
      </c>
      <c r="D33" s="78" t="s">
        <v>7663</v>
      </c>
      <c r="E33" s="48">
        <v>120</v>
      </c>
      <c r="F33" s="49">
        <v>92.5</v>
      </c>
      <c r="G33" s="50" t="s">
        <v>7660</v>
      </c>
      <c r="H33" s="51">
        <v>1981</v>
      </c>
      <c r="I33" s="45">
        <v>3048</v>
      </c>
      <c r="J33" s="52">
        <v>12</v>
      </c>
      <c r="K33" s="53">
        <f t="shared" si="0"/>
        <v>72.457056000000009</v>
      </c>
      <c r="L33" s="54" t="s">
        <v>7664</v>
      </c>
    </row>
    <row r="34" spans="1:12" s="55" customFormat="1" ht="19.5" customHeight="1" x14ac:dyDescent="0.3">
      <c r="A34" s="44"/>
      <c r="B34" s="76"/>
      <c r="C34" s="77">
        <v>22</v>
      </c>
      <c r="D34" s="78" t="s">
        <v>7663</v>
      </c>
      <c r="E34" s="48">
        <v>40</v>
      </c>
      <c r="F34" s="49">
        <v>32.4</v>
      </c>
      <c r="G34" s="50" t="s">
        <v>7660</v>
      </c>
      <c r="H34" s="51">
        <v>2134</v>
      </c>
      <c r="I34" s="45">
        <v>3048</v>
      </c>
      <c r="J34" s="52">
        <v>1</v>
      </c>
      <c r="K34" s="53">
        <f t="shared" si="0"/>
        <v>6.5044319999999995</v>
      </c>
      <c r="L34" s="54" t="s">
        <v>7664</v>
      </c>
    </row>
    <row r="35" spans="1:12" s="55" customFormat="1" ht="19.5" customHeight="1" x14ac:dyDescent="0.3">
      <c r="A35" s="44"/>
      <c r="B35" s="76"/>
      <c r="C35" s="77"/>
      <c r="D35" s="78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7665</v>
      </c>
      <c r="B36" s="76" t="s">
        <v>7656</v>
      </c>
      <c r="C36" s="77">
        <v>22</v>
      </c>
      <c r="D36" s="78" t="s">
        <v>7657</v>
      </c>
      <c r="E36" s="48">
        <v>75</v>
      </c>
      <c r="F36" s="49">
        <v>51.7</v>
      </c>
      <c r="G36" s="50" t="s">
        <v>7659</v>
      </c>
      <c r="H36" s="51">
        <v>1981</v>
      </c>
      <c r="I36" s="45">
        <v>3353</v>
      </c>
      <c r="J36" s="52">
        <v>8</v>
      </c>
      <c r="K36" s="53">
        <f t="shared" si="0"/>
        <v>53.138344000000004</v>
      </c>
      <c r="L36" s="54"/>
    </row>
    <row r="37" spans="1:12" s="55" customFormat="1" ht="19.5" customHeight="1" x14ac:dyDescent="0.3">
      <c r="A37" s="44"/>
      <c r="B37" s="76"/>
      <c r="C37" s="77"/>
      <c r="D37" s="78"/>
      <c r="E37" s="48"/>
      <c r="F37" s="49"/>
      <c r="G37" s="50" t="s">
        <v>7660</v>
      </c>
      <c r="H37" s="51">
        <v>1981</v>
      </c>
      <c r="I37" s="45">
        <v>3353</v>
      </c>
      <c r="J37" s="52">
        <v>8</v>
      </c>
      <c r="K37" s="53">
        <f t="shared" si="0"/>
        <v>53.138344000000004</v>
      </c>
      <c r="L37" s="54"/>
    </row>
    <row r="38" spans="1:12" s="55" customFormat="1" ht="19.5" customHeight="1" x14ac:dyDescent="0.3">
      <c r="A38" s="44"/>
      <c r="B38" s="76"/>
      <c r="C38" s="77"/>
      <c r="D38" s="78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7666</v>
      </c>
      <c r="B39" s="76"/>
      <c r="C39" s="77"/>
      <c r="D39" s="78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7667</v>
      </c>
      <c r="B40" s="76" t="s">
        <v>3370</v>
      </c>
      <c r="C40" s="77">
        <v>22</v>
      </c>
      <c r="D40" s="78" t="s">
        <v>45</v>
      </c>
      <c r="E40" s="48">
        <v>88</v>
      </c>
      <c r="F40" s="49">
        <v>60.48</v>
      </c>
      <c r="G40" s="50" t="s">
        <v>49</v>
      </c>
      <c r="H40" s="51">
        <v>1981</v>
      </c>
      <c r="I40" s="45">
        <v>3353</v>
      </c>
      <c r="J40" s="52">
        <v>9</v>
      </c>
      <c r="K40" s="53">
        <f t="shared" si="0"/>
        <v>59.780637000000006</v>
      </c>
      <c r="L40" s="54"/>
    </row>
    <row r="41" spans="1:12" s="55" customFormat="1" ht="19.5" customHeight="1" x14ac:dyDescent="0.3">
      <c r="A41" s="44"/>
      <c r="B41" s="76"/>
      <c r="C41" s="77">
        <v>22</v>
      </c>
      <c r="D41" s="78" t="s">
        <v>17</v>
      </c>
      <c r="E41" s="48">
        <v>72</v>
      </c>
      <c r="F41" s="49">
        <v>70.08</v>
      </c>
      <c r="G41" s="50" t="s">
        <v>18</v>
      </c>
      <c r="H41" s="51">
        <v>1981</v>
      </c>
      <c r="I41" s="45">
        <v>3353</v>
      </c>
      <c r="J41" s="52">
        <v>11</v>
      </c>
      <c r="K41" s="53">
        <f t="shared" ref="K41:K49" si="1">(H41/1000*I41/1000)*J41</f>
        <v>73.065223000000003</v>
      </c>
      <c r="L41" s="54"/>
    </row>
    <row r="42" spans="1:12" s="55" customFormat="1" ht="19.5" customHeight="1" x14ac:dyDescent="0.3">
      <c r="A42" s="44"/>
      <c r="B42" s="76"/>
      <c r="C42" s="77"/>
      <c r="D42" s="78"/>
      <c r="E42" s="48"/>
      <c r="F42" s="49"/>
      <c r="G42" s="50" t="s">
        <v>19</v>
      </c>
      <c r="H42" s="51">
        <v>1981</v>
      </c>
      <c r="I42" s="45">
        <v>3353</v>
      </c>
      <c r="J42" s="52">
        <v>17</v>
      </c>
      <c r="K42" s="53">
        <f t="shared" si="1"/>
        <v>112.918981</v>
      </c>
      <c r="L42" s="54"/>
    </row>
    <row r="43" spans="1:12" s="55" customFormat="1" ht="19.5" customHeight="1" x14ac:dyDescent="0.3">
      <c r="A43" s="44"/>
      <c r="B43" s="76"/>
      <c r="C43" s="77"/>
      <c r="D43" s="78"/>
      <c r="E43" s="48"/>
      <c r="F43" s="49"/>
      <c r="G43" s="50" t="s">
        <v>19</v>
      </c>
      <c r="H43" s="51">
        <v>1981</v>
      </c>
      <c r="I43" s="45">
        <v>3048</v>
      </c>
      <c r="J43" s="52">
        <v>3</v>
      </c>
      <c r="K43" s="53">
        <f t="shared" si="1"/>
        <v>18.114264000000002</v>
      </c>
      <c r="L43" s="54"/>
    </row>
    <row r="44" spans="1:12" s="55" customFormat="1" ht="19.5" customHeight="1" x14ac:dyDescent="0.3">
      <c r="A44" s="44"/>
      <c r="B44" s="76"/>
      <c r="C44" s="77"/>
      <c r="D44" s="78"/>
      <c r="E44" s="48"/>
      <c r="F44" s="49"/>
      <c r="G44" s="50"/>
      <c r="H44" s="51"/>
      <c r="I44" s="45"/>
      <c r="J44" s="52"/>
      <c r="K44" s="53">
        <f t="shared" si="1"/>
        <v>0</v>
      </c>
      <c r="L44" s="54"/>
    </row>
    <row r="45" spans="1:12" s="55" customFormat="1" ht="19.5" customHeight="1" x14ac:dyDescent="0.3">
      <c r="A45" s="44" t="s">
        <v>7195</v>
      </c>
      <c r="B45" s="76" t="s">
        <v>3370</v>
      </c>
      <c r="C45" s="77">
        <v>22</v>
      </c>
      <c r="D45" s="78" t="s">
        <v>17</v>
      </c>
      <c r="E45" s="48">
        <v>62</v>
      </c>
      <c r="F45" s="49">
        <v>61.04</v>
      </c>
      <c r="G45" s="50" t="s">
        <v>18</v>
      </c>
      <c r="H45" s="51">
        <v>1981</v>
      </c>
      <c r="I45" s="45">
        <v>3353</v>
      </c>
      <c r="J45" s="52">
        <v>10</v>
      </c>
      <c r="K45" s="53">
        <f t="shared" si="1"/>
        <v>66.422930000000008</v>
      </c>
      <c r="L45" s="54"/>
    </row>
    <row r="46" spans="1:12" s="55" customFormat="1" ht="19.5" customHeight="1" x14ac:dyDescent="0.3">
      <c r="A46" s="44"/>
      <c r="B46" s="76"/>
      <c r="C46" s="77"/>
      <c r="D46" s="78"/>
      <c r="E46" s="48"/>
      <c r="F46" s="49"/>
      <c r="G46" s="50" t="s">
        <v>19</v>
      </c>
      <c r="H46" s="51">
        <v>1981</v>
      </c>
      <c r="I46" s="45">
        <v>3353</v>
      </c>
      <c r="J46" s="52">
        <v>10</v>
      </c>
      <c r="K46" s="53">
        <f t="shared" si="1"/>
        <v>66.422930000000008</v>
      </c>
      <c r="L46" s="54"/>
    </row>
    <row r="47" spans="1:12" s="55" customFormat="1" ht="19.5" customHeight="1" x14ac:dyDescent="0.3">
      <c r="A47" s="44"/>
      <c r="B47" s="76"/>
      <c r="C47" s="77"/>
      <c r="D47" s="78"/>
      <c r="E47" s="48"/>
      <c r="F47" s="49"/>
      <c r="G47" s="50"/>
      <c r="H47" s="51"/>
      <c r="I47" s="45"/>
      <c r="J47" s="52"/>
      <c r="K47" s="53">
        <f t="shared" si="1"/>
        <v>0</v>
      </c>
      <c r="L47" s="54"/>
    </row>
    <row r="48" spans="1:12" s="55" customFormat="1" ht="19.5" customHeight="1" x14ac:dyDescent="0.3">
      <c r="A48" s="44" t="s">
        <v>7668</v>
      </c>
      <c r="B48" s="76" t="s">
        <v>7669</v>
      </c>
      <c r="C48" s="77">
        <v>22</v>
      </c>
      <c r="D48" s="78" t="s">
        <v>7672</v>
      </c>
      <c r="E48" s="48">
        <v>50</v>
      </c>
      <c r="F48" s="49">
        <v>77.599999999999994</v>
      </c>
      <c r="G48" s="50" t="s">
        <v>7673</v>
      </c>
      <c r="H48" s="51">
        <v>1981</v>
      </c>
      <c r="I48" s="45">
        <v>3353</v>
      </c>
      <c r="J48" s="52">
        <v>12</v>
      </c>
      <c r="K48" s="53">
        <f t="shared" si="1"/>
        <v>79.707515999999998</v>
      </c>
      <c r="L48" s="54" t="s">
        <v>7682</v>
      </c>
    </row>
    <row r="49" spans="1:12" s="55" customFormat="1" ht="19.5" customHeight="1" x14ac:dyDescent="0.3">
      <c r="A49" s="44"/>
      <c r="B49" s="76"/>
      <c r="C49" s="77"/>
      <c r="D49" s="78"/>
      <c r="E49" s="48"/>
      <c r="F49" s="49"/>
      <c r="G49" s="50"/>
      <c r="H49" s="51"/>
      <c r="I49" s="45"/>
      <c r="J49" s="52"/>
      <c r="K49" s="53">
        <f t="shared" si="1"/>
        <v>0</v>
      </c>
      <c r="L49" s="54"/>
    </row>
    <row r="50" spans="1:12" s="55" customFormat="1" ht="19.5" customHeight="1" x14ac:dyDescent="0.3">
      <c r="A50" s="44" t="s">
        <v>7671</v>
      </c>
      <c r="B50" s="76" t="s">
        <v>7669</v>
      </c>
      <c r="C50" s="77">
        <v>22</v>
      </c>
      <c r="D50" s="78" t="s">
        <v>7672</v>
      </c>
      <c r="E50" s="48">
        <v>10</v>
      </c>
      <c r="F50" s="49">
        <v>13.4</v>
      </c>
      <c r="G50" s="50" t="s">
        <v>7675</v>
      </c>
      <c r="H50" s="51">
        <v>2134</v>
      </c>
      <c r="I50" s="45">
        <v>3353</v>
      </c>
      <c r="J50" s="52">
        <v>5</v>
      </c>
      <c r="K50" s="53">
        <f t="shared" si="0"/>
        <v>35.776510000000002</v>
      </c>
      <c r="L50" s="54" t="s">
        <v>7676</v>
      </c>
    </row>
    <row r="51" spans="1:12" s="55" customFormat="1" ht="19.5" customHeight="1" x14ac:dyDescent="0.3">
      <c r="A51" s="44" t="s">
        <v>7674</v>
      </c>
      <c r="B51" s="76" t="s">
        <v>7669</v>
      </c>
      <c r="C51" s="77">
        <v>22</v>
      </c>
      <c r="D51" s="78" t="s">
        <v>7681</v>
      </c>
      <c r="E51" s="48">
        <v>5</v>
      </c>
      <c r="F51" s="49">
        <v>19.149999999999999</v>
      </c>
      <c r="G51" s="50"/>
      <c r="H51" s="51"/>
      <c r="I51" s="45"/>
      <c r="J51" s="52"/>
      <c r="K51" s="53">
        <f t="shared" si="0"/>
        <v>0</v>
      </c>
      <c r="L51" s="54" t="s">
        <v>7677</v>
      </c>
    </row>
    <row r="52" spans="1:12" s="55" customFormat="1" ht="19.5" customHeight="1" x14ac:dyDescent="0.3">
      <c r="A52" s="44"/>
      <c r="B52" s="76"/>
      <c r="C52" s="77"/>
      <c r="D52" s="78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7678</v>
      </c>
      <c r="B53" s="76" t="s">
        <v>7679</v>
      </c>
      <c r="C53" s="77">
        <v>22</v>
      </c>
      <c r="D53" s="78" t="s">
        <v>7680</v>
      </c>
      <c r="E53" s="48">
        <v>280</v>
      </c>
      <c r="F53" s="49">
        <v>229</v>
      </c>
      <c r="G53" s="50" t="s">
        <v>7673</v>
      </c>
      <c r="H53" s="51">
        <v>1981</v>
      </c>
      <c r="I53" s="45">
        <v>3353</v>
      </c>
      <c r="J53" s="52">
        <v>33</v>
      </c>
      <c r="K53" s="53">
        <f t="shared" si="0"/>
        <v>219.19566900000001</v>
      </c>
      <c r="L53" s="54" t="s">
        <v>7670</v>
      </c>
    </row>
    <row r="54" spans="1:12" s="55" customFormat="1" ht="19.5" customHeight="1" x14ac:dyDescent="0.3">
      <c r="A54" s="94"/>
      <c r="B54" s="76"/>
      <c r="C54" s="77"/>
      <c r="D54" s="78"/>
      <c r="E54" s="48"/>
      <c r="F54" s="49"/>
      <c r="G54" s="50"/>
      <c r="H54" s="51"/>
      <c r="I54" s="45"/>
      <c r="J54" s="52"/>
      <c r="K54" s="53">
        <f t="shared" si="0"/>
        <v>0</v>
      </c>
      <c r="L54" s="64"/>
    </row>
    <row r="55" spans="1:12" s="55" customFormat="1" ht="19.5" customHeight="1" x14ac:dyDescent="0.3">
      <c r="A55" s="94"/>
      <c r="B55" s="76"/>
      <c r="C55" s="77"/>
      <c r="D55" s="78"/>
      <c r="E55" s="48"/>
      <c r="F55" s="49"/>
      <c r="G55" s="50"/>
      <c r="H55" s="51"/>
      <c r="I55" s="45"/>
      <c r="J55" s="52"/>
      <c r="K55" s="53">
        <f t="shared" si="0"/>
        <v>0</v>
      </c>
      <c r="L55" s="64"/>
    </row>
    <row r="56" spans="1:12" s="55" customFormat="1" ht="19.5" customHeight="1" x14ac:dyDescent="0.3">
      <c r="A56" s="94"/>
      <c r="B56" s="76"/>
      <c r="C56" s="77"/>
      <c r="D56" s="78"/>
      <c r="E56" s="48"/>
      <c r="F56" s="49"/>
      <c r="G56" s="50"/>
      <c r="H56" s="51"/>
      <c r="I56" s="45"/>
      <c r="J56" s="52"/>
      <c r="K56" s="53">
        <f t="shared" si="0"/>
        <v>0</v>
      </c>
      <c r="L56" s="64"/>
    </row>
    <row r="57" spans="1:12" s="55" customFormat="1" ht="19.5" customHeight="1" x14ac:dyDescent="0.3">
      <c r="A57" s="94"/>
      <c r="B57" s="76"/>
      <c r="C57" s="77"/>
      <c r="D57" s="78"/>
      <c r="E57" s="48"/>
      <c r="F57" s="49"/>
      <c r="G57" s="50"/>
      <c r="H57" s="51"/>
      <c r="I57" s="45"/>
      <c r="J57" s="52"/>
      <c r="K57" s="53">
        <f t="shared" si="0"/>
        <v>0</v>
      </c>
      <c r="L57" s="6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9" customFormat="1" ht="20.100000000000001" customHeight="1" x14ac:dyDescent="0.3">
      <c r="A59" s="44"/>
      <c r="B59" s="45"/>
      <c r="C59" s="46"/>
      <c r="D59" s="47"/>
      <c r="E59" s="56"/>
      <c r="F59" s="57"/>
      <c r="G59" s="50"/>
      <c r="H59" s="51"/>
      <c r="I59" s="45"/>
      <c r="J59" s="52"/>
      <c r="K59" s="53">
        <f t="shared" si="0"/>
        <v>0</v>
      </c>
      <c r="L59" s="58">
        <f>SUM(J14:J60)</f>
        <v>198</v>
      </c>
    </row>
    <row r="60" spans="1:12" s="59" customFormat="1" ht="20.100000000000001" customHeight="1" x14ac:dyDescent="0.3">
      <c r="A60" s="44"/>
      <c r="B60" s="45"/>
      <c r="C60" s="46"/>
      <c r="D60" s="47"/>
      <c r="E60" s="60"/>
      <c r="F60" s="61"/>
      <c r="G60" s="62"/>
      <c r="H60" s="51"/>
      <c r="I60" s="45"/>
      <c r="J60" s="63"/>
      <c r="K60" s="53">
        <f t="shared" si="0"/>
        <v>0</v>
      </c>
      <c r="L60" s="64">
        <f>SUM(K14:K60)</f>
        <v>1321.4091259999998</v>
      </c>
    </row>
    <row r="61" spans="1:12" s="59" customFormat="1" ht="20.100000000000001" customHeight="1" thickBot="1" x14ac:dyDescent="0.35">
      <c r="A61" s="114"/>
      <c r="B61" s="115"/>
      <c r="C61" s="115"/>
      <c r="D61" s="115"/>
      <c r="E61" s="115"/>
      <c r="F61" s="115"/>
      <c r="G61" s="115"/>
      <c r="H61" s="115"/>
      <c r="I61" s="115"/>
      <c r="J61" s="65">
        <f>SUM(J7:J60)</f>
        <v>198</v>
      </c>
      <c r="K61" s="66">
        <f>SUM(K7:K60)</f>
        <v>1321.4091259999998</v>
      </c>
      <c r="L61" s="67"/>
    </row>
    <row r="62" spans="1:12" s="59" customFormat="1" ht="20.100000000000001" customHeight="1" thickTop="1" thickBot="1" x14ac:dyDescent="0.35">
      <c r="A62" s="116" t="s">
        <v>52</v>
      </c>
      <c r="B62" s="117"/>
      <c r="C62" s="101"/>
      <c r="D62" s="118">
        <f>J61</f>
        <v>198</v>
      </c>
      <c r="E62" s="119"/>
      <c r="F62" s="119"/>
      <c r="G62" s="120"/>
      <c r="H62" s="121"/>
      <c r="I62" s="121"/>
      <c r="J62" s="122"/>
      <c r="K62" s="119"/>
      <c r="L62" s="123"/>
    </row>
    <row r="63" spans="1:12" s="59" customFormat="1" ht="20.100000000000001" customHeight="1" x14ac:dyDescent="0.3">
      <c r="A63" s="100"/>
      <c r="B63" s="5"/>
      <c r="C63" s="5"/>
      <c r="D63" s="5"/>
      <c r="E63" s="5"/>
      <c r="F63" s="70"/>
      <c r="G63" s="5"/>
      <c r="H63" s="5"/>
      <c r="I63" s="5"/>
      <c r="J63" s="5"/>
      <c r="K63" s="5"/>
      <c r="L63" s="71"/>
    </row>
    <row r="64" spans="1:12" s="59" customFormat="1" ht="20.100000000000001" customHeight="1" x14ac:dyDescent="0.3">
      <c r="A64" s="100"/>
      <c r="B64" s="5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00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00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72"/>
      <c r="F68" s="5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5"/>
      <c r="G69" s="73"/>
      <c r="H69" s="5"/>
      <c r="I69" s="74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00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72"/>
      <c r="I73" s="72"/>
      <c r="J73" s="5"/>
      <c r="K73" s="5"/>
      <c r="L73" s="5"/>
    </row>
    <row r="74" spans="1:12" ht="20.100000000000001" customHeight="1" x14ac:dyDescent="0.3">
      <c r="A74" s="113"/>
      <c r="B74" s="113"/>
      <c r="H74" s="72"/>
      <c r="I74" s="72"/>
    </row>
    <row r="75" spans="1:12" ht="20.100000000000001" customHeight="1" x14ac:dyDescent="0.3"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A77" s="113"/>
      <c r="B77" s="113"/>
      <c r="H77" s="72"/>
      <c r="I77" s="72"/>
    </row>
    <row r="78" spans="1:12" ht="20.100000000000001" customHeight="1" x14ac:dyDescent="0.3">
      <c r="A78" s="113"/>
      <c r="B78" s="113"/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H81" s="72"/>
      <c r="I81" s="72"/>
    </row>
    <row r="82" spans="1:12" s="72" customFormat="1" ht="20.100000000000001" customHeight="1" x14ac:dyDescent="0.3">
      <c r="A82" s="100"/>
      <c r="B82" s="5"/>
      <c r="C82" s="5"/>
      <c r="D82" s="5"/>
      <c r="E82" s="5"/>
      <c r="F82" s="70"/>
      <c r="G82" s="5"/>
      <c r="J82" s="5"/>
      <c r="K82" s="5"/>
      <c r="L82" s="5"/>
    </row>
    <row r="83" spans="1:12" s="72" customFormat="1" ht="20.100000000000001" customHeight="1" x14ac:dyDescent="0.3">
      <c r="A83" s="100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5" customFormat="1" ht="20.100000000000001" customHeight="1" x14ac:dyDescent="0.3">
      <c r="A84" s="100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5" customFormat="1" ht="20.100000000000001" customHeight="1" x14ac:dyDescent="0.3">
      <c r="A85" s="100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5" customFormat="1" ht="19.5" customHeight="1" x14ac:dyDescent="0.3">
      <c r="A86" s="100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2" customFormat="1" ht="20.100000000000001" customHeight="1" x14ac:dyDescent="0.3">
      <c r="A87" s="100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2" customFormat="1" ht="20.100000000000001" customHeight="1" x14ac:dyDescent="0.3">
      <c r="A88" s="100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ht="19.5" customHeight="1" x14ac:dyDescent="0.3"/>
    <row r="90" spans="1:12" ht="19.5" customHeight="1" x14ac:dyDescent="0.3"/>
    <row r="91" spans="1:12" ht="19.5" customHeight="1" x14ac:dyDescent="0.3"/>
    <row r="92" spans="1:12" s="100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100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100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100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100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100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100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100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100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100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100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100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100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100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100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100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s="100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100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100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100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100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100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100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100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100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100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100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100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100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100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100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100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100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100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100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100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100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100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100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100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100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100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100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100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100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100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100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100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100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100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7:B67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1:I61"/>
    <mergeCell ref="A62:B62"/>
    <mergeCell ref="D62:G62"/>
    <mergeCell ref="H62:J62"/>
    <mergeCell ref="K62:L62"/>
    <mergeCell ref="A77:B77"/>
    <mergeCell ref="A78:B78"/>
    <mergeCell ref="A68:B68"/>
    <mergeCell ref="A69:B69"/>
    <mergeCell ref="A70:B70"/>
    <mergeCell ref="A72:B72"/>
    <mergeCell ref="A73:B73"/>
    <mergeCell ref="A74:B7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35"/>
  <sheetViews>
    <sheetView view="pageBreakPreview" topLeftCell="A10" zoomScale="85" zoomScaleNormal="100" zoomScaleSheetLayoutView="85" workbookViewId="0">
      <selection activeCell="N10" sqref="N1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46248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43" si="0">(H7/1000*I7/1000)*J7</f>
        <v>0</v>
      </c>
      <c r="L7" s="26">
        <f>SUM(J7:J35)</f>
        <v>68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SUM(K7:K35)</f>
        <v>465.32895200000007</v>
      </c>
    </row>
    <row r="9" spans="1:12" s="27" customFormat="1" ht="19.5" customHeight="1" x14ac:dyDescent="0.3">
      <c r="A9" s="28" t="s">
        <v>7598</v>
      </c>
      <c r="B9" s="16" t="s">
        <v>7599</v>
      </c>
      <c r="C9" s="17">
        <v>5</v>
      </c>
      <c r="D9" s="18" t="s">
        <v>7600</v>
      </c>
      <c r="E9" s="41">
        <v>64</v>
      </c>
      <c r="F9" s="42">
        <v>43.1</v>
      </c>
      <c r="G9" s="34" t="s">
        <v>7601</v>
      </c>
      <c r="H9" s="35">
        <v>1981</v>
      </c>
      <c r="I9" s="36">
        <v>3353</v>
      </c>
      <c r="J9" s="37">
        <v>7</v>
      </c>
      <c r="K9" s="25">
        <f t="shared" si="0"/>
        <v>46.496051000000001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7602</v>
      </c>
      <c r="B11" s="16" t="s">
        <v>7599</v>
      </c>
      <c r="C11" s="17">
        <v>5</v>
      </c>
      <c r="D11" s="18" t="s">
        <v>7600</v>
      </c>
      <c r="E11" s="41">
        <v>104</v>
      </c>
      <c r="F11" s="42">
        <v>64.3</v>
      </c>
      <c r="G11" s="34" t="s">
        <v>7601</v>
      </c>
      <c r="H11" s="35">
        <v>1981</v>
      </c>
      <c r="I11" s="36">
        <v>3353</v>
      </c>
      <c r="J11" s="37">
        <v>11</v>
      </c>
      <c r="K11" s="85">
        <f t="shared" si="0"/>
        <v>73.065223000000003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>
        <f t="shared" si="0"/>
        <v>0</v>
      </c>
      <c r="L12" s="39"/>
    </row>
    <row r="13" spans="1:12" s="27" customFormat="1" ht="19.5" customHeight="1" x14ac:dyDescent="0.3">
      <c r="A13" s="28" t="s">
        <v>7603</v>
      </c>
      <c r="B13" s="16" t="s">
        <v>7599</v>
      </c>
      <c r="C13" s="17">
        <v>5</v>
      </c>
      <c r="D13" s="18" t="s">
        <v>7600</v>
      </c>
      <c r="E13" s="41">
        <v>128</v>
      </c>
      <c r="F13" s="42">
        <v>86.2</v>
      </c>
      <c r="G13" s="34" t="s">
        <v>7601</v>
      </c>
      <c r="H13" s="35">
        <v>1981</v>
      </c>
      <c r="I13" s="36">
        <v>3353</v>
      </c>
      <c r="J13" s="37">
        <v>15</v>
      </c>
      <c r="K13" s="85">
        <f t="shared" si="0"/>
        <v>99.634395000000012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 t="shared" si="0"/>
        <v>0</v>
      </c>
      <c r="L14" s="39"/>
    </row>
    <row r="15" spans="1:12" s="27" customFormat="1" ht="19.5" customHeight="1" x14ac:dyDescent="0.3">
      <c r="A15" s="28" t="s">
        <v>7604</v>
      </c>
      <c r="B15" s="16" t="s">
        <v>7599</v>
      </c>
      <c r="C15" s="17">
        <v>5</v>
      </c>
      <c r="D15" s="18" t="s">
        <v>7600</v>
      </c>
      <c r="E15" s="41">
        <v>88</v>
      </c>
      <c r="F15" s="42">
        <v>65</v>
      </c>
      <c r="G15" s="34" t="s">
        <v>7601</v>
      </c>
      <c r="H15" s="35">
        <v>1981</v>
      </c>
      <c r="I15" s="36">
        <v>3353</v>
      </c>
      <c r="J15" s="37">
        <v>11</v>
      </c>
      <c r="K15" s="85">
        <f t="shared" si="0"/>
        <v>73.065223000000003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 t="s">
        <v>7605</v>
      </c>
      <c r="B17" s="16" t="s">
        <v>7606</v>
      </c>
      <c r="C17" s="17">
        <v>5</v>
      </c>
      <c r="D17" s="18" t="s">
        <v>7600</v>
      </c>
      <c r="E17" s="41">
        <v>2</v>
      </c>
      <c r="F17" s="42">
        <v>0.56000000000000005</v>
      </c>
      <c r="G17" s="34"/>
      <c r="H17" s="35"/>
      <c r="I17" s="36"/>
      <c r="J17" s="37"/>
      <c r="K17" s="85">
        <f t="shared" si="0"/>
        <v>0</v>
      </c>
      <c r="L17" s="39" t="s">
        <v>7607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</row>
    <row r="19" spans="1:12" s="27" customFormat="1" ht="19.5" customHeight="1" x14ac:dyDescent="0.3">
      <c r="A19" s="28" t="s">
        <v>7608</v>
      </c>
      <c r="B19" s="16" t="s">
        <v>7609</v>
      </c>
      <c r="C19" s="17">
        <v>24</v>
      </c>
      <c r="D19" s="18" t="s">
        <v>7610</v>
      </c>
      <c r="E19" s="41">
        <v>13</v>
      </c>
      <c r="F19" s="42">
        <v>24.06</v>
      </c>
      <c r="G19" s="34" t="s">
        <v>7611</v>
      </c>
      <c r="H19" s="35">
        <v>2438</v>
      </c>
      <c r="I19" s="36">
        <v>3353</v>
      </c>
      <c r="J19" s="37">
        <v>4</v>
      </c>
      <c r="K19" s="85">
        <f t="shared" si="0"/>
        <v>32.698456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 t="s">
        <v>7601</v>
      </c>
      <c r="H20" s="35">
        <v>2438</v>
      </c>
      <c r="I20" s="36">
        <v>3353</v>
      </c>
      <c r="J20" s="37">
        <v>4</v>
      </c>
      <c r="K20" s="85">
        <f t="shared" si="0"/>
        <v>32.698456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0"/>
        <v>0</v>
      </c>
      <c r="L21" s="39"/>
    </row>
    <row r="22" spans="1:12" s="27" customFormat="1" ht="19.5" customHeight="1" x14ac:dyDescent="0.3">
      <c r="A22" s="28" t="s">
        <v>7612</v>
      </c>
      <c r="B22" s="16" t="s">
        <v>7613</v>
      </c>
      <c r="C22" s="17">
        <v>43</v>
      </c>
      <c r="D22" s="18" t="s">
        <v>7614</v>
      </c>
      <c r="E22" s="41">
        <v>1</v>
      </c>
      <c r="F22" s="42">
        <v>2.36</v>
      </c>
      <c r="G22" s="34" t="s">
        <v>7615</v>
      </c>
      <c r="H22" s="35">
        <v>2134</v>
      </c>
      <c r="I22" s="36">
        <v>3048</v>
      </c>
      <c r="J22" s="37">
        <v>1</v>
      </c>
      <c r="K22" s="85">
        <f t="shared" si="0"/>
        <v>6.5044319999999995</v>
      </c>
      <c r="L22" s="39" t="s">
        <v>7616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</row>
    <row r="24" spans="1:12" s="27" customFormat="1" ht="19.5" customHeight="1" x14ac:dyDescent="0.3">
      <c r="A24" s="28" t="s">
        <v>7617</v>
      </c>
      <c r="B24" s="16" t="s">
        <v>7599</v>
      </c>
      <c r="C24" s="17">
        <v>5</v>
      </c>
      <c r="D24" s="18" t="s">
        <v>7600</v>
      </c>
      <c r="E24" s="41">
        <v>128</v>
      </c>
      <c r="F24" s="42">
        <v>86.2</v>
      </c>
      <c r="G24" s="34" t="s">
        <v>7601</v>
      </c>
      <c r="H24" s="35">
        <v>1981</v>
      </c>
      <c r="I24" s="36">
        <v>3353</v>
      </c>
      <c r="J24" s="37">
        <v>14</v>
      </c>
      <c r="K24" s="85">
        <f t="shared" si="0"/>
        <v>92.992102000000003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 t="s">
        <v>7618</v>
      </c>
      <c r="B26" s="16" t="s">
        <v>7619</v>
      </c>
      <c r="C26" s="17">
        <v>28</v>
      </c>
      <c r="D26" s="18" t="s">
        <v>7620</v>
      </c>
      <c r="E26" s="41">
        <v>1</v>
      </c>
      <c r="F26" s="42">
        <v>2.33</v>
      </c>
      <c r="G26" s="34" t="s">
        <v>7621</v>
      </c>
      <c r="H26" s="35">
        <v>2438</v>
      </c>
      <c r="I26" s="36">
        <v>3353</v>
      </c>
      <c r="J26" s="37">
        <v>1</v>
      </c>
      <c r="K26" s="85">
        <f t="shared" si="0"/>
        <v>8.174614</v>
      </c>
      <c r="L26" s="39" t="s">
        <v>7622</v>
      </c>
    </row>
    <row r="27" spans="1:12" s="27" customFormat="1" ht="19.5" customHeight="1" x14ac:dyDescent="0.3">
      <c r="A27" s="28" t="s">
        <v>7623</v>
      </c>
      <c r="B27" s="16" t="s">
        <v>7624</v>
      </c>
      <c r="C27" s="17">
        <v>28</v>
      </c>
      <c r="D27" s="18" t="s">
        <v>7625</v>
      </c>
      <c r="E27" s="41">
        <v>2</v>
      </c>
      <c r="F27" s="42">
        <v>2.65</v>
      </c>
      <c r="G27" s="34"/>
      <c r="H27" s="35"/>
      <c r="I27" s="36"/>
      <c r="J27" s="37"/>
      <c r="K27" s="85">
        <f t="shared" si="0"/>
        <v>0</v>
      </c>
      <c r="L27" s="39" t="s">
        <v>7626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 t="s">
        <v>7623</v>
      </c>
      <c r="B29" s="16" t="s">
        <v>7624</v>
      </c>
      <c r="C29" s="17">
        <v>28</v>
      </c>
      <c r="D29" s="18" t="s">
        <v>7625</v>
      </c>
      <c r="E29" s="41">
        <v>1</v>
      </c>
      <c r="F29" s="42">
        <v>0.6</v>
      </c>
      <c r="G29" s="34"/>
      <c r="H29" s="35"/>
      <c r="I29" s="36"/>
      <c r="J29" s="37"/>
      <c r="K29" s="85">
        <f t="shared" si="0"/>
        <v>0</v>
      </c>
      <c r="L29" s="39" t="s">
        <v>7627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8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85">
        <f t="shared" si="0"/>
        <v>0</v>
      </c>
      <c r="L34" s="39"/>
    </row>
    <row r="35" spans="1:12" s="27" customFormat="1" ht="19.5" customHeight="1" x14ac:dyDescent="0.3">
      <c r="A35" s="28"/>
      <c r="B35" s="29"/>
      <c r="C35" s="30"/>
      <c r="D35" s="31"/>
      <c r="E35" s="41"/>
      <c r="F35" s="42"/>
      <c r="G35" s="43"/>
      <c r="H35" s="35"/>
      <c r="I35" s="36"/>
      <c r="J35" s="37"/>
      <c r="K35" s="85">
        <f t="shared" si="0"/>
        <v>0</v>
      </c>
      <c r="L35" s="39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94"/>
      <c r="B37" s="76"/>
      <c r="C37" s="77"/>
      <c r="D37" s="78"/>
      <c r="E37" s="48"/>
      <c r="F37" s="49"/>
      <c r="G37" s="50"/>
      <c r="H37" s="51"/>
      <c r="I37" s="45"/>
      <c r="J37" s="52"/>
      <c r="K37" s="53">
        <f t="shared" si="0"/>
        <v>0</v>
      </c>
      <c r="L37" s="64"/>
    </row>
    <row r="38" spans="1:12" s="55" customFormat="1" ht="19.5" customHeight="1" x14ac:dyDescent="0.3">
      <c r="A38" s="94"/>
      <c r="B38" s="76"/>
      <c r="C38" s="77"/>
      <c r="D38" s="78"/>
      <c r="E38" s="48"/>
      <c r="F38" s="49"/>
      <c r="G38" s="50"/>
      <c r="H38" s="51"/>
      <c r="I38" s="45"/>
      <c r="J38" s="52"/>
      <c r="K38" s="53">
        <f t="shared" si="0"/>
        <v>0</v>
      </c>
      <c r="L38" s="64"/>
    </row>
    <row r="39" spans="1:12" s="55" customFormat="1" ht="19.5" customHeight="1" x14ac:dyDescent="0.3">
      <c r="A39" s="94"/>
      <c r="B39" s="76"/>
      <c r="C39" s="77"/>
      <c r="D39" s="78"/>
      <c r="E39" s="48"/>
      <c r="F39" s="49"/>
      <c r="G39" s="50"/>
      <c r="H39" s="51"/>
      <c r="I39" s="45"/>
      <c r="J39" s="52"/>
      <c r="K39" s="53">
        <f t="shared" si="0"/>
        <v>0</v>
      </c>
      <c r="L39" s="64"/>
    </row>
    <row r="40" spans="1:12" s="55" customFormat="1" ht="19.5" customHeight="1" x14ac:dyDescent="0.3">
      <c r="A40" s="94"/>
      <c r="B40" s="76"/>
      <c r="C40" s="77"/>
      <c r="D40" s="78"/>
      <c r="E40" s="48"/>
      <c r="F40" s="49"/>
      <c r="G40" s="50"/>
      <c r="H40" s="51"/>
      <c r="I40" s="45"/>
      <c r="J40" s="52"/>
      <c r="K40" s="53">
        <f t="shared" si="0"/>
        <v>0</v>
      </c>
      <c r="L40" s="6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9" customFormat="1" ht="20.100000000000001" customHeight="1" x14ac:dyDescent="0.3">
      <c r="A42" s="44"/>
      <c r="B42" s="45"/>
      <c r="C42" s="46"/>
      <c r="D42" s="47"/>
      <c r="E42" s="56"/>
      <c r="F42" s="57"/>
      <c r="G42" s="50"/>
      <c r="H42" s="51"/>
      <c r="I42" s="45"/>
      <c r="J42" s="52"/>
      <c r="K42" s="53">
        <f t="shared" si="0"/>
        <v>0</v>
      </c>
      <c r="L42" s="58">
        <f>SUM(J36:J43)</f>
        <v>0</v>
      </c>
    </row>
    <row r="43" spans="1:12" s="59" customFormat="1" ht="20.100000000000001" customHeight="1" x14ac:dyDescent="0.3">
      <c r="A43" s="44"/>
      <c r="B43" s="45"/>
      <c r="C43" s="46"/>
      <c r="D43" s="47"/>
      <c r="E43" s="60"/>
      <c r="F43" s="61"/>
      <c r="G43" s="62"/>
      <c r="H43" s="51"/>
      <c r="I43" s="45"/>
      <c r="J43" s="63"/>
      <c r="K43" s="53">
        <f t="shared" si="0"/>
        <v>0</v>
      </c>
      <c r="L43" s="64">
        <f>SUM(K36:K43)</f>
        <v>0</v>
      </c>
    </row>
    <row r="44" spans="1:12" s="59" customFormat="1" ht="20.100000000000001" customHeight="1" thickBot="1" x14ac:dyDescent="0.35">
      <c r="A44" s="114"/>
      <c r="B44" s="115"/>
      <c r="C44" s="115"/>
      <c r="D44" s="115"/>
      <c r="E44" s="115"/>
      <c r="F44" s="115"/>
      <c r="G44" s="115"/>
      <c r="H44" s="115"/>
      <c r="I44" s="115"/>
      <c r="J44" s="65">
        <f>SUM(J7:J43)</f>
        <v>68</v>
      </c>
      <c r="K44" s="66">
        <f>SUM(K7:K43)</f>
        <v>465.32895200000007</v>
      </c>
      <c r="L44" s="67"/>
    </row>
    <row r="45" spans="1:12" s="59" customFormat="1" ht="20.100000000000001" customHeight="1" thickTop="1" thickBot="1" x14ac:dyDescent="0.35">
      <c r="A45" s="116" t="s">
        <v>52</v>
      </c>
      <c r="B45" s="117"/>
      <c r="C45" s="68"/>
      <c r="D45" s="118">
        <f>J44</f>
        <v>68</v>
      </c>
      <c r="E45" s="119"/>
      <c r="F45" s="119"/>
      <c r="G45" s="120"/>
      <c r="H45" s="121"/>
      <c r="I45" s="121"/>
      <c r="J45" s="122"/>
      <c r="K45" s="119"/>
      <c r="L45" s="123"/>
    </row>
    <row r="46" spans="1:12" s="59" customFormat="1" ht="20.100000000000001" customHeight="1" x14ac:dyDescent="0.3">
      <c r="A46" s="69"/>
      <c r="B46" s="5"/>
      <c r="C46" s="5"/>
      <c r="D46" s="5"/>
      <c r="E46" s="5"/>
      <c r="F46" s="70"/>
      <c r="G46" s="5"/>
      <c r="H46" s="5"/>
      <c r="I46" s="5"/>
      <c r="J46" s="5"/>
      <c r="K46" s="5"/>
      <c r="L46" s="71"/>
    </row>
    <row r="47" spans="1:12" s="59" customFormat="1" ht="20.100000000000001" customHeight="1" x14ac:dyDescent="0.3">
      <c r="A47" s="69"/>
      <c r="B47" s="5"/>
      <c r="C47" s="5"/>
      <c r="D47" s="5"/>
      <c r="E47" s="5"/>
      <c r="F47" s="70"/>
      <c r="G47" s="5"/>
      <c r="H47" s="5"/>
      <c r="I47" s="5"/>
      <c r="J47" s="5"/>
      <c r="K47" s="5"/>
      <c r="L47" s="5"/>
    </row>
    <row r="48" spans="1:12" s="59" customFormat="1" ht="20.100000000000001" customHeight="1" x14ac:dyDescent="0.3">
      <c r="A48" s="69"/>
      <c r="B48" s="5"/>
      <c r="C48" s="5"/>
      <c r="D48" s="5"/>
      <c r="E48" s="5"/>
      <c r="F48" s="70"/>
      <c r="G48" s="5"/>
      <c r="H48" s="5"/>
      <c r="I48" s="5"/>
      <c r="J48" s="5"/>
      <c r="K48" s="5"/>
      <c r="L48" s="5"/>
    </row>
    <row r="49" spans="1:12" s="59" customFormat="1" ht="20.100000000000001" customHeight="1" x14ac:dyDescent="0.3">
      <c r="A49" s="69"/>
      <c r="B49" s="5"/>
      <c r="C49" s="5"/>
      <c r="D49" s="5"/>
      <c r="E49" s="5"/>
      <c r="F49" s="70"/>
      <c r="G49" s="5"/>
      <c r="H49" s="5"/>
      <c r="I49" s="5"/>
      <c r="J49" s="5"/>
      <c r="K49" s="5"/>
      <c r="L49" s="5"/>
    </row>
    <row r="50" spans="1:12" s="59" customFormat="1" ht="20.100000000000001" customHeight="1" x14ac:dyDescent="0.3">
      <c r="A50" s="113"/>
      <c r="B50" s="113"/>
      <c r="C50" s="5"/>
      <c r="D50" s="5"/>
      <c r="E50" s="5"/>
      <c r="F50" s="70"/>
      <c r="G50" s="5"/>
      <c r="H50" s="5"/>
      <c r="I50" s="5"/>
      <c r="J50" s="5"/>
      <c r="K50" s="5"/>
      <c r="L50" s="5"/>
    </row>
    <row r="51" spans="1:12" s="59" customFormat="1" ht="20.100000000000001" customHeight="1" x14ac:dyDescent="0.3">
      <c r="A51" s="113"/>
      <c r="B51" s="113"/>
      <c r="C51" s="5"/>
      <c r="D51" s="5"/>
      <c r="E51" s="72"/>
      <c r="F51" s="5"/>
      <c r="G51" s="5"/>
      <c r="H51" s="5"/>
      <c r="I51" s="5"/>
      <c r="J51" s="5"/>
      <c r="K51" s="5"/>
      <c r="L51" s="5"/>
    </row>
    <row r="52" spans="1:12" s="59" customFormat="1" ht="20.100000000000001" customHeight="1" x14ac:dyDescent="0.3">
      <c r="A52" s="113"/>
      <c r="B52" s="113"/>
      <c r="C52" s="5"/>
      <c r="D52" s="5"/>
      <c r="E52" s="5"/>
      <c r="F52" s="5"/>
      <c r="G52" s="73"/>
      <c r="H52" s="5"/>
      <c r="I52" s="74"/>
      <c r="J52" s="5"/>
      <c r="K52" s="5"/>
      <c r="L52" s="5"/>
    </row>
    <row r="53" spans="1:12" s="59" customFormat="1" ht="20.100000000000001" customHeight="1" x14ac:dyDescent="0.3">
      <c r="A53" s="113"/>
      <c r="B53" s="113"/>
      <c r="C53" s="5"/>
      <c r="D53" s="5"/>
      <c r="E53" s="5"/>
      <c r="F53" s="70"/>
      <c r="G53" s="5"/>
      <c r="H53" s="5"/>
      <c r="I53" s="5"/>
      <c r="J53" s="5"/>
      <c r="K53" s="5"/>
      <c r="L53" s="5"/>
    </row>
    <row r="54" spans="1:12" s="59" customFormat="1" ht="20.100000000000001" customHeight="1" x14ac:dyDescent="0.3">
      <c r="A54" s="69"/>
      <c r="B54" s="5"/>
      <c r="C54" s="5"/>
      <c r="D54" s="5"/>
      <c r="E54" s="5"/>
      <c r="F54" s="70"/>
      <c r="G54" s="5"/>
      <c r="H54" s="5"/>
      <c r="I54" s="5"/>
      <c r="J54" s="5"/>
      <c r="K54" s="5"/>
      <c r="L54" s="5"/>
    </row>
    <row r="55" spans="1:12" s="59" customFormat="1" ht="20.100000000000001" customHeight="1" x14ac:dyDescent="0.3">
      <c r="A55" s="113"/>
      <c r="B55" s="113"/>
      <c r="C55" s="5"/>
      <c r="D55" s="5"/>
      <c r="E55" s="5"/>
      <c r="F55" s="70"/>
      <c r="G55" s="5"/>
      <c r="H55" s="5"/>
      <c r="I55" s="5"/>
      <c r="J55" s="5"/>
      <c r="K55" s="5"/>
      <c r="L55" s="5"/>
    </row>
    <row r="56" spans="1:12" s="59" customFormat="1" ht="20.100000000000001" customHeight="1" x14ac:dyDescent="0.3">
      <c r="A56" s="113"/>
      <c r="B56" s="113"/>
      <c r="C56" s="5"/>
      <c r="D56" s="5"/>
      <c r="E56" s="5"/>
      <c r="F56" s="70"/>
      <c r="G56" s="5"/>
      <c r="H56" s="72"/>
      <c r="I56" s="72"/>
      <c r="J56" s="5"/>
      <c r="K56" s="5"/>
      <c r="L56" s="5"/>
    </row>
    <row r="57" spans="1:12" ht="20.100000000000001" customHeight="1" x14ac:dyDescent="0.3">
      <c r="A57" s="113"/>
      <c r="B57" s="113"/>
      <c r="H57" s="72"/>
      <c r="I57" s="72"/>
    </row>
    <row r="58" spans="1:12" ht="20.100000000000001" customHeight="1" x14ac:dyDescent="0.3">
      <c r="H58" s="72"/>
      <c r="I58" s="72"/>
    </row>
    <row r="59" spans="1:12" ht="20.100000000000001" customHeight="1" x14ac:dyDescent="0.3">
      <c r="H59" s="72"/>
      <c r="I59" s="72"/>
    </row>
    <row r="60" spans="1:12" ht="20.100000000000001" customHeight="1" x14ac:dyDescent="0.3">
      <c r="A60" s="113"/>
      <c r="B60" s="113"/>
      <c r="H60" s="72"/>
      <c r="I60" s="72"/>
    </row>
    <row r="61" spans="1:12" ht="20.100000000000001" customHeight="1" x14ac:dyDescent="0.3">
      <c r="A61" s="113"/>
      <c r="B61" s="113"/>
      <c r="H61" s="72"/>
      <c r="I61" s="72"/>
    </row>
    <row r="62" spans="1:12" ht="20.100000000000001" customHeight="1" x14ac:dyDescent="0.3">
      <c r="H62" s="72"/>
      <c r="I62" s="72"/>
    </row>
    <row r="63" spans="1:12" ht="20.100000000000001" customHeight="1" x14ac:dyDescent="0.3">
      <c r="H63" s="72"/>
      <c r="I63" s="72"/>
    </row>
    <row r="64" spans="1:12" ht="20.100000000000001" customHeight="1" x14ac:dyDescent="0.3">
      <c r="H64" s="72"/>
      <c r="I64" s="72"/>
    </row>
    <row r="65" spans="1:12" s="72" customFormat="1" ht="20.100000000000001" customHeight="1" x14ac:dyDescent="0.3">
      <c r="A65" s="69"/>
      <c r="B65" s="5"/>
      <c r="C65" s="5"/>
      <c r="D65" s="5"/>
      <c r="E65" s="5"/>
      <c r="F65" s="70"/>
      <c r="G65" s="5"/>
      <c r="J65" s="5"/>
      <c r="K65" s="5"/>
      <c r="L65" s="5"/>
    </row>
    <row r="66" spans="1:12" s="72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75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75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75" customFormat="1" ht="19.5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72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72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ht="19.5" customHeight="1" x14ac:dyDescent="0.3"/>
    <row r="73" spans="1:12" ht="19.5" customHeight="1" x14ac:dyDescent="0.3"/>
    <row r="74" spans="1:12" ht="19.5" customHeight="1" x14ac:dyDescent="0.3"/>
    <row r="75" spans="1:12" s="69" customFormat="1" ht="19.5" customHeight="1" x14ac:dyDescent="0.3"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69" customFormat="1" ht="19.5" customHeight="1" x14ac:dyDescent="0.3"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69" customFormat="1" ht="19.5" customHeight="1" x14ac:dyDescent="0.3"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69" customFormat="1" ht="19.5" customHeight="1" x14ac:dyDescent="0.3"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69" customFormat="1" ht="19.5" customHeight="1" x14ac:dyDescent="0.3"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69" customFormat="1" ht="19.5" customHeight="1" x14ac:dyDescent="0.3"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2:12" s="69" customFormat="1" ht="19.5" customHeight="1" x14ac:dyDescent="0.3"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2:12" s="69" customFormat="1" ht="19.5" customHeight="1" x14ac:dyDescent="0.3"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2:12" s="69" customFormat="1" ht="19.5" customHeight="1" x14ac:dyDescent="0.3"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2:12" s="69" customFormat="1" ht="19.5" customHeight="1" x14ac:dyDescent="0.3"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2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2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2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2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2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2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2:12" ht="19.5" customHeight="1" x14ac:dyDescent="0.3"/>
    <row r="92" spans="2:12" ht="19.5" customHeight="1" x14ac:dyDescent="0.3"/>
    <row r="93" spans="2:12" ht="19.5" customHeight="1" x14ac:dyDescent="0.3"/>
    <row r="94" spans="2:12" ht="19.5" customHeight="1" x14ac:dyDescent="0.3"/>
    <row r="95" spans="2:12" ht="19.5" customHeight="1" x14ac:dyDescent="0.3"/>
    <row r="96" spans="2:12" ht="19.5" customHeight="1" x14ac:dyDescent="0.3"/>
    <row r="97" spans="2:12" ht="19.5" customHeight="1" x14ac:dyDescent="0.3"/>
    <row r="98" spans="2:12" ht="19.5" customHeight="1" x14ac:dyDescent="0.3"/>
    <row r="99" spans="2:12" ht="19.5" customHeight="1" x14ac:dyDescent="0.3"/>
    <row r="100" spans="2:12" ht="19.5" customHeight="1" x14ac:dyDescent="0.3"/>
    <row r="101" spans="2:12" ht="19.5" customHeight="1" x14ac:dyDescent="0.3"/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50:B5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44:I44"/>
    <mergeCell ref="A45:B45"/>
    <mergeCell ref="D45:G45"/>
    <mergeCell ref="H45:J45"/>
    <mergeCell ref="K45:L45"/>
    <mergeCell ref="A60:B60"/>
    <mergeCell ref="A61:B61"/>
    <mergeCell ref="A51:B51"/>
    <mergeCell ref="A52:B52"/>
    <mergeCell ref="A53:B53"/>
    <mergeCell ref="A55:B55"/>
    <mergeCell ref="A56:B56"/>
    <mergeCell ref="A57:B57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69"/>
  <sheetViews>
    <sheetView view="pageBreakPreview" topLeftCell="A28" zoomScale="85" zoomScaleNormal="100" zoomScaleSheetLayoutView="85" workbookViewId="0">
      <selection activeCell="A43" sqref="A43:L4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46247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7" si="0">(H7/1000*I7/1000)*J7</f>
        <v>0</v>
      </c>
      <c r="L7" s="26">
        <f>SUM(J7:J69)</f>
        <v>156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SUM(K7:K69)</f>
        <v>1034.4180429999999</v>
      </c>
    </row>
    <row r="9" spans="1:12" s="27" customFormat="1" ht="19.5" customHeight="1" x14ac:dyDescent="0.3">
      <c r="A9" s="28" t="s">
        <v>7530</v>
      </c>
      <c r="B9" s="16" t="s">
        <v>7531</v>
      </c>
      <c r="C9" s="17">
        <v>10</v>
      </c>
      <c r="D9" s="18" t="s">
        <v>7532</v>
      </c>
      <c r="E9" s="41">
        <v>8</v>
      </c>
      <c r="F9" s="42">
        <v>4.1100000000000003</v>
      </c>
      <c r="G9" s="34"/>
      <c r="H9" s="35"/>
      <c r="I9" s="36"/>
      <c r="J9" s="37"/>
      <c r="K9" s="25">
        <f t="shared" si="0"/>
        <v>0</v>
      </c>
      <c r="L9" s="39" t="s">
        <v>7533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7534</v>
      </c>
      <c r="B11" s="16" t="s">
        <v>7535</v>
      </c>
      <c r="C11" s="17">
        <v>22</v>
      </c>
      <c r="D11" s="18" t="s">
        <v>7536</v>
      </c>
      <c r="E11" s="41">
        <v>2</v>
      </c>
      <c r="F11" s="42">
        <v>6.48</v>
      </c>
      <c r="G11" s="34" t="s">
        <v>7537</v>
      </c>
      <c r="H11" s="35">
        <v>1981</v>
      </c>
      <c r="I11" s="36">
        <v>3353</v>
      </c>
      <c r="J11" s="37">
        <v>1</v>
      </c>
      <c r="K11" s="85">
        <f t="shared" si="0"/>
        <v>6.6422930000000004</v>
      </c>
      <c r="L11" s="39" t="s">
        <v>7538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>
        <f t="shared" si="0"/>
        <v>0</v>
      </c>
      <c r="L12" s="39"/>
    </row>
    <row r="13" spans="1:12" s="27" customFormat="1" ht="19.5" customHeight="1" x14ac:dyDescent="0.3">
      <c r="A13" s="28" t="s">
        <v>7539</v>
      </c>
      <c r="B13" s="16" t="s">
        <v>7540</v>
      </c>
      <c r="C13" s="17">
        <v>22</v>
      </c>
      <c r="D13" s="18" t="s">
        <v>7541</v>
      </c>
      <c r="E13" s="41">
        <v>1</v>
      </c>
      <c r="F13" s="42">
        <v>3.23</v>
      </c>
      <c r="G13" s="34" t="s">
        <v>7542</v>
      </c>
      <c r="H13" s="35">
        <v>1981</v>
      </c>
      <c r="I13" s="36">
        <v>3353</v>
      </c>
      <c r="J13" s="37">
        <v>1</v>
      </c>
      <c r="K13" s="85">
        <f t="shared" si="0"/>
        <v>6.6422930000000004</v>
      </c>
      <c r="L13" s="39" t="s">
        <v>7543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 t="shared" si="0"/>
        <v>0</v>
      </c>
      <c r="L14" s="39"/>
    </row>
    <row r="15" spans="1:12" s="27" customFormat="1" ht="19.5" customHeight="1" x14ac:dyDescent="0.3">
      <c r="A15" s="28" t="s">
        <v>7544</v>
      </c>
      <c r="B15" s="16" t="s">
        <v>7545</v>
      </c>
      <c r="C15" s="17">
        <v>24</v>
      </c>
      <c r="D15" s="18" t="s">
        <v>7546</v>
      </c>
      <c r="E15" s="41">
        <v>1</v>
      </c>
      <c r="F15" s="42">
        <v>0.87</v>
      </c>
      <c r="G15" s="34"/>
      <c r="H15" s="35"/>
      <c r="I15" s="36"/>
      <c r="J15" s="37"/>
      <c r="K15" s="85">
        <f t="shared" si="0"/>
        <v>0</v>
      </c>
      <c r="L15" s="39" t="s">
        <v>7547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 t="s">
        <v>7548</v>
      </c>
      <c r="B17" s="16" t="s">
        <v>7549</v>
      </c>
      <c r="C17" s="17">
        <v>28</v>
      </c>
      <c r="D17" s="18" t="s">
        <v>7550</v>
      </c>
      <c r="E17" s="41">
        <v>1</v>
      </c>
      <c r="F17" s="42">
        <v>0.43</v>
      </c>
      <c r="G17" s="34"/>
      <c r="H17" s="35"/>
      <c r="I17" s="36"/>
      <c r="J17" s="37"/>
      <c r="K17" s="85">
        <f t="shared" si="0"/>
        <v>0</v>
      </c>
      <c r="L17" s="39" t="s">
        <v>7551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</row>
    <row r="19" spans="1:12" s="27" customFormat="1" ht="19.5" customHeight="1" x14ac:dyDescent="0.3">
      <c r="A19" s="28" t="s">
        <v>7552</v>
      </c>
      <c r="B19" s="16" t="s">
        <v>7549</v>
      </c>
      <c r="C19" s="17">
        <v>28</v>
      </c>
      <c r="D19" s="18" t="s">
        <v>7550</v>
      </c>
      <c r="E19" s="41">
        <v>1</v>
      </c>
      <c r="F19" s="42">
        <v>0.48</v>
      </c>
      <c r="G19" s="34"/>
      <c r="H19" s="35"/>
      <c r="I19" s="36"/>
      <c r="J19" s="37"/>
      <c r="K19" s="85">
        <f t="shared" si="0"/>
        <v>0</v>
      </c>
      <c r="L19" s="39" t="s">
        <v>7553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7554</v>
      </c>
      <c r="B21" s="16" t="s">
        <v>7555</v>
      </c>
      <c r="C21" s="17">
        <v>28</v>
      </c>
      <c r="D21" s="18" t="s">
        <v>7556</v>
      </c>
      <c r="E21" s="41">
        <v>1</v>
      </c>
      <c r="F21" s="42">
        <v>1.38</v>
      </c>
      <c r="G21" s="34" t="s">
        <v>7559</v>
      </c>
      <c r="H21" s="35">
        <v>2438</v>
      </c>
      <c r="I21" s="36">
        <v>3353</v>
      </c>
      <c r="J21" s="37">
        <v>2</v>
      </c>
      <c r="K21" s="85">
        <f t="shared" si="0"/>
        <v>16.349228</v>
      </c>
      <c r="L21" s="39"/>
    </row>
    <row r="22" spans="1:12" s="27" customFormat="1" ht="19.5" customHeight="1" x14ac:dyDescent="0.3">
      <c r="A22" s="28"/>
      <c r="B22" s="16"/>
      <c r="C22" s="17">
        <v>28</v>
      </c>
      <c r="D22" s="18" t="s">
        <v>7557</v>
      </c>
      <c r="E22" s="41">
        <v>1</v>
      </c>
      <c r="F22" s="42">
        <v>0.84</v>
      </c>
      <c r="G22" s="34" t="s">
        <v>7561</v>
      </c>
      <c r="H22" s="35">
        <v>2438</v>
      </c>
      <c r="I22" s="36">
        <v>3353</v>
      </c>
      <c r="J22" s="37">
        <v>5</v>
      </c>
      <c r="K22" s="85">
        <f t="shared" si="0"/>
        <v>40.873069999999998</v>
      </c>
      <c r="L22" s="39"/>
    </row>
    <row r="23" spans="1:12" s="27" customFormat="1" ht="19.5" customHeight="1" x14ac:dyDescent="0.3">
      <c r="A23" s="28"/>
      <c r="B23" s="16"/>
      <c r="C23" s="17">
        <v>28</v>
      </c>
      <c r="D23" s="18" t="s">
        <v>7558</v>
      </c>
      <c r="E23" s="41">
        <v>2</v>
      </c>
      <c r="F23" s="42">
        <v>4.58</v>
      </c>
      <c r="G23" s="34" t="s">
        <v>7562</v>
      </c>
      <c r="H23" s="35">
        <v>2438</v>
      </c>
      <c r="I23" s="36">
        <v>3353</v>
      </c>
      <c r="J23" s="37">
        <v>1</v>
      </c>
      <c r="K23" s="85">
        <f t="shared" si="0"/>
        <v>8.174614</v>
      </c>
      <c r="L23" s="39"/>
    </row>
    <row r="24" spans="1:12" s="27" customFormat="1" ht="19.5" customHeight="1" x14ac:dyDescent="0.3">
      <c r="A24" s="28"/>
      <c r="B24" s="16"/>
      <c r="C24" s="17">
        <v>28</v>
      </c>
      <c r="D24" s="18" t="s">
        <v>7560</v>
      </c>
      <c r="E24" s="41">
        <v>10</v>
      </c>
      <c r="F24" s="42">
        <v>26.02</v>
      </c>
      <c r="G24" s="34" t="s">
        <v>7562</v>
      </c>
      <c r="H24" s="35">
        <v>2438</v>
      </c>
      <c r="I24" s="36">
        <v>3353</v>
      </c>
      <c r="J24" s="37">
        <v>2</v>
      </c>
      <c r="K24" s="85">
        <f t="shared" si="0"/>
        <v>16.349228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 t="s">
        <v>7562</v>
      </c>
      <c r="H25" s="35">
        <v>2134</v>
      </c>
      <c r="I25" s="36">
        <v>3048</v>
      </c>
      <c r="J25" s="37">
        <v>1</v>
      </c>
      <c r="K25" s="85">
        <f t="shared" si="0"/>
        <v>6.5044319999999995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 t="s">
        <v>7562</v>
      </c>
      <c r="H26" s="35">
        <v>1829</v>
      </c>
      <c r="I26" s="36">
        <v>3353</v>
      </c>
      <c r="J26" s="37">
        <v>1</v>
      </c>
      <c r="K26" s="85">
        <f t="shared" si="0"/>
        <v>6.1326369999999999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 t="s">
        <v>7562</v>
      </c>
      <c r="H27" s="35">
        <v>1981</v>
      </c>
      <c r="I27" s="36">
        <v>3353</v>
      </c>
      <c r="J27" s="37">
        <v>1</v>
      </c>
      <c r="K27" s="85">
        <f t="shared" si="0"/>
        <v>6.6422930000000004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 t="s">
        <v>7563</v>
      </c>
      <c r="B29" s="16" t="s">
        <v>7564</v>
      </c>
      <c r="C29" s="17">
        <v>25.76</v>
      </c>
      <c r="D29" s="18" t="s">
        <v>7565</v>
      </c>
      <c r="E29" s="41">
        <v>5</v>
      </c>
      <c r="F29" s="42">
        <v>2.65</v>
      </c>
      <c r="G29" s="34" t="s">
        <v>7537</v>
      </c>
      <c r="H29" s="35">
        <v>2134</v>
      </c>
      <c r="I29" s="36">
        <v>3048</v>
      </c>
      <c r="J29" s="37">
        <v>1</v>
      </c>
      <c r="K29" s="85">
        <f t="shared" si="0"/>
        <v>6.5044319999999995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0"/>
        <v>0</v>
      </c>
      <c r="L30" s="39"/>
    </row>
    <row r="31" spans="1:12" s="27" customFormat="1" ht="19.5" customHeight="1" x14ac:dyDescent="0.3">
      <c r="A31" s="28" t="s">
        <v>7480</v>
      </c>
      <c r="B31" s="16" t="s">
        <v>16</v>
      </c>
      <c r="C31" s="17">
        <v>22</v>
      </c>
      <c r="D31" s="18" t="s">
        <v>45</v>
      </c>
      <c r="E31" s="41">
        <v>1</v>
      </c>
      <c r="F31" s="42">
        <f>3.12</f>
        <v>3.12</v>
      </c>
      <c r="G31" s="34" t="s">
        <v>7566</v>
      </c>
      <c r="H31" s="35">
        <v>2134</v>
      </c>
      <c r="I31" s="36">
        <v>3048</v>
      </c>
      <c r="J31" s="37">
        <v>1</v>
      </c>
      <c r="K31" s="85">
        <f t="shared" si="0"/>
        <v>6.5044319999999995</v>
      </c>
      <c r="L31" s="39" t="s">
        <v>7567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</row>
    <row r="33" spans="1:12" s="27" customFormat="1" ht="19.5" customHeight="1" x14ac:dyDescent="0.3">
      <c r="A33" s="28" t="s">
        <v>7480</v>
      </c>
      <c r="B33" s="16" t="s">
        <v>16</v>
      </c>
      <c r="C33" s="17">
        <v>22</v>
      </c>
      <c r="D33" s="18" t="s">
        <v>45</v>
      </c>
      <c r="E33" s="41">
        <v>1</v>
      </c>
      <c r="F33" s="42">
        <v>1.9</v>
      </c>
      <c r="G33" s="34" t="s">
        <v>7537</v>
      </c>
      <c r="H33" s="35">
        <v>1981</v>
      </c>
      <c r="I33" s="36">
        <v>3353</v>
      </c>
      <c r="J33" s="37">
        <v>1</v>
      </c>
      <c r="K33" s="85">
        <f t="shared" si="0"/>
        <v>6.6422930000000004</v>
      </c>
      <c r="L33" s="39" t="s">
        <v>7568</v>
      </c>
    </row>
    <row r="34" spans="1:12" s="27" customFormat="1" ht="19.5" customHeight="1" x14ac:dyDescent="0.3">
      <c r="A34" s="28"/>
      <c r="B34" s="16"/>
      <c r="C34" s="17">
        <v>22</v>
      </c>
      <c r="D34" s="18" t="s">
        <v>17</v>
      </c>
      <c r="E34" s="41">
        <v>3</v>
      </c>
      <c r="F34" s="42">
        <v>3.12</v>
      </c>
      <c r="G34" s="34"/>
      <c r="H34" s="35"/>
      <c r="I34" s="36"/>
      <c r="J34" s="37"/>
      <c r="K34" s="85">
        <f t="shared" si="0"/>
        <v>0</v>
      </c>
      <c r="L34" s="39" t="s">
        <v>7568</v>
      </c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85">
        <f t="shared" si="0"/>
        <v>0</v>
      </c>
      <c r="L35" s="39"/>
    </row>
    <row r="36" spans="1:12" s="27" customFormat="1" ht="19.5" customHeight="1" x14ac:dyDescent="0.3">
      <c r="A36" s="28" t="s">
        <v>7569</v>
      </c>
      <c r="B36" s="102" t="s">
        <v>145</v>
      </c>
      <c r="C36" s="17">
        <v>8</v>
      </c>
      <c r="D36" s="18" t="s">
        <v>7573</v>
      </c>
      <c r="E36" s="41">
        <v>6</v>
      </c>
      <c r="F36" s="42">
        <v>5.07</v>
      </c>
      <c r="G36" s="34" t="s">
        <v>7574</v>
      </c>
      <c r="H36" s="35">
        <v>2438</v>
      </c>
      <c r="I36" s="36">
        <v>3048</v>
      </c>
      <c r="J36" s="37">
        <v>4</v>
      </c>
      <c r="K36" s="85">
        <f t="shared" si="0"/>
        <v>29.724096000000003</v>
      </c>
      <c r="L36" s="39" t="s">
        <v>7575</v>
      </c>
    </row>
    <row r="37" spans="1:12" s="27" customFormat="1" ht="19.5" customHeight="1" x14ac:dyDescent="0.3">
      <c r="A37" s="28" t="s">
        <v>7571</v>
      </c>
      <c r="B37" s="102" t="s">
        <v>145</v>
      </c>
      <c r="C37" s="17">
        <v>8</v>
      </c>
      <c r="D37" s="18" t="s">
        <v>7573</v>
      </c>
      <c r="E37" s="41">
        <v>5</v>
      </c>
      <c r="F37" s="42">
        <v>2.44</v>
      </c>
      <c r="G37" s="34"/>
      <c r="H37" s="35"/>
      <c r="I37" s="36"/>
      <c r="J37" s="37"/>
      <c r="K37" s="85">
        <f t="shared" si="0"/>
        <v>0</v>
      </c>
      <c r="L37" s="39" t="s">
        <v>7575</v>
      </c>
    </row>
    <row r="38" spans="1:12" s="27" customFormat="1" ht="19.5" customHeight="1" x14ac:dyDescent="0.3">
      <c r="A38" s="28" t="s">
        <v>7572</v>
      </c>
      <c r="B38" s="102" t="s">
        <v>145</v>
      </c>
      <c r="C38" s="17">
        <v>8</v>
      </c>
      <c r="D38" s="18" t="s">
        <v>7573</v>
      </c>
      <c r="E38" s="41">
        <v>6</v>
      </c>
      <c r="F38" s="42">
        <v>6.74</v>
      </c>
      <c r="G38" s="34"/>
      <c r="H38" s="35"/>
      <c r="I38" s="36"/>
      <c r="J38" s="37"/>
      <c r="K38" s="85">
        <f t="shared" si="0"/>
        <v>0</v>
      </c>
      <c r="L38" s="39" t="s">
        <v>7575</v>
      </c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85">
        <f t="shared" si="0"/>
        <v>0</v>
      </c>
      <c r="L39" s="39"/>
    </row>
    <row r="40" spans="1:12" s="27" customFormat="1" ht="19.5" customHeight="1" x14ac:dyDescent="0.3">
      <c r="A40" s="28" t="s">
        <v>7576</v>
      </c>
      <c r="B40" s="16" t="s">
        <v>7570</v>
      </c>
      <c r="C40" s="17">
        <v>22</v>
      </c>
      <c r="D40" s="18" t="s">
        <v>7536</v>
      </c>
      <c r="E40" s="41">
        <v>128</v>
      </c>
      <c r="F40" s="42">
        <v>86</v>
      </c>
      <c r="G40" s="34" t="s">
        <v>7542</v>
      </c>
      <c r="H40" s="35">
        <v>1981</v>
      </c>
      <c r="I40" s="36">
        <v>3353</v>
      </c>
      <c r="J40" s="37">
        <v>14</v>
      </c>
      <c r="K40" s="85">
        <f t="shared" si="0"/>
        <v>92.992102000000003</v>
      </c>
      <c r="L40" s="39" t="s">
        <v>7578</v>
      </c>
    </row>
    <row r="41" spans="1:12" s="27" customFormat="1" ht="19.5" customHeight="1" x14ac:dyDescent="0.3">
      <c r="A41" s="28"/>
      <c r="B41" s="16"/>
      <c r="C41" s="17">
        <v>22</v>
      </c>
      <c r="D41" s="18" t="s">
        <v>7577</v>
      </c>
      <c r="E41" s="41">
        <v>112</v>
      </c>
      <c r="F41" s="42">
        <v>94</v>
      </c>
      <c r="G41" s="34" t="s">
        <v>7537</v>
      </c>
      <c r="H41" s="35">
        <v>1981</v>
      </c>
      <c r="I41" s="36">
        <v>3353</v>
      </c>
      <c r="J41" s="37">
        <f>14+16</f>
        <v>30</v>
      </c>
      <c r="K41" s="85">
        <f t="shared" si="0"/>
        <v>199.26879000000002</v>
      </c>
      <c r="L41" s="39" t="s">
        <v>7579</v>
      </c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85">
        <f t="shared" si="0"/>
        <v>0</v>
      </c>
      <c r="L42" s="39"/>
    </row>
    <row r="43" spans="1:12" s="27" customFormat="1" ht="19.5" customHeight="1" x14ac:dyDescent="0.3">
      <c r="A43" s="28" t="s">
        <v>7580</v>
      </c>
      <c r="B43" s="16" t="s">
        <v>7581</v>
      </c>
      <c r="C43" s="17">
        <v>22</v>
      </c>
      <c r="D43" s="18" t="s">
        <v>45</v>
      </c>
      <c r="E43" s="41">
        <v>220</v>
      </c>
      <c r="F43" s="42">
        <f>232-97.2-45</f>
        <v>89.800000000000011</v>
      </c>
      <c r="G43" s="34" t="s">
        <v>7582</v>
      </c>
      <c r="H43" s="35">
        <v>1981</v>
      </c>
      <c r="I43" s="36">
        <v>3353</v>
      </c>
      <c r="J43" s="37">
        <v>34</v>
      </c>
      <c r="K43" s="85">
        <f t="shared" si="0"/>
        <v>225.837962</v>
      </c>
      <c r="L43" s="39" t="s">
        <v>7583</v>
      </c>
    </row>
    <row r="44" spans="1:12" s="27" customFormat="1" ht="19.5" customHeight="1" x14ac:dyDescent="0.3">
      <c r="A44" s="28"/>
      <c r="B44" s="16"/>
      <c r="C44" s="17">
        <v>22</v>
      </c>
      <c r="D44" s="18" t="s">
        <v>17</v>
      </c>
      <c r="E44" s="41">
        <v>220</v>
      </c>
      <c r="F44" s="42">
        <f>229-96.3-44.7</f>
        <v>87.999999999999986</v>
      </c>
      <c r="G44" s="34"/>
      <c r="H44" s="35"/>
      <c r="I44" s="36"/>
      <c r="J44" s="37"/>
      <c r="K44" s="85">
        <f t="shared" si="0"/>
        <v>0</v>
      </c>
      <c r="L44" s="39" t="s">
        <v>7584</v>
      </c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85">
        <f t="shared" si="0"/>
        <v>0</v>
      </c>
      <c r="L45" s="39"/>
    </row>
    <row r="46" spans="1:12" s="27" customFormat="1" ht="19.5" customHeight="1" x14ac:dyDescent="0.3">
      <c r="A46" s="28" t="s">
        <v>7585</v>
      </c>
      <c r="B46" s="16"/>
      <c r="C46" s="17"/>
      <c r="D46" s="18"/>
      <c r="E46" s="41"/>
      <c r="F46" s="42"/>
      <c r="G46" s="34"/>
      <c r="H46" s="35"/>
      <c r="I46" s="36"/>
      <c r="J46" s="37"/>
      <c r="K46" s="85">
        <f t="shared" si="0"/>
        <v>0</v>
      </c>
      <c r="L46" s="39"/>
    </row>
    <row r="47" spans="1:12" s="27" customFormat="1" ht="19.5" customHeight="1" x14ac:dyDescent="0.3">
      <c r="A47" s="28" t="s">
        <v>7586</v>
      </c>
      <c r="B47" s="16" t="s">
        <v>7587</v>
      </c>
      <c r="C47" s="17">
        <v>5</v>
      </c>
      <c r="D47" s="18" t="s">
        <v>7588</v>
      </c>
      <c r="E47" s="41">
        <v>44</v>
      </c>
      <c r="F47" s="42">
        <v>26.5</v>
      </c>
      <c r="G47" s="34" t="s">
        <v>7589</v>
      </c>
      <c r="H47" s="35">
        <v>1981</v>
      </c>
      <c r="I47" s="36">
        <v>3353</v>
      </c>
      <c r="J47" s="37">
        <v>8</v>
      </c>
      <c r="K47" s="85">
        <f t="shared" si="0"/>
        <v>53.138344000000004</v>
      </c>
      <c r="L47" s="39"/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85">
        <f t="shared" si="0"/>
        <v>0</v>
      </c>
      <c r="L48" s="39"/>
    </row>
    <row r="49" spans="1:12" s="27" customFormat="1" ht="19.5" customHeight="1" x14ac:dyDescent="0.3">
      <c r="A49" s="28" t="s">
        <v>7590</v>
      </c>
      <c r="B49" s="16" t="s">
        <v>7570</v>
      </c>
      <c r="C49" s="17">
        <v>22</v>
      </c>
      <c r="D49" s="18" t="s">
        <v>7591</v>
      </c>
      <c r="E49" s="41">
        <v>112</v>
      </c>
      <c r="F49" s="42">
        <v>94</v>
      </c>
      <c r="G49" s="34" t="s">
        <v>7589</v>
      </c>
      <c r="H49" s="35">
        <v>1981</v>
      </c>
      <c r="I49" s="36">
        <v>3353</v>
      </c>
      <c r="J49" s="37">
        <v>16</v>
      </c>
      <c r="K49" s="85">
        <f t="shared" si="0"/>
        <v>106.27668800000001</v>
      </c>
      <c r="L49" s="39" t="s">
        <v>100</v>
      </c>
    </row>
    <row r="50" spans="1:12" s="27" customFormat="1" ht="19.5" customHeight="1" x14ac:dyDescent="0.3">
      <c r="A50" s="28"/>
      <c r="B50" s="16"/>
      <c r="C50" s="17"/>
      <c r="D50" s="18"/>
      <c r="E50" s="41"/>
      <c r="F50" s="42"/>
      <c r="G50" s="34"/>
      <c r="H50" s="35"/>
      <c r="I50" s="36"/>
      <c r="J50" s="37"/>
      <c r="K50" s="85">
        <f t="shared" si="0"/>
        <v>0</v>
      </c>
      <c r="L50" s="39"/>
    </row>
    <row r="51" spans="1:12" s="27" customFormat="1" ht="19.5" customHeight="1" x14ac:dyDescent="0.3">
      <c r="A51" s="28" t="s">
        <v>7596</v>
      </c>
      <c r="B51" s="16" t="s">
        <v>7593</v>
      </c>
      <c r="C51" s="17">
        <v>22</v>
      </c>
      <c r="D51" s="18" t="s">
        <v>7594</v>
      </c>
      <c r="E51" s="41">
        <v>150</v>
      </c>
      <c r="F51" s="42">
        <v>119.4</v>
      </c>
      <c r="G51" s="34" t="s">
        <v>7582</v>
      </c>
      <c r="H51" s="35">
        <v>1981</v>
      </c>
      <c r="I51" s="36">
        <v>3048</v>
      </c>
      <c r="J51" s="37">
        <v>24</v>
      </c>
      <c r="K51" s="85">
        <f t="shared" si="0"/>
        <v>144.91411200000002</v>
      </c>
      <c r="L51" s="39" t="s">
        <v>7595</v>
      </c>
    </row>
    <row r="52" spans="1:12" s="27" customFormat="1" ht="19.5" customHeight="1" x14ac:dyDescent="0.3">
      <c r="A52" s="28"/>
      <c r="B52" s="16"/>
      <c r="C52" s="17">
        <v>22</v>
      </c>
      <c r="D52" s="18" t="s">
        <v>7594</v>
      </c>
      <c r="E52" s="41">
        <v>30</v>
      </c>
      <c r="F52" s="42">
        <v>19</v>
      </c>
      <c r="G52" s="34"/>
      <c r="H52" s="35"/>
      <c r="I52" s="36"/>
      <c r="J52" s="37"/>
      <c r="K52" s="85">
        <f t="shared" si="0"/>
        <v>0</v>
      </c>
      <c r="L52" s="39" t="s">
        <v>7595</v>
      </c>
    </row>
    <row r="53" spans="1:12" s="27" customFormat="1" ht="19.5" customHeight="1" x14ac:dyDescent="0.3">
      <c r="A53" s="28"/>
      <c r="B53" s="16"/>
      <c r="C53" s="17"/>
      <c r="D53" s="18"/>
      <c r="E53" s="41"/>
      <c r="F53" s="42"/>
      <c r="G53" s="34"/>
      <c r="H53" s="35"/>
      <c r="I53" s="36"/>
      <c r="J53" s="37"/>
      <c r="K53" s="85">
        <f t="shared" si="0"/>
        <v>0</v>
      </c>
      <c r="L53" s="39"/>
    </row>
    <row r="54" spans="1:12" s="27" customFormat="1" ht="19.5" customHeight="1" x14ac:dyDescent="0.3">
      <c r="A54" s="28" t="s">
        <v>7592</v>
      </c>
      <c r="B54" s="16" t="s">
        <v>7593</v>
      </c>
      <c r="C54" s="17">
        <v>22</v>
      </c>
      <c r="D54" s="18" t="s">
        <v>7594</v>
      </c>
      <c r="E54" s="41">
        <v>20</v>
      </c>
      <c r="F54" s="42">
        <v>36.9</v>
      </c>
      <c r="G54" s="34" t="s">
        <v>7582</v>
      </c>
      <c r="H54" s="35">
        <v>1981</v>
      </c>
      <c r="I54" s="36">
        <v>3048</v>
      </c>
      <c r="J54" s="37">
        <v>8</v>
      </c>
      <c r="K54" s="85">
        <f t="shared" si="0"/>
        <v>48.304704000000008</v>
      </c>
      <c r="L54" s="39" t="s">
        <v>7597</v>
      </c>
    </row>
    <row r="55" spans="1:12" s="27" customFormat="1" ht="19.5" customHeight="1" x14ac:dyDescent="0.3">
      <c r="A55" s="28"/>
      <c r="B55" s="16"/>
      <c r="C55" s="17"/>
      <c r="D55" s="18"/>
      <c r="E55" s="41"/>
      <c r="F55" s="42"/>
      <c r="G55" s="34"/>
      <c r="H55" s="35"/>
      <c r="I55" s="36"/>
      <c r="J55" s="37"/>
      <c r="K55" s="85">
        <f t="shared" si="0"/>
        <v>0</v>
      </c>
      <c r="L55" s="39"/>
    </row>
    <row r="56" spans="1:12" s="27" customFormat="1" ht="19.5" customHeight="1" x14ac:dyDescent="0.3">
      <c r="A56" s="28"/>
      <c r="B56" s="16"/>
      <c r="C56" s="17"/>
      <c r="D56" s="18"/>
      <c r="E56" s="41"/>
      <c r="F56" s="42"/>
      <c r="G56" s="34"/>
      <c r="H56" s="35"/>
      <c r="I56" s="36"/>
      <c r="J56" s="37"/>
      <c r="K56" s="85">
        <f t="shared" si="0"/>
        <v>0</v>
      </c>
      <c r="L56" s="39"/>
    </row>
    <row r="57" spans="1:12" s="27" customFormat="1" ht="19.5" customHeight="1" x14ac:dyDescent="0.3">
      <c r="A57" s="28"/>
      <c r="B57" s="16"/>
      <c r="C57" s="17"/>
      <c r="D57" s="18"/>
      <c r="E57" s="41"/>
      <c r="F57" s="42"/>
      <c r="G57" s="34"/>
      <c r="H57" s="35"/>
      <c r="I57" s="36"/>
      <c r="J57" s="37"/>
      <c r="K57" s="85">
        <f t="shared" si="0"/>
        <v>0</v>
      </c>
      <c r="L57" s="39"/>
    </row>
    <row r="58" spans="1:12" s="27" customFormat="1" ht="19.5" customHeight="1" x14ac:dyDescent="0.3">
      <c r="A58" s="28"/>
      <c r="B58" s="16"/>
      <c r="C58" s="17"/>
      <c r="D58" s="18"/>
      <c r="E58" s="41"/>
      <c r="F58" s="42"/>
      <c r="G58" s="34"/>
      <c r="H58" s="35"/>
      <c r="I58" s="36"/>
      <c r="J58" s="37"/>
      <c r="K58" s="85">
        <f t="shared" si="0"/>
        <v>0</v>
      </c>
      <c r="L58" s="39"/>
    </row>
    <row r="59" spans="1:12" s="27" customFormat="1" ht="19.5" customHeight="1" x14ac:dyDescent="0.3">
      <c r="A59" s="28"/>
      <c r="B59" s="16"/>
      <c r="C59" s="17"/>
      <c r="D59" s="18"/>
      <c r="E59" s="41"/>
      <c r="F59" s="42"/>
      <c r="G59" s="34"/>
      <c r="H59" s="35"/>
      <c r="I59" s="36"/>
      <c r="J59" s="37"/>
      <c r="K59" s="85">
        <f t="shared" si="0"/>
        <v>0</v>
      </c>
      <c r="L59" s="39"/>
    </row>
    <row r="60" spans="1:12" s="27" customFormat="1" ht="19.5" customHeight="1" x14ac:dyDescent="0.3">
      <c r="A60" s="28"/>
      <c r="B60" s="16"/>
      <c r="C60" s="17"/>
      <c r="D60" s="18"/>
      <c r="E60" s="41"/>
      <c r="F60" s="42"/>
      <c r="G60" s="34"/>
      <c r="H60" s="35"/>
      <c r="I60" s="36"/>
      <c r="J60" s="37"/>
      <c r="K60" s="85">
        <f t="shared" si="0"/>
        <v>0</v>
      </c>
      <c r="L60" s="39"/>
    </row>
    <row r="61" spans="1:12" s="27" customFormat="1" ht="19.5" customHeight="1" x14ac:dyDescent="0.3">
      <c r="A61" s="28"/>
      <c r="B61" s="16"/>
      <c r="C61" s="17"/>
      <c r="D61" s="18"/>
      <c r="E61" s="41"/>
      <c r="F61" s="42"/>
      <c r="G61" s="34"/>
      <c r="H61" s="35"/>
      <c r="I61" s="36"/>
      <c r="J61" s="37"/>
      <c r="K61" s="85">
        <f t="shared" si="0"/>
        <v>0</v>
      </c>
      <c r="L61" s="39"/>
    </row>
    <row r="62" spans="1:12" s="27" customFormat="1" ht="19.5" customHeight="1" x14ac:dyDescent="0.3">
      <c r="A62" s="28"/>
      <c r="B62" s="16"/>
      <c r="C62" s="17"/>
      <c r="D62" s="18"/>
      <c r="E62" s="41"/>
      <c r="F62" s="42"/>
      <c r="G62" s="34"/>
      <c r="H62" s="35"/>
      <c r="I62" s="36"/>
      <c r="J62" s="37"/>
      <c r="K62" s="85">
        <f t="shared" si="0"/>
        <v>0</v>
      </c>
      <c r="L62" s="39"/>
    </row>
    <row r="63" spans="1:12" s="27" customFormat="1" ht="19.5" customHeight="1" x14ac:dyDescent="0.3">
      <c r="A63" s="28"/>
      <c r="B63" s="16"/>
      <c r="C63" s="17"/>
      <c r="D63" s="18"/>
      <c r="E63" s="41"/>
      <c r="F63" s="42"/>
      <c r="G63" s="34"/>
      <c r="H63" s="35"/>
      <c r="I63" s="36"/>
      <c r="J63" s="37"/>
      <c r="K63" s="85">
        <f t="shared" si="0"/>
        <v>0</v>
      </c>
      <c r="L63" s="39"/>
    </row>
    <row r="64" spans="1:12" s="27" customFormat="1" ht="19.5" customHeight="1" x14ac:dyDescent="0.3">
      <c r="A64" s="28"/>
      <c r="B64" s="16"/>
      <c r="C64" s="17"/>
      <c r="D64" s="18"/>
      <c r="E64" s="41"/>
      <c r="F64" s="42"/>
      <c r="G64" s="34"/>
      <c r="H64" s="35"/>
      <c r="I64" s="36"/>
      <c r="J64" s="37"/>
      <c r="K64" s="85">
        <f t="shared" si="0"/>
        <v>0</v>
      </c>
      <c r="L64" s="39"/>
    </row>
    <row r="65" spans="1:12" s="27" customFormat="1" ht="19.5" customHeight="1" x14ac:dyDescent="0.3">
      <c r="A65" s="28"/>
      <c r="B65" s="16"/>
      <c r="C65" s="17"/>
      <c r="D65" s="18"/>
      <c r="E65" s="41"/>
      <c r="F65" s="42"/>
      <c r="G65" s="34"/>
      <c r="H65" s="35"/>
      <c r="I65" s="36"/>
      <c r="J65" s="37"/>
      <c r="K65" s="85">
        <f t="shared" si="0"/>
        <v>0</v>
      </c>
      <c r="L65" s="39"/>
    </row>
    <row r="66" spans="1:12" s="27" customFormat="1" ht="19.5" customHeight="1" x14ac:dyDescent="0.3">
      <c r="A66" s="28"/>
      <c r="B66" s="16"/>
      <c r="C66" s="17"/>
      <c r="D66" s="18"/>
      <c r="E66" s="41"/>
      <c r="F66" s="42"/>
      <c r="G66" s="34"/>
      <c r="H66" s="35"/>
      <c r="I66" s="36"/>
      <c r="J66" s="37"/>
      <c r="K66" s="85">
        <f t="shared" si="0"/>
        <v>0</v>
      </c>
      <c r="L66" s="39"/>
    </row>
    <row r="67" spans="1:12" s="27" customFormat="1" ht="19.5" customHeight="1" x14ac:dyDescent="0.3">
      <c r="A67" s="28"/>
      <c r="B67" s="16"/>
      <c r="C67" s="17"/>
      <c r="D67" s="18"/>
      <c r="E67" s="41"/>
      <c r="F67" s="42"/>
      <c r="G67" s="34"/>
      <c r="H67" s="35"/>
      <c r="I67" s="36"/>
      <c r="J67" s="37"/>
      <c r="K67" s="85">
        <f t="shared" si="0"/>
        <v>0</v>
      </c>
      <c r="L67" s="39"/>
    </row>
    <row r="68" spans="1:12" s="27" customFormat="1" ht="19.5" customHeight="1" x14ac:dyDescent="0.3">
      <c r="A68" s="28"/>
      <c r="B68" s="16"/>
      <c r="C68" s="17"/>
      <c r="D68" s="18"/>
      <c r="E68" s="41"/>
      <c r="F68" s="42"/>
      <c r="G68" s="34"/>
      <c r="H68" s="35"/>
      <c r="I68" s="36"/>
      <c r="J68" s="37"/>
      <c r="K68" s="85">
        <f t="shared" si="0"/>
        <v>0</v>
      </c>
      <c r="L68" s="39"/>
    </row>
    <row r="69" spans="1:12" s="27" customFormat="1" ht="19.5" customHeight="1" x14ac:dyDescent="0.3">
      <c r="A69" s="28"/>
      <c r="B69" s="29"/>
      <c r="C69" s="30"/>
      <c r="D69" s="31"/>
      <c r="E69" s="41"/>
      <c r="F69" s="42"/>
      <c r="G69" s="43"/>
      <c r="H69" s="35"/>
      <c r="I69" s="36"/>
      <c r="J69" s="37"/>
      <c r="K69" s="85">
        <f t="shared" si="0"/>
        <v>0</v>
      </c>
      <c r="L69" s="39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94"/>
      <c r="B71" s="76"/>
      <c r="C71" s="77"/>
      <c r="D71" s="78"/>
      <c r="E71" s="48"/>
      <c r="F71" s="49"/>
      <c r="G71" s="50"/>
      <c r="H71" s="51"/>
      <c r="I71" s="45"/>
      <c r="J71" s="52"/>
      <c r="K71" s="53">
        <f t="shared" si="0"/>
        <v>0</v>
      </c>
      <c r="L71" s="64"/>
    </row>
    <row r="72" spans="1:12" s="55" customFormat="1" ht="19.5" customHeight="1" x14ac:dyDescent="0.3">
      <c r="A72" s="94"/>
      <c r="B72" s="76"/>
      <c r="C72" s="77"/>
      <c r="D72" s="78"/>
      <c r="E72" s="48"/>
      <c r="F72" s="49"/>
      <c r="G72" s="50"/>
      <c r="H72" s="51"/>
      <c r="I72" s="45"/>
      <c r="J72" s="52"/>
      <c r="K72" s="53">
        <f t="shared" si="0"/>
        <v>0</v>
      </c>
      <c r="L72" s="64"/>
    </row>
    <row r="73" spans="1:12" s="55" customFormat="1" ht="19.5" customHeight="1" x14ac:dyDescent="0.3">
      <c r="A73" s="94"/>
      <c r="B73" s="76"/>
      <c r="C73" s="77"/>
      <c r="D73" s="78"/>
      <c r="E73" s="48"/>
      <c r="F73" s="49"/>
      <c r="G73" s="50"/>
      <c r="H73" s="51"/>
      <c r="I73" s="45"/>
      <c r="J73" s="52"/>
      <c r="K73" s="53">
        <f t="shared" si="0"/>
        <v>0</v>
      </c>
      <c r="L73" s="64"/>
    </row>
    <row r="74" spans="1:12" s="55" customFormat="1" ht="19.5" customHeight="1" x14ac:dyDescent="0.3">
      <c r="A74" s="94"/>
      <c r="B74" s="76"/>
      <c r="C74" s="77"/>
      <c r="D74" s="78"/>
      <c r="E74" s="48"/>
      <c r="F74" s="49"/>
      <c r="G74" s="50"/>
      <c r="H74" s="51"/>
      <c r="I74" s="45"/>
      <c r="J74" s="52"/>
      <c r="K74" s="53">
        <f t="shared" si="0"/>
        <v>0</v>
      </c>
      <c r="L74" s="6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9" customFormat="1" ht="20.100000000000001" customHeight="1" x14ac:dyDescent="0.3">
      <c r="A76" s="44"/>
      <c r="B76" s="45"/>
      <c r="C76" s="46"/>
      <c r="D76" s="47"/>
      <c r="E76" s="56"/>
      <c r="F76" s="57"/>
      <c r="G76" s="50"/>
      <c r="H76" s="51"/>
      <c r="I76" s="45"/>
      <c r="J76" s="52"/>
      <c r="K76" s="53">
        <f t="shared" si="0"/>
        <v>0</v>
      </c>
      <c r="L76" s="58">
        <f>SUM(J70:J77)</f>
        <v>0</v>
      </c>
    </row>
    <row r="77" spans="1:12" s="59" customFormat="1" ht="20.100000000000001" customHeight="1" x14ac:dyDescent="0.3">
      <c r="A77" s="44"/>
      <c r="B77" s="45"/>
      <c r="C77" s="46"/>
      <c r="D77" s="47"/>
      <c r="E77" s="60"/>
      <c r="F77" s="61"/>
      <c r="G77" s="62"/>
      <c r="H77" s="51"/>
      <c r="I77" s="45"/>
      <c r="J77" s="63"/>
      <c r="K77" s="53">
        <f t="shared" si="0"/>
        <v>0</v>
      </c>
      <c r="L77" s="64">
        <f>SUM(K70:K77)</f>
        <v>0</v>
      </c>
    </row>
    <row r="78" spans="1:12" s="59" customFormat="1" ht="20.100000000000001" customHeight="1" thickBot="1" x14ac:dyDescent="0.35">
      <c r="A78" s="114"/>
      <c r="B78" s="115"/>
      <c r="C78" s="115"/>
      <c r="D78" s="115"/>
      <c r="E78" s="115"/>
      <c r="F78" s="115"/>
      <c r="G78" s="115"/>
      <c r="H78" s="115"/>
      <c r="I78" s="115"/>
      <c r="J78" s="65">
        <f>SUM(J7:J77)</f>
        <v>156</v>
      </c>
      <c r="K78" s="66">
        <f>SUM(K7:K77)</f>
        <v>1034.4180429999999</v>
      </c>
      <c r="L78" s="67"/>
    </row>
    <row r="79" spans="1:12" s="59" customFormat="1" ht="20.100000000000001" customHeight="1" thickTop="1" thickBot="1" x14ac:dyDescent="0.35">
      <c r="A79" s="116" t="s">
        <v>52</v>
      </c>
      <c r="B79" s="117"/>
      <c r="C79" s="68"/>
      <c r="D79" s="118">
        <f>J78</f>
        <v>156</v>
      </c>
      <c r="E79" s="119"/>
      <c r="F79" s="119"/>
      <c r="G79" s="120"/>
      <c r="H79" s="121"/>
      <c r="I79" s="121"/>
      <c r="J79" s="122"/>
      <c r="K79" s="119"/>
      <c r="L79" s="123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71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72"/>
      <c r="F85" s="5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5"/>
      <c r="G86" s="73"/>
      <c r="H86" s="5"/>
      <c r="I86" s="74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70"/>
      <c r="G90" s="5"/>
      <c r="H90" s="72"/>
      <c r="I90" s="72"/>
      <c r="J90" s="5"/>
      <c r="K90" s="5"/>
      <c r="L90" s="5"/>
    </row>
    <row r="91" spans="1:12" ht="20.100000000000001" customHeight="1" x14ac:dyDescent="0.3">
      <c r="A91" s="113"/>
      <c r="B91" s="113"/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A94" s="113"/>
      <c r="B94" s="113"/>
      <c r="H94" s="72"/>
      <c r="I94" s="72"/>
    </row>
    <row r="95" spans="1:12" ht="20.100000000000001" customHeight="1" x14ac:dyDescent="0.3">
      <c r="A95" s="113"/>
      <c r="B95" s="113"/>
      <c r="H95" s="72"/>
      <c r="I95" s="72"/>
    </row>
    <row r="96" spans="1:12" ht="20.100000000000001" customHeight="1" x14ac:dyDescent="0.3">
      <c r="H96" s="72"/>
      <c r="I96" s="72"/>
    </row>
    <row r="97" spans="1:12" ht="20.100000000000001" customHeight="1" x14ac:dyDescent="0.3">
      <c r="H97" s="72"/>
      <c r="I97" s="72"/>
    </row>
    <row r="98" spans="1:12" ht="20.100000000000001" customHeight="1" x14ac:dyDescent="0.3">
      <c r="H98" s="72"/>
      <c r="I98" s="72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J99" s="5"/>
      <c r="K99" s="5"/>
      <c r="L99" s="5"/>
    </row>
    <row r="100" spans="1:12" s="72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5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5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5" customFormat="1" ht="19.5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2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2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ht="19.5" customHeight="1" x14ac:dyDescent="0.3"/>
    <row r="107" spans="1:12" ht="19.5" customHeight="1" x14ac:dyDescent="0.3"/>
    <row r="108" spans="1:12" ht="19.5" customHeight="1" x14ac:dyDescent="0.3"/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</sheetData>
  <mergeCells count="30">
    <mergeCell ref="A94:B94"/>
    <mergeCell ref="A95:B95"/>
    <mergeCell ref="A85:B85"/>
    <mergeCell ref="A86:B86"/>
    <mergeCell ref="A87:B87"/>
    <mergeCell ref="A89:B89"/>
    <mergeCell ref="A90:B90"/>
    <mergeCell ref="A91:B91"/>
    <mergeCell ref="A84:B8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8:I78"/>
    <mergeCell ref="A79:B79"/>
    <mergeCell ref="D79:G79"/>
    <mergeCell ref="H79:J79"/>
    <mergeCell ref="K79:L79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198"/>
  <sheetViews>
    <sheetView view="pageBreakPreview" zoomScale="85" zoomScaleNormal="100" zoomScaleSheetLayoutView="85" workbookViewId="0">
      <selection activeCell="C50" sqref="C5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46246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106" si="0">(H7/1000*I7/1000)*J7</f>
        <v>0</v>
      </c>
      <c r="L7" s="26">
        <f>SUM(J7:J62)</f>
        <v>97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SUM(K7:K62)</f>
        <v>643.9955799999999</v>
      </c>
    </row>
    <row r="9" spans="1:12" s="27" customFormat="1" ht="19.5" customHeight="1" x14ac:dyDescent="0.3">
      <c r="A9" s="28" t="s">
        <v>7431</v>
      </c>
      <c r="B9" s="16" t="s">
        <v>7432</v>
      </c>
      <c r="C9" s="17">
        <v>22</v>
      </c>
      <c r="D9" s="18" t="s">
        <v>7433</v>
      </c>
      <c r="E9" s="41">
        <v>120</v>
      </c>
      <c r="F9" s="42">
        <v>92.5</v>
      </c>
      <c r="G9" s="34" t="s">
        <v>7434</v>
      </c>
      <c r="H9" s="35">
        <v>1981</v>
      </c>
      <c r="I9" s="36">
        <v>3353</v>
      </c>
      <c r="J9" s="37">
        <v>18</v>
      </c>
      <c r="K9" s="25">
        <f t="shared" si="0"/>
        <v>119.56127400000001</v>
      </c>
      <c r="L9" s="39" t="s">
        <v>7435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7434</v>
      </c>
      <c r="H10" s="35">
        <v>2134</v>
      </c>
      <c r="I10" s="36">
        <v>3353</v>
      </c>
      <c r="J10" s="37">
        <v>2</v>
      </c>
      <c r="K10" s="85">
        <f t="shared" si="0"/>
        <v>14.310604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 t="s">
        <v>7434</v>
      </c>
      <c r="H11" s="35">
        <v>2134</v>
      </c>
      <c r="I11" s="36">
        <v>3048</v>
      </c>
      <c r="J11" s="37">
        <v>1</v>
      </c>
      <c r="K11" s="85">
        <f t="shared" si="0"/>
        <v>6.5044319999999995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>
        <f t="shared" si="0"/>
        <v>0</v>
      </c>
      <c r="L12" s="39"/>
    </row>
    <row r="13" spans="1:12" s="27" customFormat="1" ht="19.5" customHeight="1" x14ac:dyDescent="0.3">
      <c r="A13" s="28" t="s">
        <v>7436</v>
      </c>
      <c r="B13" s="16" t="s">
        <v>7437</v>
      </c>
      <c r="C13" s="17">
        <v>24</v>
      </c>
      <c r="D13" s="18" t="s">
        <v>7438</v>
      </c>
      <c r="E13" s="41">
        <v>2</v>
      </c>
      <c r="F13" s="42">
        <v>5.7</v>
      </c>
      <c r="G13" s="34" t="s">
        <v>7439</v>
      </c>
      <c r="H13" s="35">
        <v>2438</v>
      </c>
      <c r="I13" s="36">
        <v>3353</v>
      </c>
      <c r="J13" s="37">
        <v>1</v>
      </c>
      <c r="K13" s="85">
        <f t="shared" si="0"/>
        <v>8.174614</v>
      </c>
      <c r="L13" s="39" t="s">
        <v>7440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 t="shared" si="0"/>
        <v>0</v>
      </c>
      <c r="L14" s="39"/>
    </row>
    <row r="15" spans="1:12" s="27" customFormat="1" ht="19.5" customHeight="1" x14ac:dyDescent="0.3">
      <c r="A15" s="28" t="s">
        <v>7441</v>
      </c>
      <c r="B15" s="16" t="s">
        <v>7442</v>
      </c>
      <c r="C15" s="17">
        <v>22</v>
      </c>
      <c r="D15" s="18" t="s">
        <v>7443</v>
      </c>
      <c r="E15" s="41">
        <v>3</v>
      </c>
      <c r="F15" s="42">
        <v>5.84</v>
      </c>
      <c r="G15" s="34" t="s">
        <v>7434</v>
      </c>
      <c r="H15" s="35">
        <v>1981</v>
      </c>
      <c r="I15" s="36">
        <v>3353</v>
      </c>
      <c r="J15" s="37">
        <v>1</v>
      </c>
      <c r="K15" s="85">
        <f t="shared" si="0"/>
        <v>6.6422930000000004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7444</v>
      </c>
      <c r="H16" s="35">
        <v>1981</v>
      </c>
      <c r="I16" s="36">
        <v>3353</v>
      </c>
      <c r="J16" s="37">
        <v>2</v>
      </c>
      <c r="K16" s="85">
        <f t="shared" si="0"/>
        <v>13.284586000000001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0"/>
        <v>0</v>
      </c>
      <c r="L17" s="39"/>
    </row>
    <row r="18" spans="1:12" s="27" customFormat="1" ht="19.5" customHeight="1" x14ac:dyDescent="0.3">
      <c r="A18" s="28" t="s">
        <v>7445</v>
      </c>
      <c r="B18" s="16" t="s">
        <v>7446</v>
      </c>
      <c r="C18" s="17">
        <v>24</v>
      </c>
      <c r="D18" s="18" t="s">
        <v>7448</v>
      </c>
      <c r="E18" s="41">
        <v>3</v>
      </c>
      <c r="F18" s="42">
        <v>7.35</v>
      </c>
      <c r="G18" s="34" t="s">
        <v>7447</v>
      </c>
      <c r="H18" s="35">
        <v>1981</v>
      </c>
      <c r="I18" s="36">
        <v>3048</v>
      </c>
      <c r="J18" s="37">
        <v>2</v>
      </c>
      <c r="K18" s="85">
        <f t="shared" si="0"/>
        <v>12.076176000000002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 t="s">
        <v>7444</v>
      </c>
      <c r="H19" s="35">
        <v>1981</v>
      </c>
      <c r="I19" s="36">
        <v>3353</v>
      </c>
      <c r="J19" s="37">
        <v>2</v>
      </c>
      <c r="K19" s="85">
        <f t="shared" si="0"/>
        <v>13.284586000000001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7449</v>
      </c>
      <c r="B21" s="16" t="s">
        <v>7450</v>
      </c>
      <c r="C21" s="17">
        <v>8</v>
      </c>
      <c r="D21" s="18" t="s">
        <v>7451</v>
      </c>
      <c r="E21" s="41">
        <v>1</v>
      </c>
      <c r="F21" s="42">
        <v>0.96</v>
      </c>
      <c r="G21" s="34"/>
      <c r="H21" s="35"/>
      <c r="I21" s="36"/>
      <c r="J21" s="37"/>
      <c r="K21" s="85">
        <f t="shared" si="0"/>
        <v>0</v>
      </c>
      <c r="L21" s="39" t="s">
        <v>7452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7453</v>
      </c>
      <c r="B23" s="16" t="s">
        <v>7454</v>
      </c>
      <c r="C23" s="17">
        <v>22</v>
      </c>
      <c r="D23" s="18" t="s">
        <v>7455</v>
      </c>
      <c r="E23" s="41">
        <v>2</v>
      </c>
      <c r="F23" s="42">
        <v>6.46</v>
      </c>
      <c r="G23" s="34" t="s">
        <v>7457</v>
      </c>
      <c r="H23" s="35">
        <v>1981</v>
      </c>
      <c r="I23" s="36">
        <v>3353</v>
      </c>
      <c r="J23" s="37">
        <v>1</v>
      </c>
      <c r="K23" s="85">
        <f t="shared" si="0"/>
        <v>6.6422930000000004</v>
      </c>
      <c r="L23" s="39" t="s">
        <v>7462</v>
      </c>
    </row>
    <row r="24" spans="1:12" s="27" customFormat="1" ht="19.5" customHeight="1" x14ac:dyDescent="0.3">
      <c r="A24" s="28"/>
      <c r="B24" s="16"/>
      <c r="C24" s="17">
        <v>22</v>
      </c>
      <c r="D24" s="18" t="s">
        <v>7456</v>
      </c>
      <c r="E24" s="41">
        <v>2</v>
      </c>
      <c r="F24" s="42">
        <v>2.98</v>
      </c>
      <c r="G24" s="34" t="s">
        <v>7434</v>
      </c>
      <c r="H24" s="35">
        <v>1981</v>
      </c>
      <c r="I24" s="36">
        <v>3353</v>
      </c>
      <c r="J24" s="37">
        <v>1</v>
      </c>
      <c r="K24" s="85">
        <f t="shared" si="0"/>
        <v>6.6422930000000004</v>
      </c>
      <c r="L24" s="39" t="s">
        <v>7462</v>
      </c>
    </row>
    <row r="25" spans="1:12" s="27" customFormat="1" ht="19.5" customHeight="1" x14ac:dyDescent="0.3">
      <c r="A25" s="28"/>
      <c r="B25" s="16"/>
      <c r="C25" s="17">
        <v>22</v>
      </c>
      <c r="D25" s="18" t="s">
        <v>7443</v>
      </c>
      <c r="E25" s="41">
        <v>4</v>
      </c>
      <c r="F25" s="42">
        <v>9.44</v>
      </c>
      <c r="G25" s="34" t="s">
        <v>7434</v>
      </c>
      <c r="H25" s="35">
        <v>2286</v>
      </c>
      <c r="I25" s="36">
        <v>3353</v>
      </c>
      <c r="J25" s="37">
        <v>1</v>
      </c>
      <c r="K25" s="85">
        <f t="shared" si="0"/>
        <v>7.6649580000000004</v>
      </c>
      <c r="L25" s="39" t="s">
        <v>7462</v>
      </c>
    </row>
    <row r="26" spans="1:12" s="27" customFormat="1" ht="19.5" customHeight="1" x14ac:dyDescent="0.3">
      <c r="A26" s="28" t="s">
        <v>7459</v>
      </c>
      <c r="B26" s="16" t="s">
        <v>7460</v>
      </c>
      <c r="C26" s="17">
        <v>22</v>
      </c>
      <c r="D26" s="18" t="s">
        <v>7443</v>
      </c>
      <c r="E26" s="41">
        <v>1</v>
      </c>
      <c r="F26" s="42">
        <v>1.68</v>
      </c>
      <c r="G26" s="34" t="s">
        <v>7458</v>
      </c>
      <c r="H26" s="35">
        <v>1981</v>
      </c>
      <c r="I26" s="36">
        <v>3353</v>
      </c>
      <c r="J26" s="37">
        <v>3</v>
      </c>
      <c r="K26" s="85">
        <f t="shared" si="0"/>
        <v>19.926879</v>
      </c>
      <c r="L26" s="39" t="s">
        <v>7462</v>
      </c>
    </row>
    <row r="27" spans="1:12" s="27" customFormat="1" ht="19.5" customHeight="1" x14ac:dyDescent="0.3">
      <c r="A27" s="28"/>
      <c r="B27" s="16"/>
      <c r="C27" s="17">
        <v>22</v>
      </c>
      <c r="D27" s="18" t="s">
        <v>7456</v>
      </c>
      <c r="E27" s="41">
        <v>3</v>
      </c>
      <c r="F27" s="42">
        <v>2.88</v>
      </c>
      <c r="G27" s="34" t="s">
        <v>7461</v>
      </c>
      <c r="H27" s="35">
        <v>1981</v>
      </c>
      <c r="I27" s="36">
        <v>3353</v>
      </c>
      <c r="J27" s="37">
        <v>1</v>
      </c>
      <c r="K27" s="85">
        <f t="shared" si="0"/>
        <v>6.6422930000000004</v>
      </c>
      <c r="L27" s="39" t="s">
        <v>7462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 t="s">
        <v>7463</v>
      </c>
      <c r="B29" s="16" t="s">
        <v>7464</v>
      </c>
      <c r="C29" s="17">
        <v>22</v>
      </c>
      <c r="D29" s="18" t="s">
        <v>7465</v>
      </c>
      <c r="E29" s="41">
        <v>1</v>
      </c>
      <c r="F29" s="42">
        <v>1.23</v>
      </c>
      <c r="G29" s="34"/>
      <c r="H29" s="35"/>
      <c r="I29" s="36"/>
      <c r="J29" s="37"/>
      <c r="K29" s="85">
        <f t="shared" si="0"/>
        <v>0</v>
      </c>
      <c r="L29" s="39" t="s">
        <v>7452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0"/>
        <v>0</v>
      </c>
      <c r="L30" s="39"/>
    </row>
    <row r="31" spans="1:12" s="27" customFormat="1" ht="19.5" customHeight="1" x14ac:dyDescent="0.3">
      <c r="A31" s="28" t="s">
        <v>7466</v>
      </c>
      <c r="B31" s="16" t="s">
        <v>7467</v>
      </c>
      <c r="C31" s="17">
        <v>24</v>
      </c>
      <c r="D31" s="18" t="s">
        <v>7468</v>
      </c>
      <c r="E31" s="41">
        <v>1</v>
      </c>
      <c r="F31" s="42">
        <v>0.56999999999999995</v>
      </c>
      <c r="G31" s="34"/>
      <c r="H31" s="35"/>
      <c r="I31" s="36"/>
      <c r="J31" s="37"/>
      <c r="K31" s="85">
        <f t="shared" si="0"/>
        <v>0</v>
      </c>
      <c r="L31" s="39" t="s">
        <v>7452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</row>
    <row r="33" spans="1:12" s="27" customFormat="1" ht="19.5" customHeight="1" x14ac:dyDescent="0.3">
      <c r="A33" s="28" t="s">
        <v>7469</v>
      </c>
      <c r="B33" s="16" t="s">
        <v>7470</v>
      </c>
      <c r="C33" s="17">
        <v>22</v>
      </c>
      <c r="D33" s="18" t="s">
        <v>45</v>
      </c>
      <c r="E33" s="41">
        <v>12</v>
      </c>
      <c r="F33" s="42">
        <v>10.97</v>
      </c>
      <c r="G33" s="34" t="s">
        <v>49</v>
      </c>
      <c r="H33" s="35">
        <v>1981</v>
      </c>
      <c r="I33" s="36">
        <v>3353</v>
      </c>
      <c r="J33" s="37">
        <v>2</v>
      </c>
      <c r="K33" s="85">
        <f t="shared" si="0"/>
        <v>13.284586000000001</v>
      </c>
      <c r="L33" s="39" t="s">
        <v>7474</v>
      </c>
    </row>
    <row r="34" spans="1:12" s="27" customFormat="1" ht="19.5" customHeight="1" x14ac:dyDescent="0.3">
      <c r="A34" s="28"/>
      <c r="B34" s="16"/>
      <c r="C34" s="17">
        <v>22</v>
      </c>
      <c r="D34" s="18" t="s">
        <v>17</v>
      </c>
      <c r="E34" s="41">
        <v>12</v>
      </c>
      <c r="F34" s="42">
        <v>10.84</v>
      </c>
      <c r="G34" s="34" t="s">
        <v>18</v>
      </c>
      <c r="H34" s="35">
        <v>1981</v>
      </c>
      <c r="I34" s="36">
        <v>3353</v>
      </c>
      <c r="J34" s="37">
        <v>2</v>
      </c>
      <c r="K34" s="85">
        <f t="shared" si="0"/>
        <v>13.284586000000001</v>
      </c>
      <c r="L34" s="39" t="s">
        <v>7435</v>
      </c>
    </row>
    <row r="35" spans="1:12" s="27" customFormat="1" ht="19.5" customHeight="1" x14ac:dyDescent="0.3">
      <c r="A35" s="28"/>
      <c r="B35" s="16"/>
      <c r="C35" s="17">
        <v>22</v>
      </c>
      <c r="D35" s="18" t="s">
        <v>45</v>
      </c>
      <c r="E35" s="41">
        <v>2</v>
      </c>
      <c r="F35" s="42">
        <v>0.56000000000000005</v>
      </c>
      <c r="G35" s="34"/>
      <c r="H35" s="35"/>
      <c r="I35" s="36"/>
      <c r="J35" s="37"/>
      <c r="K35" s="85">
        <f t="shared" si="0"/>
        <v>0</v>
      </c>
      <c r="L35" s="39" t="s">
        <v>7474</v>
      </c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85">
        <f t="shared" si="0"/>
        <v>0</v>
      </c>
      <c r="L36" s="39"/>
    </row>
    <row r="37" spans="1:12" s="27" customFormat="1" ht="19.5" customHeight="1" x14ac:dyDescent="0.3">
      <c r="A37" s="28" t="s">
        <v>7471</v>
      </c>
      <c r="B37" s="16" t="s">
        <v>7470</v>
      </c>
      <c r="C37" s="17">
        <v>22</v>
      </c>
      <c r="D37" s="18" t="s">
        <v>45</v>
      </c>
      <c r="E37" s="41">
        <v>10</v>
      </c>
      <c r="F37" s="42">
        <v>10.41</v>
      </c>
      <c r="G37" s="34" t="s">
        <v>49</v>
      </c>
      <c r="H37" s="35">
        <v>1981</v>
      </c>
      <c r="I37" s="36">
        <v>3353</v>
      </c>
      <c r="J37" s="37">
        <v>3</v>
      </c>
      <c r="K37" s="85">
        <f t="shared" si="0"/>
        <v>19.926879</v>
      </c>
      <c r="L37" s="39" t="s">
        <v>7474</v>
      </c>
    </row>
    <row r="38" spans="1:12" s="27" customFormat="1" ht="19.5" customHeight="1" x14ac:dyDescent="0.3">
      <c r="A38" s="28"/>
      <c r="B38" s="16"/>
      <c r="C38" s="17">
        <v>22</v>
      </c>
      <c r="D38" s="18" t="s">
        <v>17</v>
      </c>
      <c r="E38" s="41">
        <v>10</v>
      </c>
      <c r="F38" s="42">
        <v>10.28</v>
      </c>
      <c r="G38" s="34" t="s">
        <v>18</v>
      </c>
      <c r="H38" s="35">
        <v>1981</v>
      </c>
      <c r="I38" s="36">
        <v>3353</v>
      </c>
      <c r="J38" s="37">
        <v>2</v>
      </c>
      <c r="K38" s="85">
        <f t="shared" si="0"/>
        <v>13.284586000000001</v>
      </c>
      <c r="L38" s="39" t="s">
        <v>7435</v>
      </c>
    </row>
    <row r="39" spans="1:12" s="27" customFormat="1" ht="19.5" customHeight="1" x14ac:dyDescent="0.3">
      <c r="A39" s="28"/>
      <c r="B39" s="16"/>
      <c r="C39" s="17">
        <v>22</v>
      </c>
      <c r="D39" s="18" t="s">
        <v>45</v>
      </c>
      <c r="E39" s="41">
        <v>2</v>
      </c>
      <c r="F39" s="42">
        <v>0.56000000000000005</v>
      </c>
      <c r="G39" s="34"/>
      <c r="H39" s="35"/>
      <c r="I39" s="36"/>
      <c r="J39" s="37"/>
      <c r="K39" s="85">
        <f t="shared" si="0"/>
        <v>0</v>
      </c>
      <c r="L39" s="39" t="s">
        <v>7474</v>
      </c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85">
        <f t="shared" si="0"/>
        <v>0</v>
      </c>
      <c r="L40" s="39"/>
    </row>
    <row r="41" spans="1:12" s="27" customFormat="1" ht="19.5" customHeight="1" x14ac:dyDescent="0.3">
      <c r="A41" s="28" t="s">
        <v>7472</v>
      </c>
      <c r="B41" s="16" t="s">
        <v>7470</v>
      </c>
      <c r="C41" s="17">
        <v>22</v>
      </c>
      <c r="D41" s="18" t="s">
        <v>146</v>
      </c>
      <c r="E41" s="41">
        <v>2</v>
      </c>
      <c r="F41" s="42">
        <v>6.56</v>
      </c>
      <c r="G41" s="34" t="s">
        <v>49</v>
      </c>
      <c r="H41" s="35">
        <v>1981</v>
      </c>
      <c r="I41" s="36">
        <v>3353</v>
      </c>
      <c r="J41" s="37">
        <v>2</v>
      </c>
      <c r="K41" s="85">
        <f t="shared" ref="K41:K59" si="1">(H41/1000*I41/1000)*J41</f>
        <v>13.284586000000001</v>
      </c>
      <c r="L41" s="39"/>
    </row>
    <row r="42" spans="1:12" s="27" customFormat="1" ht="19.5" customHeight="1" x14ac:dyDescent="0.3">
      <c r="A42" s="28"/>
      <c r="B42" s="16"/>
      <c r="C42" s="17">
        <v>22</v>
      </c>
      <c r="D42" s="18" t="s">
        <v>45</v>
      </c>
      <c r="E42" s="41">
        <v>18</v>
      </c>
      <c r="F42" s="42">
        <v>14.84</v>
      </c>
      <c r="G42" s="34" t="s">
        <v>49</v>
      </c>
      <c r="H42" s="35">
        <v>2134</v>
      </c>
      <c r="I42" s="36">
        <v>3353</v>
      </c>
      <c r="J42" s="37">
        <v>1</v>
      </c>
      <c r="K42" s="85">
        <f t="shared" si="1"/>
        <v>7.1553019999999998</v>
      </c>
      <c r="L42" s="39"/>
    </row>
    <row r="43" spans="1:12" s="27" customFormat="1" ht="19.5" customHeight="1" x14ac:dyDescent="0.3">
      <c r="A43" s="28"/>
      <c r="B43" s="16"/>
      <c r="C43" s="17">
        <v>22</v>
      </c>
      <c r="D43" s="18" t="s">
        <v>17</v>
      </c>
      <c r="E43" s="41">
        <v>20</v>
      </c>
      <c r="F43" s="42">
        <v>21.2</v>
      </c>
      <c r="G43" s="34" t="s">
        <v>18</v>
      </c>
      <c r="H43" s="35">
        <v>1981</v>
      </c>
      <c r="I43" s="36">
        <v>3353</v>
      </c>
      <c r="J43" s="37">
        <v>3</v>
      </c>
      <c r="K43" s="85">
        <f t="shared" si="1"/>
        <v>19.926879</v>
      </c>
      <c r="L43" s="39"/>
    </row>
    <row r="44" spans="1:12" s="27" customFormat="1" ht="19.5" customHeight="1" x14ac:dyDescent="0.3">
      <c r="A44" s="28"/>
      <c r="B44" s="16"/>
      <c r="C44" s="17">
        <v>22</v>
      </c>
      <c r="D44" s="18" t="s">
        <v>45</v>
      </c>
      <c r="E44" s="41">
        <v>4</v>
      </c>
      <c r="F44" s="42">
        <v>1.1200000000000001</v>
      </c>
      <c r="G44" s="34" t="s">
        <v>19</v>
      </c>
      <c r="H44" s="35">
        <v>1981</v>
      </c>
      <c r="I44" s="36">
        <v>3353</v>
      </c>
      <c r="J44" s="37">
        <v>5</v>
      </c>
      <c r="K44" s="85">
        <f t="shared" si="1"/>
        <v>33.211465000000004</v>
      </c>
      <c r="L44" s="39"/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 t="s">
        <v>39</v>
      </c>
      <c r="H45" s="35">
        <v>2134</v>
      </c>
      <c r="I45" s="36">
        <v>3353</v>
      </c>
      <c r="J45" s="37">
        <v>1</v>
      </c>
      <c r="K45" s="85">
        <f t="shared" si="1"/>
        <v>7.1553019999999998</v>
      </c>
      <c r="L45" s="39"/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/>
      <c r="H46" s="35"/>
      <c r="I46" s="36"/>
      <c r="J46" s="37"/>
      <c r="K46" s="85">
        <f t="shared" si="1"/>
        <v>0</v>
      </c>
      <c r="L46" s="39"/>
    </row>
    <row r="47" spans="1:12" s="27" customFormat="1" ht="19.5" customHeight="1" x14ac:dyDescent="0.3">
      <c r="A47" s="28" t="s">
        <v>7473</v>
      </c>
      <c r="B47" s="16" t="s">
        <v>7470</v>
      </c>
      <c r="C47" s="17">
        <v>22</v>
      </c>
      <c r="D47" s="18" t="s">
        <v>45</v>
      </c>
      <c r="E47" s="41">
        <v>24</v>
      </c>
      <c r="F47" s="42">
        <v>23.76</v>
      </c>
      <c r="G47" s="34" t="s">
        <v>49</v>
      </c>
      <c r="H47" s="35">
        <v>1981</v>
      </c>
      <c r="I47" s="36">
        <v>3353</v>
      </c>
      <c r="J47" s="37">
        <v>4</v>
      </c>
      <c r="K47" s="85">
        <f t="shared" si="1"/>
        <v>26.569172000000002</v>
      </c>
      <c r="L47" s="39"/>
    </row>
    <row r="48" spans="1:12" s="27" customFormat="1" ht="19.5" customHeight="1" x14ac:dyDescent="0.3">
      <c r="A48" s="28"/>
      <c r="B48" s="16"/>
      <c r="C48" s="17">
        <v>22</v>
      </c>
      <c r="D48" s="18" t="s">
        <v>17</v>
      </c>
      <c r="E48" s="41">
        <v>24</v>
      </c>
      <c r="F48" s="42">
        <v>23.52</v>
      </c>
      <c r="G48" s="34" t="s">
        <v>18</v>
      </c>
      <c r="H48" s="35">
        <v>1981</v>
      </c>
      <c r="I48" s="36">
        <v>3353</v>
      </c>
      <c r="J48" s="37">
        <v>4</v>
      </c>
      <c r="K48" s="85">
        <f t="shared" si="1"/>
        <v>26.569172000000002</v>
      </c>
      <c r="L48" s="39"/>
    </row>
    <row r="49" spans="1:12" s="27" customFormat="1" ht="19.5" customHeight="1" x14ac:dyDescent="0.3">
      <c r="A49" s="28"/>
      <c r="B49" s="16"/>
      <c r="C49" s="17">
        <v>22</v>
      </c>
      <c r="D49" s="18" t="s">
        <v>45</v>
      </c>
      <c r="E49" s="41">
        <v>4</v>
      </c>
      <c r="F49" s="42">
        <v>1.1200000000000001</v>
      </c>
      <c r="G49" s="34" t="s">
        <v>19</v>
      </c>
      <c r="H49" s="35">
        <v>1981</v>
      </c>
      <c r="I49" s="36">
        <v>3353</v>
      </c>
      <c r="J49" s="37">
        <v>8</v>
      </c>
      <c r="K49" s="85">
        <f t="shared" si="1"/>
        <v>53.138344000000004</v>
      </c>
      <c r="L49" s="39"/>
    </row>
    <row r="50" spans="1:12" s="27" customFormat="1" ht="19.5" customHeight="1" x14ac:dyDescent="0.3">
      <c r="A50" s="28"/>
      <c r="B50" s="16"/>
      <c r="C50" s="17"/>
      <c r="D50" s="18"/>
      <c r="E50" s="41"/>
      <c r="F50" s="42"/>
      <c r="G50" s="34"/>
      <c r="H50" s="35"/>
      <c r="I50" s="36"/>
      <c r="J50" s="37"/>
      <c r="K50" s="85">
        <f t="shared" si="1"/>
        <v>0</v>
      </c>
      <c r="L50" s="39"/>
    </row>
    <row r="51" spans="1:12" s="27" customFormat="1" ht="19.5" customHeight="1" x14ac:dyDescent="0.3">
      <c r="A51" s="28" t="s">
        <v>7475</v>
      </c>
      <c r="B51" s="16"/>
      <c r="C51" s="17"/>
      <c r="D51" s="18"/>
      <c r="E51" s="41"/>
      <c r="F51" s="42"/>
      <c r="G51" s="34"/>
      <c r="H51" s="35"/>
      <c r="I51" s="36"/>
      <c r="J51" s="37"/>
      <c r="K51" s="85">
        <f t="shared" si="1"/>
        <v>0</v>
      </c>
      <c r="L51" s="39"/>
    </row>
    <row r="52" spans="1:12" s="27" customFormat="1" ht="19.5" customHeight="1" x14ac:dyDescent="0.3">
      <c r="A52" s="28" t="s">
        <v>7507</v>
      </c>
      <c r="B52" s="16" t="s">
        <v>7508</v>
      </c>
      <c r="C52" s="17">
        <v>5</v>
      </c>
      <c r="D52" s="18" t="s">
        <v>7509</v>
      </c>
      <c r="E52" s="41">
        <v>82</v>
      </c>
      <c r="F52" s="42">
        <v>36.659999999999997</v>
      </c>
      <c r="G52" s="34" t="s">
        <v>7510</v>
      </c>
      <c r="H52" s="35">
        <v>1829</v>
      </c>
      <c r="I52" s="36">
        <v>3353</v>
      </c>
      <c r="J52" s="37">
        <v>7</v>
      </c>
      <c r="K52" s="85">
        <f t="shared" si="1"/>
        <v>42.928458999999997</v>
      </c>
      <c r="L52" s="39"/>
    </row>
    <row r="53" spans="1:12" s="27" customFormat="1" ht="19.5" customHeight="1" x14ac:dyDescent="0.3">
      <c r="A53" s="28"/>
      <c r="B53" s="16"/>
      <c r="C53" s="17"/>
      <c r="D53" s="18"/>
      <c r="E53" s="41"/>
      <c r="F53" s="42"/>
      <c r="G53" s="34"/>
      <c r="H53" s="35"/>
      <c r="I53" s="36"/>
      <c r="J53" s="37"/>
      <c r="K53" s="85">
        <f t="shared" si="1"/>
        <v>0</v>
      </c>
      <c r="L53" s="39"/>
    </row>
    <row r="54" spans="1:12" s="27" customFormat="1" ht="19.5" customHeight="1" x14ac:dyDescent="0.3">
      <c r="A54" s="28" t="s">
        <v>7513</v>
      </c>
      <c r="B54" s="16" t="s">
        <v>7508</v>
      </c>
      <c r="C54" s="17">
        <v>5</v>
      </c>
      <c r="D54" s="18" t="s">
        <v>7514</v>
      </c>
      <c r="E54" s="41">
        <v>38</v>
      </c>
      <c r="F54" s="42">
        <v>30.83</v>
      </c>
      <c r="G54" s="34" t="s">
        <v>7515</v>
      </c>
      <c r="H54" s="35">
        <v>1981</v>
      </c>
      <c r="I54" s="36">
        <v>3353</v>
      </c>
      <c r="J54" s="37">
        <v>5</v>
      </c>
      <c r="K54" s="85">
        <f t="shared" si="1"/>
        <v>33.211465000000004</v>
      </c>
      <c r="L54" s="39"/>
    </row>
    <row r="55" spans="1:12" s="27" customFormat="1" ht="19.5" customHeight="1" x14ac:dyDescent="0.3">
      <c r="A55" s="28"/>
      <c r="B55" s="16"/>
      <c r="C55" s="17"/>
      <c r="D55" s="18"/>
      <c r="E55" s="41"/>
      <c r="F55" s="42"/>
      <c r="G55" s="34"/>
      <c r="H55" s="35"/>
      <c r="I55" s="36"/>
      <c r="J55" s="37"/>
      <c r="K55" s="85">
        <f t="shared" si="1"/>
        <v>0</v>
      </c>
      <c r="L55" s="39"/>
    </row>
    <row r="56" spans="1:12" s="27" customFormat="1" ht="19.5" customHeight="1" x14ac:dyDescent="0.3">
      <c r="A56" s="28" t="s">
        <v>7516</v>
      </c>
      <c r="B56" s="16" t="s">
        <v>7508</v>
      </c>
      <c r="C56" s="17">
        <v>5</v>
      </c>
      <c r="D56" s="18" t="s">
        <v>7514</v>
      </c>
      <c r="E56" s="41">
        <v>26</v>
      </c>
      <c r="F56" s="42">
        <v>20.79</v>
      </c>
      <c r="G56" s="34" t="s">
        <v>7515</v>
      </c>
      <c r="H56" s="35">
        <v>1981</v>
      </c>
      <c r="I56" s="36">
        <v>3353</v>
      </c>
      <c r="J56" s="37">
        <v>4</v>
      </c>
      <c r="K56" s="85">
        <f t="shared" si="1"/>
        <v>26.569172000000002</v>
      </c>
      <c r="L56" s="39"/>
    </row>
    <row r="57" spans="1:12" s="27" customFormat="1" ht="19.5" customHeight="1" x14ac:dyDescent="0.3">
      <c r="A57" s="28"/>
      <c r="B57" s="16"/>
      <c r="C57" s="17"/>
      <c r="D57" s="18"/>
      <c r="E57" s="41"/>
      <c r="F57" s="42"/>
      <c r="G57" s="34"/>
      <c r="H57" s="35"/>
      <c r="I57" s="36"/>
      <c r="J57" s="37"/>
      <c r="K57" s="85">
        <f t="shared" si="1"/>
        <v>0</v>
      </c>
      <c r="L57" s="39"/>
    </row>
    <row r="58" spans="1:12" s="27" customFormat="1" ht="19.5" customHeight="1" x14ac:dyDescent="0.3">
      <c r="A58" s="28" t="s">
        <v>7517</v>
      </c>
      <c r="B58" s="16" t="s">
        <v>7508</v>
      </c>
      <c r="C58" s="17">
        <v>5</v>
      </c>
      <c r="D58" s="18" t="s">
        <v>7514</v>
      </c>
      <c r="E58" s="41">
        <v>29</v>
      </c>
      <c r="F58" s="42">
        <v>23.65</v>
      </c>
      <c r="G58" s="34" t="s">
        <v>7515</v>
      </c>
      <c r="H58" s="35">
        <v>1981</v>
      </c>
      <c r="I58" s="36">
        <v>3353</v>
      </c>
      <c r="J58" s="37">
        <v>4</v>
      </c>
      <c r="K58" s="85">
        <f t="shared" si="1"/>
        <v>26.569172000000002</v>
      </c>
      <c r="L58" s="39"/>
    </row>
    <row r="59" spans="1:12" s="27" customFormat="1" ht="19.5" customHeight="1" x14ac:dyDescent="0.3">
      <c r="A59" s="28"/>
      <c r="B59" s="16"/>
      <c r="C59" s="17"/>
      <c r="D59" s="18"/>
      <c r="E59" s="41"/>
      <c r="F59" s="42"/>
      <c r="G59" s="34"/>
      <c r="H59" s="35"/>
      <c r="I59" s="36"/>
      <c r="J59" s="37"/>
      <c r="K59" s="85">
        <f t="shared" si="1"/>
        <v>0</v>
      </c>
      <c r="L59" s="39"/>
    </row>
    <row r="60" spans="1:12" s="27" customFormat="1" ht="19.5" customHeight="1" x14ac:dyDescent="0.3">
      <c r="A60" s="28" t="s">
        <v>7518</v>
      </c>
      <c r="B60" s="16" t="s">
        <v>7508</v>
      </c>
      <c r="C60" s="17">
        <v>5</v>
      </c>
      <c r="D60" s="18" t="s">
        <v>7514</v>
      </c>
      <c r="E60" s="41">
        <v>26</v>
      </c>
      <c r="F60" s="42">
        <v>22.02</v>
      </c>
      <c r="G60" s="34" t="s">
        <v>7515</v>
      </c>
      <c r="H60" s="35">
        <v>1981</v>
      </c>
      <c r="I60" s="36">
        <v>3353</v>
      </c>
      <c r="J60" s="37">
        <v>4</v>
      </c>
      <c r="K60" s="85">
        <f t="shared" si="0"/>
        <v>26.569172000000002</v>
      </c>
      <c r="L60" s="39"/>
    </row>
    <row r="61" spans="1:12" s="27" customFormat="1" ht="19.5" customHeight="1" x14ac:dyDescent="0.3">
      <c r="A61" s="28"/>
      <c r="B61" s="16"/>
      <c r="C61" s="17"/>
      <c r="D61" s="18"/>
      <c r="E61" s="41"/>
      <c r="F61" s="42"/>
      <c r="G61" s="34"/>
      <c r="H61" s="35"/>
      <c r="I61" s="36"/>
      <c r="J61" s="37"/>
      <c r="K61" s="85">
        <f t="shared" si="0"/>
        <v>0</v>
      </c>
      <c r="L61" s="39"/>
    </row>
    <row r="62" spans="1:12" s="27" customFormat="1" ht="19.5" customHeight="1" x14ac:dyDescent="0.3">
      <c r="A62" s="28"/>
      <c r="B62" s="29"/>
      <c r="C62" s="30"/>
      <c r="D62" s="31"/>
      <c r="E62" s="41"/>
      <c r="F62" s="42"/>
      <c r="G62" s="43"/>
      <c r="H62" s="35"/>
      <c r="I62" s="36"/>
      <c r="J62" s="37"/>
      <c r="K62" s="85">
        <f t="shared" si="0"/>
        <v>0</v>
      </c>
      <c r="L62" s="39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94" t="s">
        <v>7476</v>
      </c>
      <c r="B64" s="76" t="s">
        <v>7477</v>
      </c>
      <c r="C64" s="77">
        <v>24</v>
      </c>
      <c r="D64" s="78" t="s">
        <v>7478</v>
      </c>
      <c r="E64" s="48">
        <v>57</v>
      </c>
      <c r="F64" s="49">
        <v>71.540000000000006</v>
      </c>
      <c r="G64" s="50" t="s">
        <v>7479</v>
      </c>
      <c r="H64" s="51">
        <v>2438</v>
      </c>
      <c r="I64" s="45">
        <v>3553</v>
      </c>
      <c r="J64" s="52">
        <v>11</v>
      </c>
      <c r="K64" s="53">
        <f t="shared" si="0"/>
        <v>95.284354000000008</v>
      </c>
      <c r="L64" s="64"/>
    </row>
    <row r="65" spans="1:12" s="55" customFormat="1" ht="19.5" customHeight="1" x14ac:dyDescent="0.3">
      <c r="A65" s="94"/>
      <c r="B65" s="76"/>
      <c r="C65" s="77"/>
      <c r="D65" s="78"/>
      <c r="E65" s="48"/>
      <c r="F65" s="49"/>
      <c r="G65" s="50" t="s">
        <v>7439</v>
      </c>
      <c r="H65" s="51">
        <v>2438</v>
      </c>
      <c r="I65" s="45">
        <v>3353</v>
      </c>
      <c r="J65" s="52">
        <v>10</v>
      </c>
      <c r="K65" s="53">
        <f t="shared" si="0"/>
        <v>81.746139999999997</v>
      </c>
      <c r="L65" s="64"/>
    </row>
    <row r="66" spans="1:12" s="55" customFormat="1" ht="19.5" customHeight="1" x14ac:dyDescent="0.3">
      <c r="A66" s="94"/>
      <c r="B66" s="76"/>
      <c r="C66" s="77"/>
      <c r="D66" s="78"/>
      <c r="E66" s="48"/>
      <c r="F66" s="49"/>
      <c r="G66" s="50"/>
      <c r="H66" s="51"/>
      <c r="I66" s="45"/>
      <c r="J66" s="52"/>
      <c r="K66" s="53">
        <f t="shared" si="0"/>
        <v>0</v>
      </c>
      <c r="L66" s="64"/>
    </row>
    <row r="67" spans="1:12" s="55" customFormat="1" ht="19.5" customHeight="1" x14ac:dyDescent="0.3">
      <c r="A67" s="94" t="s">
        <v>7480</v>
      </c>
      <c r="B67" s="76" t="s">
        <v>7481</v>
      </c>
      <c r="C67" s="77">
        <v>22</v>
      </c>
      <c r="D67" s="78" t="s">
        <v>7482</v>
      </c>
      <c r="E67" s="48">
        <v>3</v>
      </c>
      <c r="F67" s="49">
        <v>9.36</v>
      </c>
      <c r="G67" s="50" t="s">
        <v>7457</v>
      </c>
      <c r="H67" s="51">
        <v>1981</v>
      </c>
      <c r="I67" s="45">
        <v>3353</v>
      </c>
      <c r="J67" s="52">
        <v>8</v>
      </c>
      <c r="K67" s="53">
        <f t="shared" si="0"/>
        <v>53.138344000000004</v>
      </c>
      <c r="L67" s="64"/>
    </row>
    <row r="68" spans="1:12" s="55" customFormat="1" ht="19.5" customHeight="1" x14ac:dyDescent="0.3">
      <c r="A68" s="94"/>
      <c r="B68" s="76"/>
      <c r="C68" s="77">
        <v>22</v>
      </c>
      <c r="D68" s="78" t="s">
        <v>7456</v>
      </c>
      <c r="E68" s="48">
        <v>41</v>
      </c>
      <c r="F68" s="49">
        <v>35.520000000000003</v>
      </c>
      <c r="G68" s="50" t="s">
        <v>7434</v>
      </c>
      <c r="H68" s="51">
        <v>1981</v>
      </c>
      <c r="I68" s="45">
        <v>3353</v>
      </c>
      <c r="J68" s="52">
        <v>4</v>
      </c>
      <c r="K68" s="53">
        <f t="shared" si="0"/>
        <v>26.569172000000002</v>
      </c>
      <c r="L68" s="64"/>
    </row>
    <row r="69" spans="1:12" s="55" customFormat="1" ht="19.5" customHeight="1" x14ac:dyDescent="0.3">
      <c r="A69" s="94"/>
      <c r="B69" s="76"/>
      <c r="C69" s="77">
        <v>22</v>
      </c>
      <c r="D69" s="78" t="s">
        <v>7443</v>
      </c>
      <c r="E69" s="48">
        <v>27</v>
      </c>
      <c r="F69" s="49">
        <v>23.2</v>
      </c>
      <c r="G69" s="50" t="s">
        <v>7461</v>
      </c>
      <c r="H69" s="51">
        <v>1981</v>
      </c>
      <c r="I69" s="45">
        <v>3353</v>
      </c>
      <c r="J69" s="52">
        <v>4</v>
      </c>
      <c r="K69" s="53">
        <f t="shared" si="0"/>
        <v>26.569172000000002</v>
      </c>
      <c r="L69" s="64"/>
    </row>
    <row r="70" spans="1:12" s="55" customFormat="1" ht="19.5" customHeight="1" x14ac:dyDescent="0.3">
      <c r="A70" s="94"/>
      <c r="B70" s="76"/>
      <c r="C70" s="77"/>
      <c r="D70" s="78"/>
      <c r="E70" s="48"/>
      <c r="F70" s="49"/>
      <c r="G70" s="50" t="s">
        <v>7483</v>
      </c>
      <c r="H70" s="51">
        <v>2134</v>
      </c>
      <c r="I70" s="45">
        <v>3353</v>
      </c>
      <c r="J70" s="52">
        <v>8</v>
      </c>
      <c r="K70" s="53">
        <f t="shared" si="0"/>
        <v>57.242415999999999</v>
      </c>
      <c r="L70" s="64"/>
    </row>
    <row r="71" spans="1:12" s="55" customFormat="1" ht="19.5" customHeight="1" x14ac:dyDescent="0.3">
      <c r="A71" s="94"/>
      <c r="B71" s="76"/>
      <c r="C71" s="77"/>
      <c r="D71" s="78"/>
      <c r="E71" s="48"/>
      <c r="F71" s="49"/>
      <c r="G71" s="50"/>
      <c r="H71" s="51"/>
      <c r="I71" s="45"/>
      <c r="J71" s="52"/>
      <c r="K71" s="53">
        <f t="shared" si="0"/>
        <v>0</v>
      </c>
      <c r="L71" s="64"/>
    </row>
    <row r="72" spans="1:12" s="55" customFormat="1" ht="19.5" customHeight="1" x14ac:dyDescent="0.3">
      <c r="A72" s="44" t="s">
        <v>7484</v>
      </c>
      <c r="B72" s="45" t="s">
        <v>7485</v>
      </c>
      <c r="C72" s="46">
        <v>24</v>
      </c>
      <c r="D72" s="47" t="s">
        <v>7486</v>
      </c>
      <c r="E72" s="48">
        <v>87</v>
      </c>
      <c r="F72" s="49">
        <v>76.989999999999995</v>
      </c>
      <c r="G72" s="50" t="s">
        <v>7487</v>
      </c>
      <c r="H72" s="51">
        <v>3048</v>
      </c>
      <c r="I72" s="45">
        <v>3658</v>
      </c>
      <c r="J72" s="52">
        <v>7</v>
      </c>
      <c r="K72" s="53">
        <f t="shared" si="0"/>
        <v>78.047088000000002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 t="s">
        <v>7434</v>
      </c>
      <c r="H73" s="51">
        <v>1981</v>
      </c>
      <c r="I73" s="45">
        <v>3353</v>
      </c>
      <c r="J73" s="52">
        <v>13</v>
      </c>
      <c r="K73" s="53">
        <f t="shared" si="0"/>
        <v>86.349809000000008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 t="s">
        <v>7488</v>
      </c>
      <c r="B75" s="76" t="s">
        <v>7477</v>
      </c>
      <c r="C75" s="77">
        <v>24</v>
      </c>
      <c r="D75" s="78" t="s">
        <v>7478</v>
      </c>
      <c r="E75" s="48">
        <v>11</v>
      </c>
      <c r="F75" s="49">
        <v>6.71</v>
      </c>
      <c r="G75" s="50" t="s">
        <v>7479</v>
      </c>
      <c r="H75" s="51">
        <v>2438</v>
      </c>
      <c r="I75" s="45">
        <v>3553</v>
      </c>
      <c r="J75" s="52">
        <v>1</v>
      </c>
      <c r="K75" s="53">
        <f t="shared" si="0"/>
        <v>8.6622140000000005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 t="s">
        <v>7439</v>
      </c>
      <c r="H76" s="51">
        <v>2438</v>
      </c>
      <c r="I76" s="45">
        <v>3353</v>
      </c>
      <c r="J76" s="52">
        <v>1</v>
      </c>
      <c r="K76" s="53">
        <f t="shared" si="0"/>
        <v>8.174614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 t="s">
        <v>7489</v>
      </c>
      <c r="B78" s="45" t="s">
        <v>7490</v>
      </c>
      <c r="C78" s="46">
        <v>24</v>
      </c>
      <c r="D78" s="47" t="s">
        <v>7491</v>
      </c>
      <c r="E78" s="48">
        <v>3</v>
      </c>
      <c r="F78" s="49">
        <v>2.95</v>
      </c>
      <c r="G78" s="50"/>
      <c r="H78" s="51"/>
      <c r="I78" s="45"/>
      <c r="J78" s="52"/>
      <c r="K78" s="53">
        <f t="shared" si="0"/>
        <v>0</v>
      </c>
      <c r="L78" s="54" t="s">
        <v>7492</v>
      </c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 t="s">
        <v>7493</v>
      </c>
      <c r="B80" s="45" t="s">
        <v>7481</v>
      </c>
      <c r="C80" s="46">
        <v>24</v>
      </c>
      <c r="D80" s="47" t="s">
        <v>7494</v>
      </c>
      <c r="E80" s="48">
        <v>1</v>
      </c>
      <c r="F80" s="49">
        <v>1.28</v>
      </c>
      <c r="G80" s="50"/>
      <c r="H80" s="51"/>
      <c r="I80" s="45"/>
      <c r="J80" s="52"/>
      <c r="K80" s="53">
        <f t="shared" si="0"/>
        <v>0</v>
      </c>
      <c r="L80" s="54" t="s">
        <v>7495</v>
      </c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 t="s">
        <v>7496</v>
      </c>
      <c r="B82" s="45" t="s">
        <v>7497</v>
      </c>
      <c r="C82" s="46">
        <v>28</v>
      </c>
      <c r="D82" s="47" t="s">
        <v>7499</v>
      </c>
      <c r="E82" s="48">
        <v>21</v>
      </c>
      <c r="F82" s="49">
        <v>11.84</v>
      </c>
      <c r="G82" s="50" t="s">
        <v>7439</v>
      </c>
      <c r="H82" s="51">
        <v>2438</v>
      </c>
      <c r="I82" s="45">
        <v>3353</v>
      </c>
      <c r="J82" s="52">
        <v>2</v>
      </c>
      <c r="K82" s="53">
        <f t="shared" si="0"/>
        <v>16.349228</v>
      </c>
      <c r="L82" s="54" t="s">
        <v>7501</v>
      </c>
    </row>
    <row r="83" spans="1:12" s="55" customFormat="1" ht="19.5" customHeight="1" x14ac:dyDescent="0.3">
      <c r="A83" s="44" t="s">
        <v>7498</v>
      </c>
      <c r="B83" s="45" t="s">
        <v>7497</v>
      </c>
      <c r="C83" s="46">
        <v>28</v>
      </c>
      <c r="D83" s="47" t="s">
        <v>7499</v>
      </c>
      <c r="E83" s="48">
        <v>6</v>
      </c>
      <c r="F83" s="49">
        <v>3.05</v>
      </c>
      <c r="G83" s="50" t="s">
        <v>7500</v>
      </c>
      <c r="H83" s="51">
        <v>2438</v>
      </c>
      <c r="I83" s="45">
        <v>3353</v>
      </c>
      <c r="J83" s="52">
        <v>2</v>
      </c>
      <c r="K83" s="53">
        <f t="shared" si="0"/>
        <v>16.349228</v>
      </c>
      <c r="L83" s="54" t="s">
        <v>7501</v>
      </c>
    </row>
    <row r="84" spans="1:12" s="55" customFormat="1" ht="19.5" customHeight="1" x14ac:dyDescent="0.3">
      <c r="A84" s="44"/>
      <c r="B84" s="45"/>
      <c r="C84" s="46"/>
      <c r="D84" s="47"/>
      <c r="E84" s="48"/>
      <c r="F84" s="49"/>
      <c r="G84" s="50"/>
      <c r="H84" s="51"/>
      <c r="I84" s="45"/>
      <c r="J84" s="52"/>
      <c r="K84" s="53">
        <f t="shared" si="0"/>
        <v>0</v>
      </c>
      <c r="L84" s="54"/>
    </row>
    <row r="85" spans="1:12" s="55" customFormat="1" ht="19.5" customHeight="1" x14ac:dyDescent="0.3">
      <c r="A85" s="44" t="s">
        <v>7502</v>
      </c>
      <c r="B85" s="45" t="s">
        <v>7503</v>
      </c>
      <c r="C85" s="46">
        <v>24</v>
      </c>
      <c r="D85" s="47" t="s">
        <v>7504</v>
      </c>
      <c r="E85" s="48">
        <v>55</v>
      </c>
      <c r="F85" s="49">
        <v>83.36</v>
      </c>
      <c r="G85" s="50" t="s">
        <v>7457</v>
      </c>
      <c r="H85" s="51">
        <v>2134</v>
      </c>
      <c r="I85" s="45">
        <v>3048</v>
      </c>
      <c r="J85" s="52">
        <v>14</v>
      </c>
      <c r="K85" s="53">
        <f t="shared" si="0"/>
        <v>91.06204799999999</v>
      </c>
      <c r="L85" s="54" t="s">
        <v>7505</v>
      </c>
    </row>
    <row r="86" spans="1:12" s="55" customFormat="1" ht="19.5" customHeight="1" x14ac:dyDescent="0.3">
      <c r="A86" s="44"/>
      <c r="B86" s="45"/>
      <c r="C86" s="46"/>
      <c r="D86" s="47"/>
      <c r="E86" s="48"/>
      <c r="F86" s="49"/>
      <c r="G86" s="50" t="s">
        <v>7461</v>
      </c>
      <c r="H86" s="51">
        <v>2134</v>
      </c>
      <c r="I86" s="45">
        <v>3048</v>
      </c>
      <c r="J86" s="52">
        <v>13</v>
      </c>
      <c r="K86" s="53">
        <f t="shared" si="0"/>
        <v>84.557615999999996</v>
      </c>
      <c r="L86" s="54"/>
    </row>
    <row r="87" spans="1:12" s="55" customFormat="1" ht="19.5" customHeight="1" x14ac:dyDescent="0.3">
      <c r="A87" s="44"/>
      <c r="B87" s="45"/>
      <c r="C87" s="46"/>
      <c r="D87" s="47"/>
      <c r="E87" s="48"/>
      <c r="F87" s="49"/>
      <c r="G87" s="50" t="s">
        <v>7461</v>
      </c>
      <c r="H87" s="51">
        <v>2286</v>
      </c>
      <c r="I87" s="45">
        <v>3048</v>
      </c>
      <c r="J87" s="52">
        <v>1</v>
      </c>
      <c r="K87" s="53">
        <f t="shared" si="0"/>
        <v>6.9677280000000001</v>
      </c>
      <c r="L87" s="54"/>
    </row>
    <row r="88" spans="1:12" s="55" customFormat="1" ht="19.5" customHeight="1" x14ac:dyDescent="0.3">
      <c r="A88" s="44"/>
      <c r="B88" s="45"/>
      <c r="C88" s="46"/>
      <c r="D88" s="47"/>
      <c r="E88" s="48"/>
      <c r="F88" s="49"/>
      <c r="G88" s="50"/>
      <c r="H88" s="51"/>
      <c r="I88" s="45"/>
      <c r="J88" s="52"/>
      <c r="K88" s="53">
        <f t="shared" si="0"/>
        <v>0</v>
      </c>
      <c r="L88" s="54"/>
    </row>
    <row r="89" spans="1:12" s="55" customFormat="1" ht="19.5" customHeight="1" x14ac:dyDescent="0.3">
      <c r="A89" s="44" t="s">
        <v>7506</v>
      </c>
      <c r="B89" s="45" t="s">
        <v>7503</v>
      </c>
      <c r="C89" s="46">
        <v>24</v>
      </c>
      <c r="D89" s="47" t="s">
        <v>7504</v>
      </c>
      <c r="E89" s="48">
        <v>31</v>
      </c>
      <c r="F89" s="49">
        <v>33.700000000000003</v>
      </c>
      <c r="G89" s="50" t="s">
        <v>7457</v>
      </c>
      <c r="H89" s="51">
        <v>2134</v>
      </c>
      <c r="I89" s="45">
        <v>3048</v>
      </c>
      <c r="J89" s="52">
        <v>6</v>
      </c>
      <c r="K89" s="53">
        <f t="shared" si="0"/>
        <v>39.026591999999994</v>
      </c>
      <c r="L89" s="54" t="s">
        <v>7505</v>
      </c>
    </row>
    <row r="90" spans="1:12" s="55" customFormat="1" ht="19.5" customHeight="1" x14ac:dyDescent="0.3">
      <c r="A90" s="44"/>
      <c r="B90" s="45"/>
      <c r="C90" s="46"/>
      <c r="D90" s="47"/>
      <c r="E90" s="48"/>
      <c r="F90" s="49"/>
      <c r="G90" s="50" t="s">
        <v>7461</v>
      </c>
      <c r="H90" s="51">
        <v>2134</v>
      </c>
      <c r="I90" s="45">
        <v>3048</v>
      </c>
      <c r="J90" s="52">
        <v>6</v>
      </c>
      <c r="K90" s="53">
        <f t="shared" si="0"/>
        <v>39.026591999999994</v>
      </c>
      <c r="L90" s="54"/>
    </row>
    <row r="91" spans="1:12" s="55" customFormat="1" ht="19.5" customHeight="1" x14ac:dyDescent="0.3">
      <c r="A91" s="44"/>
      <c r="B91" s="45"/>
      <c r="C91" s="46"/>
      <c r="D91" s="47"/>
      <c r="E91" s="48"/>
      <c r="F91" s="49"/>
      <c r="G91" s="50"/>
      <c r="H91" s="51"/>
      <c r="I91" s="45"/>
      <c r="J91" s="52"/>
      <c r="K91" s="53">
        <f t="shared" si="0"/>
        <v>0</v>
      </c>
      <c r="L91" s="54"/>
    </row>
    <row r="92" spans="1:12" s="55" customFormat="1" ht="19.5" customHeight="1" x14ac:dyDescent="0.3">
      <c r="A92" s="44" t="s">
        <v>7475</v>
      </c>
      <c r="B92" s="45"/>
      <c r="C92" s="46"/>
      <c r="D92" s="47"/>
      <c r="E92" s="48"/>
      <c r="F92" s="49"/>
      <c r="G92" s="50"/>
      <c r="H92" s="51"/>
      <c r="I92" s="45"/>
      <c r="J92" s="52"/>
      <c r="K92" s="53">
        <f t="shared" si="0"/>
        <v>0</v>
      </c>
      <c r="L92" s="54"/>
    </row>
    <row r="93" spans="1:12" s="55" customFormat="1" ht="19.5" customHeight="1" x14ac:dyDescent="0.3">
      <c r="A93" s="44" t="s">
        <v>7507</v>
      </c>
      <c r="B93" s="45" t="s">
        <v>7508</v>
      </c>
      <c r="C93" s="46">
        <v>7</v>
      </c>
      <c r="D93" s="47" t="s">
        <v>7511</v>
      </c>
      <c r="E93" s="48">
        <v>2</v>
      </c>
      <c r="F93" s="49">
        <v>1.32</v>
      </c>
      <c r="G93" s="50"/>
      <c r="H93" s="51"/>
      <c r="I93" s="45"/>
      <c r="J93" s="52"/>
      <c r="K93" s="53">
        <f t="shared" si="0"/>
        <v>0</v>
      </c>
      <c r="L93" s="54" t="s">
        <v>7512</v>
      </c>
    </row>
    <row r="94" spans="1:12" s="55" customFormat="1" ht="19.5" customHeight="1" x14ac:dyDescent="0.3">
      <c r="A94" s="44"/>
      <c r="B94" s="45"/>
      <c r="C94" s="46"/>
      <c r="D94" s="47"/>
      <c r="E94" s="48"/>
      <c r="F94" s="49"/>
      <c r="G94" s="50"/>
      <c r="H94" s="51"/>
      <c r="I94" s="45"/>
      <c r="J94" s="52"/>
      <c r="K94" s="53">
        <f t="shared" si="0"/>
        <v>0</v>
      </c>
      <c r="L94" s="54"/>
    </row>
    <row r="95" spans="1:12" s="55" customFormat="1" ht="19.5" customHeight="1" x14ac:dyDescent="0.3">
      <c r="A95" s="44" t="s">
        <v>7519</v>
      </c>
      <c r="B95" s="45" t="s">
        <v>7520</v>
      </c>
      <c r="C95" s="46">
        <v>22</v>
      </c>
      <c r="D95" s="47" t="s">
        <v>7521</v>
      </c>
      <c r="E95" s="48">
        <v>110</v>
      </c>
      <c r="F95" s="49">
        <v>71.2</v>
      </c>
      <c r="G95" s="50" t="s">
        <v>7515</v>
      </c>
      <c r="H95" s="51">
        <v>1981</v>
      </c>
      <c r="I95" s="45">
        <v>3353</v>
      </c>
      <c r="J95" s="52">
        <v>13</v>
      </c>
      <c r="K95" s="53">
        <f t="shared" si="0"/>
        <v>86.349809000000008</v>
      </c>
      <c r="L95" s="54" t="s">
        <v>7522</v>
      </c>
    </row>
    <row r="96" spans="1:12" s="55" customFormat="1" ht="19.5" customHeight="1" x14ac:dyDescent="0.3">
      <c r="A96" s="44"/>
      <c r="B96" s="45"/>
      <c r="C96" s="46">
        <v>22</v>
      </c>
      <c r="D96" s="47" t="s">
        <v>7521</v>
      </c>
      <c r="E96" s="48">
        <v>30</v>
      </c>
      <c r="F96" s="49">
        <v>17.100000000000001</v>
      </c>
      <c r="G96" s="50"/>
      <c r="H96" s="51"/>
      <c r="I96" s="45"/>
      <c r="J96" s="52"/>
      <c r="K96" s="53">
        <f t="shared" si="0"/>
        <v>0</v>
      </c>
      <c r="L96" s="54" t="s">
        <v>7522</v>
      </c>
    </row>
    <row r="97" spans="1:12" s="55" customFormat="1" ht="19.5" customHeight="1" x14ac:dyDescent="0.3">
      <c r="A97" s="44"/>
      <c r="B97" s="45"/>
      <c r="C97" s="46"/>
      <c r="D97" s="47"/>
      <c r="E97" s="48"/>
      <c r="F97" s="49"/>
      <c r="G97" s="50"/>
      <c r="H97" s="51"/>
      <c r="I97" s="45"/>
      <c r="J97" s="52"/>
      <c r="K97" s="53">
        <f t="shared" si="0"/>
        <v>0</v>
      </c>
      <c r="L97" s="54"/>
    </row>
    <row r="98" spans="1:12" s="55" customFormat="1" ht="19.5" customHeight="1" x14ac:dyDescent="0.3">
      <c r="A98" s="44" t="s">
        <v>7523</v>
      </c>
      <c r="B98" s="45" t="s">
        <v>7520</v>
      </c>
      <c r="C98" s="46">
        <v>22</v>
      </c>
      <c r="D98" s="47" t="s">
        <v>7521</v>
      </c>
      <c r="E98" s="48">
        <v>150</v>
      </c>
      <c r="F98" s="49">
        <v>119.4</v>
      </c>
      <c r="G98" s="50" t="s">
        <v>7515</v>
      </c>
      <c r="H98" s="51">
        <v>1981</v>
      </c>
      <c r="I98" s="45">
        <v>3353</v>
      </c>
      <c r="J98" s="52">
        <v>21</v>
      </c>
      <c r="K98" s="53">
        <f t="shared" si="0"/>
        <v>139.48815300000001</v>
      </c>
      <c r="L98" s="54" t="s">
        <v>7522</v>
      </c>
    </row>
    <row r="99" spans="1:12" s="55" customFormat="1" ht="19.5" customHeight="1" x14ac:dyDescent="0.3">
      <c r="A99" s="44"/>
      <c r="B99" s="45"/>
      <c r="C99" s="46">
        <v>22</v>
      </c>
      <c r="D99" s="47" t="s">
        <v>7521</v>
      </c>
      <c r="E99" s="48">
        <v>40</v>
      </c>
      <c r="F99" s="49">
        <v>32.4</v>
      </c>
      <c r="G99" s="50" t="s">
        <v>7515</v>
      </c>
      <c r="H99" s="51">
        <v>2134</v>
      </c>
      <c r="I99" s="51">
        <v>3048</v>
      </c>
      <c r="J99" s="45">
        <v>3</v>
      </c>
      <c r="K99" s="53">
        <f t="shared" si="0"/>
        <v>19.513295999999997</v>
      </c>
      <c r="L99" s="54" t="s">
        <v>7522</v>
      </c>
    </row>
    <row r="100" spans="1:12" s="55" customFormat="1" ht="19.5" customHeight="1" x14ac:dyDescent="0.3">
      <c r="A100" s="44"/>
      <c r="B100" s="45"/>
      <c r="C100" s="46"/>
      <c r="D100" s="47"/>
      <c r="E100" s="48"/>
      <c r="F100" s="49"/>
      <c r="G100" s="50"/>
      <c r="H100" s="51"/>
      <c r="I100" s="45"/>
      <c r="J100" s="52"/>
      <c r="K100" s="53">
        <f t="shared" si="0"/>
        <v>0</v>
      </c>
      <c r="L100" s="54"/>
    </row>
    <row r="101" spans="1:12" s="55" customFormat="1" ht="19.5" customHeight="1" x14ac:dyDescent="0.3">
      <c r="A101" s="44" t="s">
        <v>7524</v>
      </c>
      <c r="B101" s="45" t="s">
        <v>7525</v>
      </c>
      <c r="C101" s="46">
        <v>22</v>
      </c>
      <c r="D101" s="47" t="s">
        <v>7526</v>
      </c>
      <c r="E101" s="48">
        <v>15</v>
      </c>
      <c r="F101" s="49">
        <v>16.02</v>
      </c>
      <c r="G101" s="50" t="s">
        <v>7515</v>
      </c>
      <c r="H101" s="51">
        <v>1981</v>
      </c>
      <c r="I101" s="45">
        <v>3353</v>
      </c>
      <c r="J101" s="52">
        <v>3</v>
      </c>
      <c r="K101" s="53">
        <f t="shared" si="0"/>
        <v>19.926879</v>
      </c>
      <c r="L101" s="54"/>
    </row>
    <row r="102" spans="1:12" s="55" customFormat="1" ht="19.5" customHeight="1" x14ac:dyDescent="0.3">
      <c r="A102" s="44"/>
      <c r="B102" s="45"/>
      <c r="C102" s="46">
        <v>25.76</v>
      </c>
      <c r="D102" s="47" t="s">
        <v>7527</v>
      </c>
      <c r="E102" s="48">
        <v>4</v>
      </c>
      <c r="F102" s="49">
        <v>11.3</v>
      </c>
      <c r="G102" s="50" t="s">
        <v>7529</v>
      </c>
      <c r="H102" s="51">
        <v>1981</v>
      </c>
      <c r="I102" s="45">
        <v>3353</v>
      </c>
      <c r="J102" s="52">
        <v>5</v>
      </c>
      <c r="K102" s="53">
        <f t="shared" si="0"/>
        <v>33.211465000000004</v>
      </c>
      <c r="L102" s="54"/>
    </row>
    <row r="103" spans="1:12" s="55" customFormat="1" ht="19.5" customHeight="1" x14ac:dyDescent="0.3">
      <c r="A103" s="44"/>
      <c r="B103" s="45"/>
      <c r="C103" s="46">
        <v>16</v>
      </c>
      <c r="D103" s="47" t="s">
        <v>7528</v>
      </c>
      <c r="E103" s="48">
        <v>1</v>
      </c>
      <c r="F103" s="49">
        <v>1.45</v>
      </c>
      <c r="G103" s="50"/>
      <c r="H103" s="51"/>
      <c r="I103" s="45"/>
      <c r="J103" s="52"/>
      <c r="K103" s="53">
        <f t="shared" si="0"/>
        <v>0</v>
      </c>
      <c r="L103" s="54" t="s">
        <v>7512</v>
      </c>
    </row>
    <row r="104" spans="1:12" s="55" customFormat="1" ht="19.5" customHeight="1" x14ac:dyDescent="0.3">
      <c r="A104" s="44"/>
      <c r="B104" s="45"/>
      <c r="C104" s="46"/>
      <c r="D104" s="47"/>
      <c r="E104" s="48"/>
      <c r="F104" s="49"/>
      <c r="G104" s="50"/>
      <c r="H104" s="51"/>
      <c r="I104" s="45"/>
      <c r="J104" s="52"/>
      <c r="K104" s="53">
        <f t="shared" si="0"/>
        <v>0</v>
      </c>
      <c r="L104" s="54"/>
    </row>
    <row r="105" spans="1:12" s="59" customFormat="1" ht="20.100000000000001" customHeight="1" x14ac:dyDescent="0.3">
      <c r="A105" s="44"/>
      <c r="B105" s="45"/>
      <c r="C105" s="46"/>
      <c r="D105" s="47"/>
      <c r="E105" s="56"/>
      <c r="F105" s="57"/>
      <c r="G105" s="50"/>
      <c r="H105" s="51"/>
      <c r="I105" s="45"/>
      <c r="J105" s="52"/>
      <c r="K105" s="53">
        <f t="shared" si="0"/>
        <v>0</v>
      </c>
      <c r="L105" s="58">
        <f>SUM(J63:J106)</f>
        <v>156</v>
      </c>
    </row>
    <row r="106" spans="1:12" s="59" customFormat="1" ht="20.100000000000001" customHeight="1" x14ac:dyDescent="0.3">
      <c r="A106" s="44"/>
      <c r="B106" s="45"/>
      <c r="C106" s="46"/>
      <c r="D106" s="47"/>
      <c r="E106" s="60"/>
      <c r="F106" s="61"/>
      <c r="G106" s="62"/>
      <c r="H106" s="51"/>
      <c r="I106" s="45"/>
      <c r="J106" s="63"/>
      <c r="K106" s="53">
        <f t="shared" si="0"/>
        <v>0</v>
      </c>
      <c r="L106" s="64">
        <f>SUM(K63:K106)</f>
        <v>1113.6119570000003</v>
      </c>
    </row>
    <row r="107" spans="1:12" s="59" customFormat="1" ht="20.100000000000001" customHeight="1" thickBot="1" x14ac:dyDescent="0.35">
      <c r="A107" s="114"/>
      <c r="B107" s="115"/>
      <c r="C107" s="115"/>
      <c r="D107" s="115"/>
      <c r="E107" s="115"/>
      <c r="F107" s="115"/>
      <c r="G107" s="115"/>
      <c r="H107" s="115"/>
      <c r="I107" s="115"/>
      <c r="J107" s="65">
        <f>SUM(J7:J106)</f>
        <v>253</v>
      </c>
      <c r="K107" s="66">
        <f>SUM(K7:K106)</f>
        <v>1757.6075370000003</v>
      </c>
      <c r="L107" s="67"/>
    </row>
    <row r="108" spans="1:12" s="59" customFormat="1" ht="20.100000000000001" customHeight="1" thickTop="1" thickBot="1" x14ac:dyDescent="0.35">
      <c r="A108" s="116" t="s">
        <v>52</v>
      </c>
      <c r="B108" s="117"/>
      <c r="C108" s="68"/>
      <c r="D108" s="118">
        <f>J107</f>
        <v>253</v>
      </c>
      <c r="E108" s="119"/>
      <c r="F108" s="119"/>
      <c r="G108" s="120"/>
      <c r="H108" s="121"/>
      <c r="I108" s="121"/>
      <c r="J108" s="122"/>
      <c r="K108" s="119"/>
      <c r="L108" s="123"/>
    </row>
    <row r="109" spans="1:12" s="59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71"/>
    </row>
    <row r="110" spans="1:12" s="59" customFormat="1" ht="20.100000000000001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59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59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59" customFormat="1" ht="20.100000000000001" customHeight="1" x14ac:dyDescent="0.3">
      <c r="A113" s="113"/>
      <c r="B113" s="113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59" customFormat="1" ht="20.100000000000001" customHeight="1" x14ac:dyDescent="0.3">
      <c r="A114" s="113"/>
      <c r="B114" s="113"/>
      <c r="C114" s="5"/>
      <c r="D114" s="5"/>
      <c r="E114" s="72"/>
      <c r="F114" s="5"/>
      <c r="G114" s="5"/>
      <c r="H114" s="5"/>
      <c r="I114" s="5"/>
      <c r="J114" s="5"/>
      <c r="K114" s="5"/>
      <c r="L114" s="5"/>
    </row>
    <row r="115" spans="1:12" s="59" customFormat="1" ht="20.100000000000001" customHeight="1" x14ac:dyDescent="0.3">
      <c r="A115" s="113"/>
      <c r="B115" s="113"/>
      <c r="C115" s="5"/>
      <c r="D115" s="5"/>
      <c r="E115" s="5"/>
      <c r="F115" s="5"/>
      <c r="G115" s="73"/>
      <c r="H115" s="5"/>
      <c r="I115" s="74"/>
      <c r="J115" s="5"/>
      <c r="K115" s="5"/>
      <c r="L115" s="5"/>
    </row>
    <row r="116" spans="1:12" s="59" customFormat="1" ht="20.100000000000001" customHeight="1" x14ac:dyDescent="0.3">
      <c r="A116" s="113"/>
      <c r="B116" s="113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s="59" customFormat="1" ht="20.100000000000001" customHeight="1" x14ac:dyDescent="0.3">
      <c r="A117" s="69"/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59" customFormat="1" ht="20.100000000000001" customHeight="1" x14ac:dyDescent="0.3">
      <c r="A118" s="113"/>
      <c r="B118" s="113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59" customFormat="1" ht="20.100000000000001" customHeight="1" x14ac:dyDescent="0.3">
      <c r="A119" s="113"/>
      <c r="B119" s="113"/>
      <c r="C119" s="5"/>
      <c r="D119" s="5"/>
      <c r="E119" s="5"/>
      <c r="F119" s="70"/>
      <c r="G119" s="5"/>
      <c r="H119" s="72"/>
      <c r="I119" s="72"/>
      <c r="J119" s="5"/>
      <c r="K119" s="5"/>
      <c r="L119" s="5"/>
    </row>
    <row r="120" spans="1:12" ht="20.100000000000001" customHeight="1" x14ac:dyDescent="0.3">
      <c r="A120" s="113"/>
      <c r="B120" s="113"/>
      <c r="H120" s="72"/>
      <c r="I120" s="72"/>
    </row>
    <row r="121" spans="1:12" ht="20.100000000000001" customHeight="1" x14ac:dyDescent="0.3">
      <c r="H121" s="72"/>
      <c r="I121" s="72"/>
    </row>
    <row r="122" spans="1:12" ht="20.100000000000001" customHeight="1" x14ac:dyDescent="0.3">
      <c r="H122" s="72"/>
      <c r="I122" s="72"/>
    </row>
    <row r="123" spans="1:12" ht="20.100000000000001" customHeight="1" x14ac:dyDescent="0.3">
      <c r="A123" s="113"/>
      <c r="B123" s="113"/>
      <c r="H123" s="72"/>
      <c r="I123" s="72"/>
    </row>
    <row r="124" spans="1:12" ht="20.100000000000001" customHeight="1" x14ac:dyDescent="0.3">
      <c r="A124" s="113"/>
      <c r="B124" s="113"/>
      <c r="H124" s="72"/>
      <c r="I124" s="72"/>
    </row>
    <row r="125" spans="1:12" ht="20.100000000000001" customHeight="1" x14ac:dyDescent="0.3">
      <c r="H125" s="72"/>
      <c r="I125" s="72"/>
    </row>
    <row r="126" spans="1:12" ht="20.100000000000001" customHeight="1" x14ac:dyDescent="0.3">
      <c r="H126" s="72"/>
      <c r="I126" s="72"/>
    </row>
    <row r="127" spans="1:12" ht="20.100000000000001" customHeight="1" x14ac:dyDescent="0.3">
      <c r="H127" s="72"/>
      <c r="I127" s="72"/>
    </row>
    <row r="128" spans="1:12" s="72" customFormat="1" ht="20.100000000000001" customHeight="1" x14ac:dyDescent="0.3">
      <c r="A128" s="69"/>
      <c r="B128" s="5"/>
      <c r="C128" s="5"/>
      <c r="D128" s="5"/>
      <c r="E128" s="5"/>
      <c r="F128" s="70"/>
      <c r="G128" s="5"/>
      <c r="J128" s="5"/>
      <c r="K128" s="5"/>
      <c r="L128" s="5"/>
    </row>
    <row r="129" spans="1:12" s="72" customFormat="1" ht="20.100000000000001" customHeight="1" x14ac:dyDescent="0.3">
      <c r="A129" s="69"/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1:12" s="75" customFormat="1" ht="20.100000000000001" customHeight="1" x14ac:dyDescent="0.3">
      <c r="A130" s="69"/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1:12" s="75" customFormat="1" ht="20.100000000000001" customHeight="1" x14ac:dyDescent="0.3">
      <c r="A131" s="69"/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1:12" s="75" customFormat="1" ht="19.5" customHeight="1" x14ac:dyDescent="0.3">
      <c r="A132" s="69"/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1:12" s="72" customFormat="1" ht="20.100000000000001" customHeight="1" x14ac:dyDescent="0.3">
      <c r="A133" s="69"/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1:12" s="72" customFormat="1" ht="20.100000000000001" customHeight="1" x14ac:dyDescent="0.3">
      <c r="A134" s="69"/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1:12" ht="19.5" customHeight="1" x14ac:dyDescent="0.3"/>
    <row r="136" spans="1:12" ht="19.5" customHeight="1" x14ac:dyDescent="0.3"/>
    <row r="137" spans="1:12" ht="19.5" customHeight="1" x14ac:dyDescent="0.3"/>
    <row r="138" spans="1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1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1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1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1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1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1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ht="19.5" customHeight="1" x14ac:dyDescent="0.3"/>
    <row r="155" spans="2:12" ht="19.5" customHeight="1" x14ac:dyDescent="0.3"/>
    <row r="156" spans="2:12" ht="19.5" customHeight="1" x14ac:dyDescent="0.3"/>
    <row r="157" spans="2:12" ht="19.5" customHeight="1" x14ac:dyDescent="0.3"/>
    <row r="158" spans="2:12" ht="19.5" customHeight="1" x14ac:dyDescent="0.3"/>
    <row r="159" spans="2:12" ht="19.5" customHeight="1" x14ac:dyDescent="0.3"/>
    <row r="160" spans="2:12" ht="19.5" customHeight="1" x14ac:dyDescent="0.3"/>
    <row r="161" spans="2:12" ht="19.5" customHeight="1" x14ac:dyDescent="0.3"/>
    <row r="162" spans="2:12" ht="19.5" customHeight="1" x14ac:dyDescent="0.3"/>
    <row r="163" spans="2:12" ht="19.5" customHeight="1" x14ac:dyDescent="0.3"/>
    <row r="164" spans="2:12" ht="19.5" customHeight="1" x14ac:dyDescent="0.3"/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  <row r="185" spans="2:12" s="69" customFormat="1" ht="19.5" customHeight="1" x14ac:dyDescent="0.3">
      <c r="B185" s="5"/>
      <c r="C185" s="5"/>
      <c r="D185" s="5"/>
      <c r="E185" s="5"/>
      <c r="F185" s="70"/>
      <c r="G185" s="5"/>
      <c r="H185" s="5"/>
      <c r="I185" s="5"/>
      <c r="J185" s="5"/>
      <c r="K185" s="5"/>
      <c r="L185" s="5"/>
    </row>
    <row r="186" spans="2:12" s="69" customFormat="1" ht="19.5" customHeight="1" x14ac:dyDescent="0.3">
      <c r="B186" s="5"/>
      <c r="C186" s="5"/>
      <c r="D186" s="5"/>
      <c r="E186" s="5"/>
      <c r="F186" s="70"/>
      <c r="G186" s="5"/>
      <c r="H186" s="5"/>
      <c r="I186" s="5"/>
      <c r="J186" s="5"/>
      <c r="K186" s="5"/>
      <c r="L186" s="5"/>
    </row>
    <row r="187" spans="2:12" s="69" customFormat="1" ht="19.5" customHeight="1" x14ac:dyDescent="0.3">
      <c r="B187" s="5"/>
      <c r="C187" s="5"/>
      <c r="D187" s="5"/>
      <c r="E187" s="5"/>
      <c r="F187" s="70"/>
      <c r="G187" s="5"/>
      <c r="H187" s="5"/>
      <c r="I187" s="5"/>
      <c r="J187" s="5"/>
      <c r="K187" s="5"/>
      <c r="L187" s="5"/>
    </row>
    <row r="188" spans="2:12" s="69" customFormat="1" ht="19.5" customHeight="1" x14ac:dyDescent="0.3">
      <c r="B188" s="5"/>
      <c r="C188" s="5"/>
      <c r="D188" s="5"/>
      <c r="E188" s="5"/>
      <c r="F188" s="70"/>
      <c r="G188" s="5"/>
      <c r="H188" s="5"/>
      <c r="I188" s="5"/>
      <c r="J188" s="5"/>
      <c r="K188" s="5"/>
      <c r="L188" s="5"/>
    </row>
    <row r="189" spans="2:12" s="69" customFormat="1" ht="19.5" customHeight="1" x14ac:dyDescent="0.3">
      <c r="B189" s="5"/>
      <c r="C189" s="5"/>
      <c r="D189" s="5"/>
      <c r="E189" s="5"/>
      <c r="F189" s="70"/>
      <c r="G189" s="5"/>
      <c r="H189" s="5"/>
      <c r="I189" s="5"/>
      <c r="J189" s="5"/>
      <c r="K189" s="5"/>
      <c r="L189" s="5"/>
    </row>
    <row r="190" spans="2:12" s="69" customFormat="1" ht="19.5" customHeight="1" x14ac:dyDescent="0.3">
      <c r="B190" s="5"/>
      <c r="C190" s="5"/>
      <c r="D190" s="5"/>
      <c r="E190" s="5"/>
      <c r="F190" s="70"/>
      <c r="G190" s="5"/>
      <c r="H190" s="5"/>
      <c r="I190" s="5"/>
      <c r="J190" s="5"/>
      <c r="K190" s="5"/>
      <c r="L190" s="5"/>
    </row>
    <row r="191" spans="2:12" s="69" customFormat="1" ht="19.5" customHeight="1" x14ac:dyDescent="0.3">
      <c r="B191" s="5"/>
      <c r="C191" s="5"/>
      <c r="D191" s="5"/>
      <c r="E191" s="5"/>
      <c r="F191" s="70"/>
      <c r="G191" s="5"/>
      <c r="H191" s="5"/>
      <c r="I191" s="5"/>
      <c r="J191" s="5"/>
      <c r="K191" s="5"/>
      <c r="L191" s="5"/>
    </row>
    <row r="192" spans="2:12" s="69" customFormat="1" ht="19.5" customHeight="1" x14ac:dyDescent="0.3">
      <c r="B192" s="5"/>
      <c r="C192" s="5"/>
      <c r="D192" s="5"/>
      <c r="E192" s="5"/>
      <c r="F192" s="70"/>
      <c r="G192" s="5"/>
      <c r="H192" s="5"/>
      <c r="I192" s="5"/>
      <c r="J192" s="5"/>
      <c r="K192" s="5"/>
      <c r="L192" s="5"/>
    </row>
    <row r="193" spans="2:12" s="69" customFormat="1" ht="19.5" customHeight="1" x14ac:dyDescent="0.3">
      <c r="B193" s="5"/>
      <c r="C193" s="5"/>
      <c r="D193" s="5"/>
      <c r="E193" s="5"/>
      <c r="F193" s="70"/>
      <c r="G193" s="5"/>
      <c r="H193" s="5"/>
      <c r="I193" s="5"/>
      <c r="J193" s="5"/>
      <c r="K193" s="5"/>
      <c r="L193" s="5"/>
    </row>
    <row r="194" spans="2:12" s="69" customFormat="1" ht="19.5" customHeight="1" x14ac:dyDescent="0.3">
      <c r="B194" s="5"/>
      <c r="C194" s="5"/>
      <c r="D194" s="5"/>
      <c r="E194" s="5"/>
      <c r="F194" s="70"/>
      <c r="G194" s="5"/>
      <c r="H194" s="5"/>
      <c r="I194" s="5"/>
      <c r="J194" s="5"/>
      <c r="K194" s="5"/>
      <c r="L194" s="5"/>
    </row>
    <row r="195" spans="2:12" s="69" customFormat="1" ht="19.5" customHeight="1" x14ac:dyDescent="0.3">
      <c r="B195" s="5"/>
      <c r="C195" s="5"/>
      <c r="D195" s="5"/>
      <c r="E195" s="5"/>
      <c r="F195" s="70"/>
      <c r="G195" s="5"/>
      <c r="H195" s="5"/>
      <c r="I195" s="5"/>
      <c r="J195" s="5"/>
      <c r="K195" s="5"/>
      <c r="L195" s="5"/>
    </row>
    <row r="196" spans="2:12" s="69" customFormat="1" ht="19.5" customHeight="1" x14ac:dyDescent="0.3">
      <c r="B196" s="5"/>
      <c r="C196" s="5"/>
      <c r="D196" s="5"/>
      <c r="E196" s="5"/>
      <c r="F196" s="70"/>
      <c r="G196" s="5"/>
      <c r="H196" s="5"/>
      <c r="I196" s="5"/>
      <c r="J196" s="5"/>
      <c r="K196" s="5"/>
      <c r="L196" s="5"/>
    </row>
    <row r="197" spans="2:12" s="69" customFormat="1" ht="19.5" customHeight="1" x14ac:dyDescent="0.3">
      <c r="B197" s="5"/>
      <c r="C197" s="5"/>
      <c r="D197" s="5"/>
      <c r="E197" s="5"/>
      <c r="F197" s="70"/>
      <c r="G197" s="5"/>
      <c r="H197" s="5"/>
      <c r="I197" s="5"/>
      <c r="J197" s="5"/>
      <c r="K197" s="5"/>
      <c r="L197" s="5"/>
    </row>
    <row r="198" spans="2:12" s="69" customFormat="1" ht="19.5" customHeight="1" x14ac:dyDescent="0.3">
      <c r="B198" s="5"/>
      <c r="C198" s="5"/>
      <c r="D198" s="5"/>
      <c r="E198" s="5"/>
      <c r="F198" s="70"/>
      <c r="G198" s="5"/>
      <c r="H198" s="5"/>
      <c r="I198" s="5"/>
      <c r="J198" s="5"/>
      <c r="K198" s="5"/>
      <c r="L198" s="5"/>
    </row>
  </sheetData>
  <mergeCells count="30">
    <mergeCell ref="A123:B123"/>
    <mergeCell ref="A124:B124"/>
    <mergeCell ref="A114:B114"/>
    <mergeCell ref="A115:B115"/>
    <mergeCell ref="A116:B116"/>
    <mergeCell ref="A118:B118"/>
    <mergeCell ref="A119:B119"/>
    <mergeCell ref="A120:B120"/>
    <mergeCell ref="A113:B113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107:I107"/>
    <mergeCell ref="A108:B108"/>
    <mergeCell ref="D108:G108"/>
    <mergeCell ref="H108:J108"/>
    <mergeCell ref="K108:L108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36" orientation="portrait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193"/>
  <sheetViews>
    <sheetView view="pageBreakPreview" topLeftCell="A21" zoomScale="85" zoomScaleNormal="100" zoomScaleSheetLayoutView="85" workbookViewId="0">
      <selection activeCell="O30" sqref="O3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46245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101" si="0">(H7/1000*I7/1000)*J7</f>
        <v>0</v>
      </c>
      <c r="L7" s="26">
        <f>SUM(J7:J51)</f>
        <v>157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SUM(K7:K51)</f>
        <v>1181.651711</v>
      </c>
    </row>
    <row r="9" spans="1:12" s="27" customFormat="1" ht="19.5" customHeight="1" x14ac:dyDescent="0.3">
      <c r="A9" s="28" t="s">
        <v>7357</v>
      </c>
      <c r="B9" s="16" t="s">
        <v>7358</v>
      </c>
      <c r="C9" s="17">
        <v>22</v>
      </c>
      <c r="D9" s="18" t="s">
        <v>7359</v>
      </c>
      <c r="E9" s="41">
        <v>4</v>
      </c>
      <c r="F9" s="42">
        <v>9.69</v>
      </c>
      <c r="G9" s="34" t="s">
        <v>7363</v>
      </c>
      <c r="H9" s="35">
        <v>1981</v>
      </c>
      <c r="I9" s="36">
        <v>3353</v>
      </c>
      <c r="J9" s="37">
        <v>3</v>
      </c>
      <c r="K9" s="25">
        <f t="shared" si="0"/>
        <v>19.926879</v>
      </c>
      <c r="L9" s="39" t="s">
        <v>7361</v>
      </c>
    </row>
    <row r="10" spans="1:12" s="27" customFormat="1" ht="19.5" customHeight="1" x14ac:dyDescent="0.3">
      <c r="A10" s="28"/>
      <c r="B10" s="16"/>
      <c r="C10" s="17">
        <v>22</v>
      </c>
      <c r="D10" s="18" t="s">
        <v>7360</v>
      </c>
      <c r="E10" s="41">
        <v>3</v>
      </c>
      <c r="F10" s="42">
        <v>9.69</v>
      </c>
      <c r="G10" s="34"/>
      <c r="H10" s="35"/>
      <c r="I10" s="36"/>
      <c r="J10" s="37"/>
      <c r="K10" s="85">
        <f t="shared" si="0"/>
        <v>0</v>
      </c>
      <c r="L10" s="39" t="s">
        <v>7362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 t="s">
        <v>7357</v>
      </c>
      <c r="B12" s="16" t="s">
        <v>7358</v>
      </c>
      <c r="C12" s="17">
        <v>22</v>
      </c>
      <c r="D12" s="18" t="s">
        <v>7359</v>
      </c>
      <c r="E12" s="41">
        <v>3</v>
      </c>
      <c r="F12" s="42">
        <v>12.92</v>
      </c>
      <c r="G12" s="34" t="s">
        <v>7364</v>
      </c>
      <c r="H12" s="35">
        <v>1981</v>
      </c>
      <c r="I12" s="36">
        <v>3353</v>
      </c>
      <c r="J12" s="37">
        <v>4</v>
      </c>
      <c r="K12" s="85">
        <f t="shared" si="0"/>
        <v>26.569172000000002</v>
      </c>
      <c r="L12" s="39" t="s">
        <v>7365</v>
      </c>
    </row>
    <row r="13" spans="1:12" s="27" customFormat="1" ht="19.5" customHeight="1" x14ac:dyDescent="0.3">
      <c r="A13" s="28"/>
      <c r="B13" s="16"/>
      <c r="C13" s="17">
        <v>22</v>
      </c>
      <c r="D13" s="18" t="s">
        <v>7360</v>
      </c>
      <c r="E13" s="41">
        <v>3</v>
      </c>
      <c r="F13" s="42">
        <v>9.69</v>
      </c>
      <c r="G13" s="34"/>
      <c r="H13" s="35"/>
      <c r="I13" s="36"/>
      <c r="J13" s="37"/>
      <c r="K13" s="85">
        <f t="shared" si="0"/>
        <v>0</v>
      </c>
      <c r="L13" s="39" t="s">
        <v>7365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 t="shared" si="0"/>
        <v>0</v>
      </c>
      <c r="L14" s="39"/>
    </row>
    <row r="15" spans="1:12" s="27" customFormat="1" ht="19.5" customHeight="1" x14ac:dyDescent="0.3">
      <c r="A15" s="28" t="s">
        <v>7366</v>
      </c>
      <c r="B15" s="16" t="s">
        <v>7367</v>
      </c>
      <c r="C15" s="17">
        <v>22</v>
      </c>
      <c r="D15" s="18" t="s">
        <v>7368</v>
      </c>
      <c r="E15" s="41">
        <v>2</v>
      </c>
      <c r="F15" s="42">
        <v>2.5099999999999998</v>
      </c>
      <c r="G15" s="34"/>
      <c r="H15" s="35"/>
      <c r="I15" s="36"/>
      <c r="J15" s="37"/>
      <c r="K15" s="85">
        <f t="shared" si="0"/>
        <v>0</v>
      </c>
      <c r="L15" s="39" t="s">
        <v>7369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 t="s">
        <v>7370</v>
      </c>
      <c r="B17" s="16" t="s">
        <v>7371</v>
      </c>
      <c r="C17" s="17">
        <v>25.76</v>
      </c>
      <c r="D17" s="18" t="s">
        <v>7372</v>
      </c>
      <c r="E17" s="41">
        <v>1</v>
      </c>
      <c r="F17" s="42">
        <v>0.53</v>
      </c>
      <c r="G17" s="34"/>
      <c r="H17" s="35"/>
      <c r="I17" s="36"/>
      <c r="J17" s="37"/>
      <c r="K17" s="85">
        <f t="shared" si="0"/>
        <v>0</v>
      </c>
      <c r="L17" s="39" t="s">
        <v>7373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</row>
    <row r="19" spans="1:12" s="27" customFormat="1" ht="19.5" customHeight="1" x14ac:dyDescent="0.3">
      <c r="A19" s="28" t="s">
        <v>7101</v>
      </c>
      <c r="B19" s="16" t="s">
        <v>7102</v>
      </c>
      <c r="C19" s="17">
        <v>5</v>
      </c>
      <c r="D19" s="18" t="s">
        <v>219</v>
      </c>
      <c r="E19" s="41">
        <v>30</v>
      </c>
      <c r="F19" s="42">
        <v>26.2</v>
      </c>
      <c r="G19" s="34" t="s">
        <v>18</v>
      </c>
      <c r="H19" s="35">
        <v>1981</v>
      </c>
      <c r="I19" s="36">
        <v>3353</v>
      </c>
      <c r="J19" s="37">
        <v>16</v>
      </c>
      <c r="K19" s="85">
        <f t="shared" si="0"/>
        <v>106.27668800000001</v>
      </c>
      <c r="L19" s="39" t="s">
        <v>7374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7333</v>
      </c>
      <c r="B21" s="16" t="s">
        <v>2861</v>
      </c>
      <c r="C21" s="17">
        <v>24</v>
      </c>
      <c r="D21" s="18" t="s">
        <v>539</v>
      </c>
      <c r="E21" s="41">
        <f>25+50+15</f>
        <v>90</v>
      </c>
      <c r="F21" s="42">
        <v>98.25</v>
      </c>
      <c r="G21" s="34" t="s">
        <v>7377</v>
      </c>
      <c r="H21" s="35">
        <v>2438</v>
      </c>
      <c r="I21" s="36">
        <v>3353</v>
      </c>
      <c r="J21" s="37">
        <v>70</v>
      </c>
      <c r="K21" s="85">
        <f t="shared" si="0"/>
        <v>572.22298000000001</v>
      </c>
      <c r="L21" s="39" t="s">
        <v>7378</v>
      </c>
    </row>
    <row r="22" spans="1:12" s="27" customFormat="1" ht="19.5" customHeight="1" x14ac:dyDescent="0.3">
      <c r="A22" s="28" t="s">
        <v>7375</v>
      </c>
      <c r="B22" s="16" t="s">
        <v>2861</v>
      </c>
      <c r="C22" s="17">
        <v>24</v>
      </c>
      <c r="D22" s="18" t="s">
        <v>2349</v>
      </c>
      <c r="E22" s="41">
        <v>60</v>
      </c>
      <c r="F22" s="42">
        <v>82.3</v>
      </c>
      <c r="G22" s="34"/>
      <c r="H22" s="35"/>
      <c r="I22" s="36"/>
      <c r="J22" s="37"/>
      <c r="K22" s="85">
        <f t="shared" si="0"/>
        <v>0</v>
      </c>
      <c r="L22" s="39" t="s">
        <v>7379</v>
      </c>
    </row>
    <row r="23" spans="1:12" s="27" customFormat="1" ht="19.5" customHeight="1" x14ac:dyDescent="0.3">
      <c r="A23" s="28" t="s">
        <v>7376</v>
      </c>
      <c r="B23" s="16" t="s">
        <v>2861</v>
      </c>
      <c r="C23" s="17">
        <v>24</v>
      </c>
      <c r="D23" s="18" t="s">
        <v>2349</v>
      </c>
      <c r="E23" s="41">
        <v>90</v>
      </c>
      <c r="F23" s="42">
        <v>123.45</v>
      </c>
      <c r="G23" s="34"/>
      <c r="H23" s="35"/>
      <c r="I23" s="36"/>
      <c r="J23" s="37"/>
      <c r="K23" s="85">
        <f t="shared" si="0"/>
        <v>0</v>
      </c>
      <c r="L23" s="39" t="s">
        <v>7379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 t="s">
        <v>7380</v>
      </c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 t="s">
        <v>7409</v>
      </c>
      <c r="B26" s="16" t="s">
        <v>7410</v>
      </c>
      <c r="C26" s="17">
        <v>22</v>
      </c>
      <c r="D26" s="18" t="s">
        <v>7411</v>
      </c>
      <c r="E26" s="41">
        <v>12</v>
      </c>
      <c r="F26" s="42">
        <v>11.26</v>
      </c>
      <c r="G26" s="34" t="s">
        <v>7413</v>
      </c>
      <c r="H26" s="35">
        <v>1981</v>
      </c>
      <c r="I26" s="36">
        <v>3353</v>
      </c>
      <c r="J26" s="37">
        <v>2</v>
      </c>
      <c r="K26" s="85">
        <f t="shared" si="0"/>
        <v>13.284586000000001</v>
      </c>
      <c r="L26" s="39"/>
    </row>
    <row r="27" spans="1:12" s="27" customFormat="1" ht="19.5" customHeight="1" x14ac:dyDescent="0.3">
      <c r="A27" s="28"/>
      <c r="B27" s="16"/>
      <c r="C27" s="17">
        <v>22</v>
      </c>
      <c r="D27" s="18" t="s">
        <v>7412</v>
      </c>
      <c r="E27" s="41">
        <v>12</v>
      </c>
      <c r="F27" s="42">
        <v>11.16</v>
      </c>
      <c r="G27" s="34" t="s">
        <v>7414</v>
      </c>
      <c r="H27" s="35">
        <v>1981</v>
      </c>
      <c r="I27" s="36">
        <v>3353</v>
      </c>
      <c r="J27" s="37">
        <v>2</v>
      </c>
      <c r="K27" s="85">
        <f t="shared" si="0"/>
        <v>13.284586000000001</v>
      </c>
      <c r="L27" s="39"/>
    </row>
    <row r="28" spans="1:12" s="27" customFormat="1" ht="19.5" customHeight="1" x14ac:dyDescent="0.3">
      <c r="A28" s="28"/>
      <c r="B28" s="16"/>
      <c r="C28" s="17">
        <v>22</v>
      </c>
      <c r="D28" s="18" t="s">
        <v>7411</v>
      </c>
      <c r="E28" s="41">
        <v>2</v>
      </c>
      <c r="F28" s="42">
        <v>0.56000000000000005</v>
      </c>
      <c r="G28" s="34" t="s">
        <v>19</v>
      </c>
      <c r="H28" s="35">
        <v>1981</v>
      </c>
      <c r="I28" s="36">
        <v>3353</v>
      </c>
      <c r="J28" s="37">
        <v>4</v>
      </c>
      <c r="K28" s="85">
        <f t="shared" si="0"/>
        <v>26.569172000000002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85">
        <f t="shared" si="0"/>
        <v>0</v>
      </c>
      <c r="L29" s="39"/>
    </row>
    <row r="30" spans="1:12" s="27" customFormat="1" ht="19.5" customHeight="1" x14ac:dyDescent="0.3">
      <c r="A30" s="28" t="s">
        <v>7415</v>
      </c>
      <c r="B30" s="16" t="s">
        <v>7410</v>
      </c>
      <c r="C30" s="17">
        <v>22</v>
      </c>
      <c r="D30" s="18" t="s">
        <v>7411</v>
      </c>
      <c r="E30" s="41">
        <v>10</v>
      </c>
      <c r="F30" s="42">
        <v>10.7</v>
      </c>
      <c r="G30" s="34" t="s">
        <v>7413</v>
      </c>
      <c r="H30" s="35">
        <v>1981</v>
      </c>
      <c r="I30" s="36">
        <v>3353</v>
      </c>
      <c r="J30" s="37">
        <v>2</v>
      </c>
      <c r="K30" s="85">
        <f t="shared" ref="K30:K35" si="1">(H30/1000*I30/1000)*J30</f>
        <v>13.284586000000001</v>
      </c>
      <c r="L30" s="39"/>
    </row>
    <row r="31" spans="1:12" s="27" customFormat="1" ht="19.5" customHeight="1" x14ac:dyDescent="0.3">
      <c r="A31" s="28"/>
      <c r="B31" s="16"/>
      <c r="C31" s="17">
        <v>22</v>
      </c>
      <c r="D31" s="18" t="s">
        <v>7412</v>
      </c>
      <c r="E31" s="41">
        <v>10</v>
      </c>
      <c r="F31" s="42">
        <v>10.6</v>
      </c>
      <c r="G31" s="34" t="s">
        <v>7414</v>
      </c>
      <c r="H31" s="35">
        <v>1981</v>
      </c>
      <c r="I31" s="36">
        <v>3353</v>
      </c>
      <c r="J31" s="37">
        <v>2</v>
      </c>
      <c r="K31" s="85">
        <f t="shared" si="1"/>
        <v>13.284586000000001</v>
      </c>
      <c r="L31" s="39"/>
    </row>
    <row r="32" spans="1:12" s="27" customFormat="1" ht="19.5" customHeight="1" x14ac:dyDescent="0.3">
      <c r="A32" s="28"/>
      <c r="B32" s="16"/>
      <c r="C32" s="17">
        <v>22</v>
      </c>
      <c r="D32" s="18" t="s">
        <v>7411</v>
      </c>
      <c r="E32" s="41">
        <v>2</v>
      </c>
      <c r="F32" s="42">
        <v>0.56000000000000005</v>
      </c>
      <c r="G32" s="34" t="s">
        <v>19</v>
      </c>
      <c r="H32" s="35">
        <v>1981</v>
      </c>
      <c r="I32" s="36">
        <v>3353</v>
      </c>
      <c r="J32" s="37">
        <v>4</v>
      </c>
      <c r="K32" s="85">
        <f t="shared" si="1"/>
        <v>26.569172000000002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85">
        <f t="shared" si="1"/>
        <v>0</v>
      </c>
      <c r="L33" s="39"/>
    </row>
    <row r="34" spans="1:12" s="27" customFormat="1" ht="19.5" customHeight="1" x14ac:dyDescent="0.3">
      <c r="A34" s="28" t="s">
        <v>7416</v>
      </c>
      <c r="B34" s="16" t="s">
        <v>7417</v>
      </c>
      <c r="C34" s="17">
        <v>26.76</v>
      </c>
      <c r="D34" s="18" t="s">
        <v>7418</v>
      </c>
      <c r="E34" s="41">
        <v>90</v>
      </c>
      <c r="F34" s="42">
        <v>137.75</v>
      </c>
      <c r="G34" s="34" t="s">
        <v>7420</v>
      </c>
      <c r="H34" s="35">
        <v>2438</v>
      </c>
      <c r="I34" s="36">
        <v>3048</v>
      </c>
      <c r="J34" s="37">
        <v>40</v>
      </c>
      <c r="K34" s="85">
        <f t="shared" si="1"/>
        <v>297.24096000000003</v>
      </c>
      <c r="L34" s="39" t="s">
        <v>7422</v>
      </c>
    </row>
    <row r="35" spans="1:12" s="27" customFormat="1" ht="19.5" customHeight="1" x14ac:dyDescent="0.3">
      <c r="A35" s="28"/>
      <c r="B35" s="16"/>
      <c r="C35" s="17">
        <v>24</v>
      </c>
      <c r="D35" s="18" t="s">
        <v>7419</v>
      </c>
      <c r="E35" s="41">
        <v>190</v>
      </c>
      <c r="F35" s="42">
        <v>129.75</v>
      </c>
      <c r="G35" s="34"/>
      <c r="H35" s="35"/>
      <c r="I35" s="36"/>
      <c r="J35" s="37"/>
      <c r="K35" s="85">
        <f t="shared" si="1"/>
        <v>0</v>
      </c>
      <c r="L35" s="39" t="s">
        <v>7421</v>
      </c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85">
        <f t="shared" si="0"/>
        <v>0</v>
      </c>
      <c r="L36" s="39"/>
    </row>
    <row r="37" spans="1:12" s="27" customFormat="1" ht="19.5" customHeight="1" x14ac:dyDescent="0.3">
      <c r="A37" s="28" t="s">
        <v>7423</v>
      </c>
      <c r="B37" s="16" t="s">
        <v>7410</v>
      </c>
      <c r="C37" s="17">
        <v>22</v>
      </c>
      <c r="D37" s="18" t="s">
        <v>7411</v>
      </c>
      <c r="E37" s="41">
        <v>10</v>
      </c>
      <c r="F37" s="42">
        <v>10.41</v>
      </c>
      <c r="G37" s="34" t="s">
        <v>19</v>
      </c>
      <c r="H37" s="35">
        <v>1981</v>
      </c>
      <c r="I37" s="36">
        <v>3353</v>
      </c>
      <c r="J37" s="37">
        <v>4</v>
      </c>
      <c r="K37" s="85">
        <f t="shared" si="0"/>
        <v>26.569172000000002</v>
      </c>
      <c r="L37" s="39" t="s">
        <v>7424</v>
      </c>
    </row>
    <row r="38" spans="1:12" s="27" customFormat="1" ht="19.5" customHeight="1" x14ac:dyDescent="0.3">
      <c r="A38" s="28"/>
      <c r="B38" s="16"/>
      <c r="C38" s="17">
        <v>22</v>
      </c>
      <c r="D38" s="18" t="s">
        <v>7412</v>
      </c>
      <c r="E38" s="41">
        <v>10</v>
      </c>
      <c r="F38" s="42">
        <v>10.28</v>
      </c>
      <c r="G38" s="34"/>
      <c r="H38" s="35"/>
      <c r="I38" s="36"/>
      <c r="J38" s="37"/>
      <c r="K38" s="85">
        <f t="shared" si="0"/>
        <v>0</v>
      </c>
      <c r="L38" s="39" t="s">
        <v>7424</v>
      </c>
    </row>
    <row r="39" spans="1:12" s="27" customFormat="1" ht="19.5" customHeight="1" x14ac:dyDescent="0.3">
      <c r="A39" s="28"/>
      <c r="B39" s="16"/>
      <c r="C39" s="17">
        <v>22</v>
      </c>
      <c r="D39" s="18" t="s">
        <v>7411</v>
      </c>
      <c r="E39" s="41">
        <v>2</v>
      </c>
      <c r="F39" s="42">
        <v>0.56000000000000005</v>
      </c>
      <c r="G39" s="34"/>
      <c r="H39" s="35"/>
      <c r="I39" s="36"/>
      <c r="J39" s="37"/>
      <c r="K39" s="85">
        <f t="shared" si="0"/>
        <v>0</v>
      </c>
      <c r="L39" s="39" t="s">
        <v>7424</v>
      </c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85">
        <f t="shared" si="0"/>
        <v>0</v>
      </c>
      <c r="L40" s="39"/>
    </row>
    <row r="41" spans="1:12" s="27" customFormat="1" ht="19.5" customHeight="1" x14ac:dyDescent="0.3">
      <c r="A41" s="28" t="s">
        <v>7425</v>
      </c>
      <c r="B41" s="16" t="s">
        <v>7410</v>
      </c>
      <c r="C41" s="17">
        <v>22</v>
      </c>
      <c r="D41" s="18" t="s">
        <v>7411</v>
      </c>
      <c r="E41" s="41">
        <v>12</v>
      </c>
      <c r="F41" s="42">
        <v>10.97</v>
      </c>
      <c r="G41" s="34" t="s">
        <v>19</v>
      </c>
      <c r="H41" s="35">
        <v>1981</v>
      </c>
      <c r="I41" s="36">
        <v>3353</v>
      </c>
      <c r="J41" s="37">
        <v>4</v>
      </c>
      <c r="K41" s="85">
        <f t="shared" si="0"/>
        <v>26.569172000000002</v>
      </c>
      <c r="L41" s="39" t="s">
        <v>7424</v>
      </c>
    </row>
    <row r="42" spans="1:12" s="27" customFormat="1" ht="19.5" customHeight="1" x14ac:dyDescent="0.3">
      <c r="A42" s="28"/>
      <c r="B42" s="16"/>
      <c r="C42" s="17">
        <v>22</v>
      </c>
      <c r="D42" s="18" t="s">
        <v>7412</v>
      </c>
      <c r="E42" s="41">
        <v>12</v>
      </c>
      <c r="F42" s="42">
        <v>10.84</v>
      </c>
      <c r="G42" s="34"/>
      <c r="H42" s="35"/>
      <c r="I42" s="36"/>
      <c r="J42" s="37"/>
      <c r="K42" s="85">
        <f t="shared" si="0"/>
        <v>0</v>
      </c>
      <c r="L42" s="39" t="s">
        <v>7424</v>
      </c>
    </row>
    <row r="43" spans="1:12" s="27" customFormat="1" ht="19.5" customHeight="1" x14ac:dyDescent="0.3">
      <c r="A43" s="28"/>
      <c r="B43" s="16"/>
      <c r="C43" s="17">
        <v>22</v>
      </c>
      <c r="D43" s="18" t="s">
        <v>7411</v>
      </c>
      <c r="E43" s="41">
        <v>2</v>
      </c>
      <c r="F43" s="42">
        <v>0.56000000000000005</v>
      </c>
      <c r="G43" s="34"/>
      <c r="H43" s="35"/>
      <c r="I43" s="36"/>
      <c r="J43" s="37"/>
      <c r="K43" s="85">
        <f t="shared" si="0"/>
        <v>0</v>
      </c>
      <c r="L43" s="39" t="s">
        <v>7424</v>
      </c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85">
        <f t="shared" si="0"/>
        <v>0</v>
      </c>
      <c r="L44" s="39"/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85">
        <f t="shared" si="0"/>
        <v>0</v>
      </c>
      <c r="L45" s="39"/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/>
      <c r="H46" s="35"/>
      <c r="I46" s="36"/>
      <c r="J46" s="37"/>
      <c r="K46" s="85">
        <f t="shared" si="0"/>
        <v>0</v>
      </c>
      <c r="L46" s="39"/>
    </row>
    <row r="47" spans="1:12" s="27" customFormat="1" ht="19.5" customHeight="1" x14ac:dyDescent="0.3">
      <c r="A47" s="28"/>
      <c r="B47" s="16"/>
      <c r="C47" s="17"/>
      <c r="D47" s="18"/>
      <c r="E47" s="41"/>
      <c r="F47" s="42"/>
      <c r="G47" s="34"/>
      <c r="H47" s="35"/>
      <c r="I47" s="36"/>
      <c r="J47" s="37"/>
      <c r="K47" s="85">
        <f t="shared" si="0"/>
        <v>0</v>
      </c>
      <c r="L47" s="39"/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85">
        <f t="shared" si="0"/>
        <v>0</v>
      </c>
      <c r="L48" s="39"/>
    </row>
    <row r="49" spans="1:12" s="27" customFormat="1" ht="19.5" customHeight="1" x14ac:dyDescent="0.3">
      <c r="A49" s="28"/>
      <c r="B49" s="16"/>
      <c r="C49" s="17"/>
      <c r="D49" s="18"/>
      <c r="E49" s="41"/>
      <c r="F49" s="42"/>
      <c r="G49" s="34"/>
      <c r="H49" s="35"/>
      <c r="I49" s="36"/>
      <c r="J49" s="37"/>
      <c r="K49" s="85">
        <f t="shared" si="0"/>
        <v>0</v>
      </c>
      <c r="L49" s="39"/>
    </row>
    <row r="50" spans="1:12" s="27" customFormat="1" ht="19.5" customHeight="1" x14ac:dyDescent="0.3">
      <c r="A50" s="28"/>
      <c r="B50" s="16"/>
      <c r="C50" s="17"/>
      <c r="D50" s="18"/>
      <c r="E50" s="41"/>
      <c r="F50" s="42"/>
      <c r="G50" s="34"/>
      <c r="H50" s="35"/>
      <c r="I50" s="36"/>
      <c r="J50" s="37"/>
      <c r="K50" s="85">
        <f t="shared" si="0"/>
        <v>0</v>
      </c>
      <c r="L50" s="39"/>
    </row>
    <row r="51" spans="1:12" s="27" customFormat="1" ht="19.5" customHeight="1" x14ac:dyDescent="0.3">
      <c r="A51" s="28"/>
      <c r="B51" s="29"/>
      <c r="C51" s="30"/>
      <c r="D51" s="31"/>
      <c r="E51" s="41"/>
      <c r="F51" s="42"/>
      <c r="G51" s="43"/>
      <c r="H51" s="35"/>
      <c r="I51" s="36"/>
      <c r="J51" s="37"/>
      <c r="K51" s="85">
        <f t="shared" si="0"/>
        <v>0</v>
      </c>
      <c r="L51" s="39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94" t="s">
        <v>7381</v>
      </c>
      <c r="B53" s="76" t="s">
        <v>7382</v>
      </c>
      <c r="C53" s="77">
        <v>24</v>
      </c>
      <c r="D53" s="78" t="s">
        <v>7383</v>
      </c>
      <c r="E53" s="48">
        <v>96</v>
      </c>
      <c r="F53" s="49">
        <v>56.12</v>
      </c>
      <c r="G53" s="50" t="s">
        <v>7377</v>
      </c>
      <c r="H53" s="51">
        <v>2438</v>
      </c>
      <c r="I53" s="45">
        <v>3353</v>
      </c>
      <c r="J53" s="52">
        <v>8</v>
      </c>
      <c r="K53" s="53">
        <f t="shared" si="0"/>
        <v>65.396912</v>
      </c>
      <c r="L53" s="64"/>
    </row>
    <row r="54" spans="1:12" s="55" customFormat="1" ht="19.5" customHeight="1" x14ac:dyDescent="0.3">
      <c r="A54" s="94"/>
      <c r="B54" s="76"/>
      <c r="C54" s="77"/>
      <c r="D54" s="78"/>
      <c r="E54" s="48"/>
      <c r="F54" s="49"/>
      <c r="G54" s="50" t="s">
        <v>7384</v>
      </c>
      <c r="H54" s="51">
        <v>2438</v>
      </c>
      <c r="I54" s="45">
        <v>3353</v>
      </c>
      <c r="J54" s="52">
        <v>8</v>
      </c>
      <c r="K54" s="53">
        <f t="shared" si="0"/>
        <v>65.396912</v>
      </c>
      <c r="L54" s="64"/>
    </row>
    <row r="55" spans="1:12" s="55" customFormat="1" ht="19.5" customHeight="1" x14ac:dyDescent="0.3">
      <c r="A55" s="94"/>
      <c r="B55" s="76"/>
      <c r="C55" s="77"/>
      <c r="D55" s="78"/>
      <c r="E55" s="48"/>
      <c r="F55" s="49"/>
      <c r="G55" s="50"/>
      <c r="H55" s="51"/>
      <c r="I55" s="45"/>
      <c r="J55" s="52"/>
      <c r="K55" s="53">
        <f t="shared" si="0"/>
        <v>0</v>
      </c>
      <c r="L55" s="64"/>
    </row>
    <row r="56" spans="1:12" s="55" customFormat="1" ht="19.5" customHeight="1" x14ac:dyDescent="0.3">
      <c r="A56" s="94" t="s">
        <v>7385</v>
      </c>
      <c r="B56" s="76" t="s">
        <v>7386</v>
      </c>
      <c r="C56" s="77">
        <v>24</v>
      </c>
      <c r="D56" s="78" t="s">
        <v>7387</v>
      </c>
      <c r="E56" s="48">
        <v>3</v>
      </c>
      <c r="F56" s="49">
        <v>4.55</v>
      </c>
      <c r="G56" s="50"/>
      <c r="H56" s="51"/>
      <c r="I56" s="45"/>
      <c r="J56" s="52"/>
      <c r="K56" s="53">
        <f t="shared" si="0"/>
        <v>0</v>
      </c>
      <c r="L56" s="64" t="s">
        <v>7388</v>
      </c>
    </row>
    <row r="57" spans="1:12" s="55" customFormat="1" ht="19.5" customHeight="1" x14ac:dyDescent="0.3">
      <c r="A57" s="94"/>
      <c r="B57" s="76"/>
      <c r="C57" s="77"/>
      <c r="D57" s="78"/>
      <c r="E57" s="48"/>
      <c r="F57" s="49"/>
      <c r="G57" s="50"/>
      <c r="H57" s="51"/>
      <c r="I57" s="45"/>
      <c r="J57" s="52"/>
      <c r="K57" s="53">
        <f t="shared" si="0"/>
        <v>0</v>
      </c>
      <c r="L57" s="64"/>
    </row>
    <row r="58" spans="1:12" s="55" customFormat="1" ht="19.5" customHeight="1" x14ac:dyDescent="0.3">
      <c r="A58" s="94" t="s">
        <v>7385</v>
      </c>
      <c r="B58" s="76" t="s">
        <v>7386</v>
      </c>
      <c r="C58" s="77">
        <v>24</v>
      </c>
      <c r="D58" s="78" t="s">
        <v>7387</v>
      </c>
      <c r="E58" s="48">
        <v>2</v>
      </c>
      <c r="F58" s="49">
        <v>2.71</v>
      </c>
      <c r="G58" s="50"/>
      <c r="H58" s="51"/>
      <c r="I58" s="45"/>
      <c r="J58" s="52"/>
      <c r="K58" s="53">
        <f t="shared" si="0"/>
        <v>0</v>
      </c>
      <c r="L58" s="64" t="s">
        <v>7389</v>
      </c>
    </row>
    <row r="59" spans="1:12" s="55" customFormat="1" ht="19.5" customHeight="1" x14ac:dyDescent="0.3">
      <c r="A59" s="94"/>
      <c r="B59" s="76"/>
      <c r="C59" s="77"/>
      <c r="D59" s="78"/>
      <c r="E59" s="48"/>
      <c r="F59" s="49"/>
      <c r="G59" s="50"/>
      <c r="H59" s="51"/>
      <c r="I59" s="45"/>
      <c r="J59" s="52"/>
      <c r="K59" s="53">
        <f t="shared" si="0"/>
        <v>0</v>
      </c>
      <c r="L59" s="64"/>
    </row>
    <row r="60" spans="1:12" s="55" customFormat="1" ht="19.5" customHeight="1" x14ac:dyDescent="0.3">
      <c r="A60" s="94" t="s">
        <v>7390</v>
      </c>
      <c r="B60" s="76" t="s">
        <v>7391</v>
      </c>
      <c r="C60" s="77">
        <v>24</v>
      </c>
      <c r="D60" s="78" t="s">
        <v>7392</v>
      </c>
      <c r="E60" s="48">
        <v>7</v>
      </c>
      <c r="F60" s="49">
        <v>8.64</v>
      </c>
      <c r="G60" s="50" t="s">
        <v>7394</v>
      </c>
      <c r="H60" s="51">
        <v>2438</v>
      </c>
      <c r="I60" s="45">
        <v>3048</v>
      </c>
      <c r="J60" s="52">
        <v>1</v>
      </c>
      <c r="K60" s="53">
        <f t="shared" si="0"/>
        <v>7.4310240000000007</v>
      </c>
      <c r="L60" s="64"/>
    </row>
    <row r="61" spans="1:12" s="55" customFormat="1" ht="19.5" customHeight="1" x14ac:dyDescent="0.3">
      <c r="A61" s="44"/>
      <c r="B61" s="45"/>
      <c r="C61" s="46">
        <v>26</v>
      </c>
      <c r="D61" s="47" t="s">
        <v>7393</v>
      </c>
      <c r="E61" s="48">
        <v>3</v>
      </c>
      <c r="F61" s="49">
        <v>4.95</v>
      </c>
      <c r="G61" s="50" t="s">
        <v>7377</v>
      </c>
      <c r="H61" s="51">
        <v>2438</v>
      </c>
      <c r="I61" s="45">
        <v>3048</v>
      </c>
      <c r="J61" s="52">
        <v>1</v>
      </c>
      <c r="K61" s="53">
        <f t="shared" si="0"/>
        <v>7.4310240000000007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 t="s">
        <v>7395</v>
      </c>
      <c r="H62" s="51">
        <v>3048</v>
      </c>
      <c r="I62" s="45">
        <v>3658</v>
      </c>
      <c r="J62" s="52">
        <v>1</v>
      </c>
      <c r="K62" s="53">
        <f t="shared" si="0"/>
        <v>11.149584000000001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 t="s">
        <v>7396</v>
      </c>
      <c r="H63" s="51">
        <v>3048</v>
      </c>
      <c r="I63" s="45">
        <v>3962</v>
      </c>
      <c r="J63" s="52">
        <v>1</v>
      </c>
      <c r="K63" s="53">
        <f t="shared" si="0"/>
        <v>12.076176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7397</v>
      </c>
      <c r="B65" s="45" t="s">
        <v>7371</v>
      </c>
      <c r="C65" s="46">
        <v>24</v>
      </c>
      <c r="D65" s="47" t="s">
        <v>7398</v>
      </c>
      <c r="E65" s="48">
        <v>17</v>
      </c>
      <c r="F65" s="49">
        <v>9.58</v>
      </c>
      <c r="G65" s="50" t="s">
        <v>7377</v>
      </c>
      <c r="H65" s="51">
        <v>2438</v>
      </c>
      <c r="I65" s="45">
        <v>3353</v>
      </c>
      <c r="J65" s="52">
        <v>1</v>
      </c>
      <c r="K65" s="53">
        <f t="shared" si="0"/>
        <v>8.174614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 t="s">
        <v>7399</v>
      </c>
      <c r="H66" s="51">
        <v>2438</v>
      </c>
      <c r="I66" s="45">
        <v>3048</v>
      </c>
      <c r="J66" s="52">
        <v>1</v>
      </c>
      <c r="K66" s="53">
        <f t="shared" si="0"/>
        <v>7.4310240000000007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 t="s">
        <v>7397</v>
      </c>
      <c r="B68" s="45" t="s">
        <v>7371</v>
      </c>
      <c r="C68" s="46">
        <v>22</v>
      </c>
      <c r="D68" s="47" t="s">
        <v>7400</v>
      </c>
      <c r="E68" s="48">
        <v>78</v>
      </c>
      <c r="F68" s="49">
        <v>85.76</v>
      </c>
      <c r="G68" s="50" t="s">
        <v>7396</v>
      </c>
      <c r="H68" s="51">
        <v>1981</v>
      </c>
      <c r="I68" s="45">
        <v>3353</v>
      </c>
      <c r="J68" s="52">
        <v>18</v>
      </c>
      <c r="K68" s="53">
        <f t="shared" si="0"/>
        <v>119.56127400000001</v>
      </c>
      <c r="L68" s="54" t="s">
        <v>7402</v>
      </c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 t="s">
        <v>7401</v>
      </c>
      <c r="H69" s="51">
        <v>1981</v>
      </c>
      <c r="I69" s="45">
        <v>3353</v>
      </c>
      <c r="J69" s="52">
        <v>18</v>
      </c>
      <c r="K69" s="53">
        <f t="shared" si="0"/>
        <v>119.56127400000001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7351</v>
      </c>
      <c r="B71" s="45" t="s">
        <v>2456</v>
      </c>
      <c r="C71" s="46">
        <v>43</v>
      </c>
      <c r="D71" s="47" t="s">
        <v>791</v>
      </c>
      <c r="E71" s="48">
        <v>7</v>
      </c>
      <c r="F71" s="49">
        <v>5.54</v>
      </c>
      <c r="G71" s="50" t="s">
        <v>7404</v>
      </c>
      <c r="H71" s="51">
        <v>1981</v>
      </c>
      <c r="I71" s="45">
        <v>3353</v>
      </c>
      <c r="J71" s="52">
        <v>3</v>
      </c>
      <c r="K71" s="53">
        <f t="shared" si="0"/>
        <v>19.926879</v>
      </c>
      <c r="L71" s="54" t="s">
        <v>7403</v>
      </c>
    </row>
    <row r="72" spans="1:12" s="55" customFormat="1" ht="19.5" customHeight="1" x14ac:dyDescent="0.3">
      <c r="A72" s="44" t="s">
        <v>7352</v>
      </c>
      <c r="B72" s="45" t="s">
        <v>2456</v>
      </c>
      <c r="C72" s="46">
        <v>24</v>
      </c>
      <c r="D72" s="47" t="s">
        <v>7354</v>
      </c>
      <c r="E72" s="48">
        <v>2</v>
      </c>
      <c r="F72" s="49">
        <v>2.82</v>
      </c>
      <c r="G72" s="50" t="s">
        <v>7404</v>
      </c>
      <c r="H72" s="51">
        <v>2438</v>
      </c>
      <c r="I72" s="45">
        <v>3353</v>
      </c>
      <c r="J72" s="52">
        <v>12</v>
      </c>
      <c r="K72" s="53">
        <f t="shared" si="0"/>
        <v>98.095368000000008</v>
      </c>
      <c r="L72" s="54" t="s">
        <v>7403</v>
      </c>
    </row>
    <row r="73" spans="1:12" s="55" customFormat="1" ht="19.5" customHeight="1" x14ac:dyDescent="0.3">
      <c r="A73" s="44"/>
      <c r="B73" s="45" t="s">
        <v>2456</v>
      </c>
      <c r="C73" s="46">
        <v>43</v>
      </c>
      <c r="D73" s="47" t="s">
        <v>7018</v>
      </c>
      <c r="E73" s="48">
        <v>16</v>
      </c>
      <c r="F73" s="49">
        <v>7.04</v>
      </c>
      <c r="G73" s="50" t="s">
        <v>7405</v>
      </c>
      <c r="H73" s="51">
        <v>2134</v>
      </c>
      <c r="I73" s="45">
        <v>3048</v>
      </c>
      <c r="J73" s="52">
        <v>1</v>
      </c>
      <c r="K73" s="53">
        <f t="shared" si="0"/>
        <v>6.5044319999999995</v>
      </c>
      <c r="L73" s="54" t="s">
        <v>7403</v>
      </c>
    </row>
    <row r="74" spans="1:12" s="55" customFormat="1" ht="19.5" customHeight="1" x14ac:dyDescent="0.3">
      <c r="A74" s="44" t="s">
        <v>7353</v>
      </c>
      <c r="B74" s="45" t="s">
        <v>2456</v>
      </c>
      <c r="C74" s="46">
        <v>43</v>
      </c>
      <c r="D74" s="47" t="s">
        <v>791</v>
      </c>
      <c r="E74" s="48">
        <v>42</v>
      </c>
      <c r="F74" s="49">
        <v>42.48</v>
      </c>
      <c r="G74" s="50"/>
      <c r="H74" s="51"/>
      <c r="I74" s="45"/>
      <c r="J74" s="52"/>
      <c r="K74" s="53">
        <f t="shared" si="0"/>
        <v>0</v>
      </c>
      <c r="L74" s="54" t="s">
        <v>7403</v>
      </c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 t="s">
        <v>7406</v>
      </c>
      <c r="B76" s="45" t="s">
        <v>7382</v>
      </c>
      <c r="C76" s="46">
        <v>24</v>
      </c>
      <c r="D76" s="47" t="s">
        <v>7383</v>
      </c>
      <c r="E76" s="48">
        <v>48</v>
      </c>
      <c r="F76" s="49">
        <v>17.82</v>
      </c>
      <c r="G76" s="50" t="s">
        <v>7377</v>
      </c>
      <c r="H76" s="51">
        <v>2438</v>
      </c>
      <c r="I76" s="45">
        <v>3353</v>
      </c>
      <c r="J76" s="52">
        <v>2</v>
      </c>
      <c r="K76" s="53">
        <f t="shared" si="0"/>
        <v>16.349228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 t="s">
        <v>7384</v>
      </c>
      <c r="H77" s="51">
        <v>2438</v>
      </c>
      <c r="I77" s="45">
        <v>3353</v>
      </c>
      <c r="J77" s="52">
        <v>2</v>
      </c>
      <c r="K77" s="53">
        <f t="shared" si="0"/>
        <v>16.349228</v>
      </c>
      <c r="L77" s="54"/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 t="s">
        <v>7407</v>
      </c>
      <c r="B79" s="45" t="s">
        <v>7382</v>
      </c>
      <c r="C79" s="46">
        <v>24</v>
      </c>
      <c r="D79" s="47" t="s">
        <v>7383</v>
      </c>
      <c r="E79" s="48">
        <v>34</v>
      </c>
      <c r="F79" s="49">
        <v>20.47</v>
      </c>
      <c r="G79" s="50" t="s">
        <v>7377</v>
      </c>
      <c r="H79" s="51">
        <v>2438</v>
      </c>
      <c r="I79" s="45">
        <v>3353</v>
      </c>
      <c r="J79" s="52">
        <v>3</v>
      </c>
      <c r="K79" s="53">
        <f t="shared" si="0"/>
        <v>24.523842000000002</v>
      </c>
      <c r="L79" s="54"/>
    </row>
    <row r="80" spans="1:12" s="55" customFormat="1" ht="19.5" customHeight="1" x14ac:dyDescent="0.3">
      <c r="A80" s="44"/>
      <c r="B80" s="45"/>
      <c r="C80" s="46"/>
      <c r="D80" s="47"/>
      <c r="E80" s="48"/>
      <c r="F80" s="49"/>
      <c r="G80" s="50" t="s">
        <v>7384</v>
      </c>
      <c r="H80" s="51">
        <v>2438</v>
      </c>
      <c r="I80" s="45">
        <v>3353</v>
      </c>
      <c r="J80" s="52">
        <v>3</v>
      </c>
      <c r="K80" s="53">
        <f t="shared" si="0"/>
        <v>24.523842000000002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 t="s">
        <v>7408</v>
      </c>
      <c r="B82" s="45" t="s">
        <v>7382</v>
      </c>
      <c r="C82" s="46">
        <v>24</v>
      </c>
      <c r="D82" s="47" t="s">
        <v>7383</v>
      </c>
      <c r="E82" s="48">
        <v>17</v>
      </c>
      <c r="F82" s="49">
        <v>7.98</v>
      </c>
      <c r="G82" s="50" t="s">
        <v>7377</v>
      </c>
      <c r="H82" s="51">
        <v>2438</v>
      </c>
      <c r="I82" s="45">
        <v>3353</v>
      </c>
      <c r="J82" s="52">
        <v>1</v>
      </c>
      <c r="K82" s="53">
        <f t="shared" si="0"/>
        <v>8.174614</v>
      </c>
      <c r="L82" s="54"/>
    </row>
    <row r="83" spans="1:12" s="55" customFormat="1" ht="19.5" customHeight="1" x14ac:dyDescent="0.3">
      <c r="A83" s="44"/>
      <c r="B83" s="45"/>
      <c r="C83" s="46"/>
      <c r="D83" s="47"/>
      <c r="E83" s="48"/>
      <c r="F83" s="49"/>
      <c r="G83" s="50" t="s">
        <v>7384</v>
      </c>
      <c r="H83" s="51">
        <v>2438</v>
      </c>
      <c r="I83" s="45">
        <v>3353</v>
      </c>
      <c r="J83" s="52">
        <v>1</v>
      </c>
      <c r="K83" s="53">
        <f t="shared" si="0"/>
        <v>8.174614</v>
      </c>
      <c r="L83" s="54"/>
    </row>
    <row r="84" spans="1:12" s="55" customFormat="1" ht="19.5" customHeight="1" x14ac:dyDescent="0.3">
      <c r="A84" s="44"/>
      <c r="B84" s="45"/>
      <c r="C84" s="46"/>
      <c r="D84" s="47"/>
      <c r="E84" s="48"/>
      <c r="F84" s="49"/>
      <c r="G84" s="50"/>
      <c r="H84" s="51"/>
      <c r="I84" s="45"/>
      <c r="J84" s="52"/>
      <c r="K84" s="53">
        <f t="shared" si="0"/>
        <v>0</v>
      </c>
      <c r="L84" s="54"/>
    </row>
    <row r="85" spans="1:12" s="55" customFormat="1" ht="19.5" customHeight="1" x14ac:dyDescent="0.3">
      <c r="A85" s="44" t="s">
        <v>7380</v>
      </c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5" customFormat="1" ht="19.5" customHeight="1" x14ac:dyDescent="0.3">
      <c r="A86" s="44" t="s">
        <v>7426</v>
      </c>
      <c r="B86" s="45" t="s">
        <v>7427</v>
      </c>
      <c r="C86" s="46">
        <v>28</v>
      </c>
      <c r="D86" s="47" t="s">
        <v>7419</v>
      </c>
      <c r="E86" s="48">
        <v>32</v>
      </c>
      <c r="F86" s="49">
        <v>29.64</v>
      </c>
      <c r="G86" s="50" t="s">
        <v>7428</v>
      </c>
      <c r="H86" s="51">
        <v>2438</v>
      </c>
      <c r="I86" s="45">
        <v>3353</v>
      </c>
      <c r="J86" s="52">
        <v>5</v>
      </c>
      <c r="K86" s="53">
        <f t="shared" si="0"/>
        <v>40.873069999999998</v>
      </c>
      <c r="L86" s="54"/>
    </row>
    <row r="87" spans="1:12" s="55" customFormat="1" ht="19.5" customHeight="1" x14ac:dyDescent="0.3">
      <c r="A87" s="44"/>
      <c r="B87" s="45"/>
      <c r="C87" s="46"/>
      <c r="D87" s="47"/>
      <c r="E87" s="48"/>
      <c r="F87" s="49"/>
      <c r="G87" s="50" t="s">
        <v>1594</v>
      </c>
      <c r="H87" s="51">
        <v>2438</v>
      </c>
      <c r="I87" s="45">
        <v>3353</v>
      </c>
      <c r="J87" s="52">
        <v>5</v>
      </c>
      <c r="K87" s="53">
        <f t="shared" si="0"/>
        <v>40.873069999999998</v>
      </c>
      <c r="L87" s="54"/>
    </row>
    <row r="88" spans="1:12" s="55" customFormat="1" ht="19.5" customHeight="1" x14ac:dyDescent="0.3">
      <c r="A88" s="44"/>
      <c r="B88" s="45"/>
      <c r="C88" s="46"/>
      <c r="D88" s="47"/>
      <c r="E88" s="48"/>
      <c r="F88" s="49"/>
      <c r="G88" s="50"/>
      <c r="H88" s="51"/>
      <c r="I88" s="45"/>
      <c r="J88" s="52"/>
      <c r="K88" s="53">
        <f t="shared" si="0"/>
        <v>0</v>
      </c>
      <c r="L88" s="54"/>
    </row>
    <row r="89" spans="1:12" s="55" customFormat="1" ht="19.5" customHeight="1" x14ac:dyDescent="0.3">
      <c r="A89" s="44" t="s">
        <v>7429</v>
      </c>
      <c r="B89" s="45" t="s">
        <v>7427</v>
      </c>
      <c r="C89" s="46">
        <v>28</v>
      </c>
      <c r="D89" s="47" t="s">
        <v>7419</v>
      </c>
      <c r="E89" s="48">
        <v>74</v>
      </c>
      <c r="F89" s="49">
        <v>66.16</v>
      </c>
      <c r="G89" s="50" t="s">
        <v>7428</v>
      </c>
      <c r="H89" s="51">
        <v>2438</v>
      </c>
      <c r="I89" s="45">
        <v>3353</v>
      </c>
      <c r="J89" s="52">
        <v>9</v>
      </c>
      <c r="K89" s="53">
        <f t="shared" si="0"/>
        <v>73.571526000000006</v>
      </c>
      <c r="L89" s="54"/>
    </row>
    <row r="90" spans="1:12" s="55" customFormat="1" ht="19.5" customHeight="1" x14ac:dyDescent="0.3">
      <c r="A90" s="44"/>
      <c r="B90" s="45"/>
      <c r="C90" s="46"/>
      <c r="D90" s="47"/>
      <c r="E90" s="48"/>
      <c r="F90" s="49"/>
      <c r="G90" s="50" t="s">
        <v>1594</v>
      </c>
      <c r="H90" s="51">
        <v>2438</v>
      </c>
      <c r="I90" s="45">
        <v>3353</v>
      </c>
      <c r="J90" s="52">
        <v>9</v>
      </c>
      <c r="K90" s="53">
        <f t="shared" si="0"/>
        <v>73.571526000000006</v>
      </c>
      <c r="L90" s="54"/>
    </row>
    <row r="91" spans="1:12" s="55" customFormat="1" ht="19.5" customHeight="1" x14ac:dyDescent="0.3">
      <c r="A91" s="44"/>
      <c r="B91" s="45"/>
      <c r="C91" s="46"/>
      <c r="D91" s="47"/>
      <c r="E91" s="48"/>
      <c r="F91" s="49"/>
      <c r="G91" s="50"/>
      <c r="H91" s="51"/>
      <c r="I91" s="45"/>
      <c r="J91" s="52"/>
      <c r="K91" s="53">
        <f t="shared" si="0"/>
        <v>0</v>
      </c>
      <c r="L91" s="54"/>
    </row>
    <row r="92" spans="1:12" s="55" customFormat="1" ht="19.5" customHeight="1" x14ac:dyDescent="0.3">
      <c r="A92" s="44" t="s">
        <v>7430</v>
      </c>
      <c r="B92" s="45" t="s">
        <v>7427</v>
      </c>
      <c r="C92" s="46">
        <v>24</v>
      </c>
      <c r="D92" s="47" t="s">
        <v>7412</v>
      </c>
      <c r="E92" s="48">
        <v>48</v>
      </c>
      <c r="F92" s="49">
        <v>57.43</v>
      </c>
      <c r="G92" s="50" t="s">
        <v>189</v>
      </c>
      <c r="H92" s="51">
        <v>2134</v>
      </c>
      <c r="I92" s="45">
        <v>3353</v>
      </c>
      <c r="J92" s="52">
        <v>9</v>
      </c>
      <c r="K92" s="53">
        <f t="shared" si="0"/>
        <v>64.397717999999998</v>
      </c>
      <c r="L92" s="54"/>
    </row>
    <row r="93" spans="1:12" s="55" customFormat="1" ht="19.5" customHeight="1" x14ac:dyDescent="0.3">
      <c r="A93" s="44"/>
      <c r="B93" s="45"/>
      <c r="C93" s="46"/>
      <c r="D93" s="47"/>
      <c r="E93" s="48"/>
      <c r="F93" s="49"/>
      <c r="G93" s="50" t="s">
        <v>1594</v>
      </c>
      <c r="H93" s="51">
        <v>2438</v>
      </c>
      <c r="I93" s="45">
        <v>3353</v>
      </c>
      <c r="J93" s="52">
        <v>9</v>
      </c>
      <c r="K93" s="53">
        <f t="shared" si="0"/>
        <v>73.571526000000006</v>
      </c>
      <c r="L93" s="54"/>
    </row>
    <row r="94" spans="1:12" s="55" customFormat="1" ht="19.5" customHeight="1" x14ac:dyDescent="0.3">
      <c r="A94" s="44"/>
      <c r="B94" s="45"/>
      <c r="C94" s="46"/>
      <c r="D94" s="47"/>
      <c r="E94" s="48"/>
      <c r="F94" s="49"/>
      <c r="G94" s="50"/>
      <c r="H94" s="51"/>
      <c r="I94" s="45"/>
      <c r="J94" s="52"/>
      <c r="K94" s="53">
        <f t="shared" si="0"/>
        <v>0</v>
      </c>
      <c r="L94" s="54"/>
    </row>
    <row r="95" spans="1:12" s="55" customFormat="1" ht="19.5" customHeight="1" x14ac:dyDescent="0.3">
      <c r="A95" s="44"/>
      <c r="B95" s="45"/>
      <c r="C95" s="46"/>
      <c r="D95" s="47"/>
      <c r="E95" s="48"/>
      <c r="F95" s="49"/>
      <c r="G95" s="50"/>
      <c r="H95" s="51"/>
      <c r="I95" s="45"/>
      <c r="J95" s="52"/>
      <c r="K95" s="53">
        <f t="shared" si="0"/>
        <v>0</v>
      </c>
      <c r="L95" s="54"/>
    </row>
    <row r="96" spans="1:12" s="55" customFormat="1" ht="19.5" customHeight="1" x14ac:dyDescent="0.3">
      <c r="A96" s="44"/>
      <c r="B96" s="45"/>
      <c r="C96" s="46"/>
      <c r="D96" s="47"/>
      <c r="E96" s="48"/>
      <c r="F96" s="49"/>
      <c r="G96" s="50"/>
      <c r="H96" s="51"/>
      <c r="I96" s="45"/>
      <c r="J96" s="52"/>
      <c r="K96" s="53">
        <f t="shared" si="0"/>
        <v>0</v>
      </c>
      <c r="L96" s="54"/>
    </row>
    <row r="97" spans="1:12" s="55" customFormat="1" ht="19.5" customHeight="1" x14ac:dyDescent="0.3">
      <c r="A97" s="44"/>
      <c r="B97" s="45"/>
      <c r="C97" s="46"/>
      <c r="D97" s="47"/>
      <c r="E97" s="48"/>
      <c r="F97" s="49"/>
      <c r="G97" s="50"/>
      <c r="H97" s="51"/>
      <c r="I97" s="45"/>
      <c r="J97" s="52"/>
      <c r="K97" s="53">
        <f t="shared" si="0"/>
        <v>0</v>
      </c>
      <c r="L97" s="54"/>
    </row>
    <row r="98" spans="1:12" s="55" customFormat="1" ht="19.5" customHeight="1" x14ac:dyDescent="0.3">
      <c r="A98" s="44"/>
      <c r="B98" s="45"/>
      <c r="C98" s="46"/>
      <c r="D98" s="47"/>
      <c r="E98" s="48"/>
      <c r="F98" s="49"/>
      <c r="G98" s="50"/>
      <c r="H98" s="51"/>
      <c r="I98" s="45"/>
      <c r="J98" s="52"/>
      <c r="K98" s="53">
        <f t="shared" si="0"/>
        <v>0</v>
      </c>
      <c r="L98" s="54"/>
    </row>
    <row r="99" spans="1:12" s="55" customFormat="1" ht="19.5" customHeight="1" x14ac:dyDescent="0.3">
      <c r="A99" s="44"/>
      <c r="B99" s="45"/>
      <c r="C99" s="46"/>
      <c r="D99" s="47"/>
      <c r="E99" s="48"/>
      <c r="F99" s="49"/>
      <c r="G99" s="50"/>
      <c r="H99" s="51"/>
      <c r="I99" s="45"/>
      <c r="J99" s="52"/>
      <c r="K99" s="53">
        <f t="shared" si="0"/>
        <v>0</v>
      </c>
      <c r="L99" s="54"/>
    </row>
    <row r="100" spans="1:12" s="59" customFormat="1" ht="20.100000000000001" customHeight="1" x14ac:dyDescent="0.3">
      <c r="A100" s="44"/>
      <c r="B100" s="45"/>
      <c r="C100" s="46"/>
      <c r="D100" s="47"/>
      <c r="E100" s="56"/>
      <c r="F100" s="57"/>
      <c r="G100" s="50"/>
      <c r="H100" s="51"/>
      <c r="I100" s="45"/>
      <c r="J100" s="52"/>
      <c r="K100" s="53">
        <f t="shared" si="0"/>
        <v>0</v>
      </c>
      <c r="L100" s="58">
        <f>SUM(J52:J101)</f>
        <v>132</v>
      </c>
    </row>
    <row r="101" spans="1:12" s="59" customFormat="1" ht="20.100000000000001" customHeight="1" x14ac:dyDescent="0.3">
      <c r="A101" s="44"/>
      <c r="B101" s="45"/>
      <c r="C101" s="46"/>
      <c r="D101" s="47"/>
      <c r="E101" s="60"/>
      <c r="F101" s="61"/>
      <c r="G101" s="62"/>
      <c r="H101" s="51"/>
      <c r="I101" s="45"/>
      <c r="J101" s="63"/>
      <c r="K101" s="53">
        <f t="shared" si="0"/>
        <v>0</v>
      </c>
      <c r="L101" s="64">
        <f>SUM(K52:K101)</f>
        <v>1013.090301</v>
      </c>
    </row>
    <row r="102" spans="1:12" s="59" customFormat="1" ht="20.100000000000001" customHeight="1" thickBot="1" x14ac:dyDescent="0.35">
      <c r="A102" s="114"/>
      <c r="B102" s="115"/>
      <c r="C102" s="115"/>
      <c r="D102" s="115"/>
      <c r="E102" s="115"/>
      <c r="F102" s="115"/>
      <c r="G102" s="115"/>
      <c r="H102" s="115"/>
      <c r="I102" s="115"/>
      <c r="J102" s="65">
        <f>SUM(J7:J101)</f>
        <v>289</v>
      </c>
      <c r="K102" s="66">
        <f>SUM(K7:K101)</f>
        <v>2194.7420120000006</v>
      </c>
      <c r="L102" s="67"/>
    </row>
    <row r="103" spans="1:12" s="59" customFormat="1" ht="20.100000000000001" customHeight="1" thickTop="1" thickBot="1" x14ac:dyDescent="0.35">
      <c r="A103" s="116" t="s">
        <v>52</v>
      </c>
      <c r="B103" s="117"/>
      <c r="C103" s="68"/>
      <c r="D103" s="118">
        <f>J102</f>
        <v>289</v>
      </c>
      <c r="E103" s="119"/>
      <c r="F103" s="119"/>
      <c r="G103" s="120"/>
      <c r="H103" s="121"/>
      <c r="I103" s="121"/>
      <c r="J103" s="122"/>
      <c r="K103" s="119"/>
      <c r="L103" s="123"/>
    </row>
    <row r="104" spans="1:12" s="59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71"/>
    </row>
    <row r="105" spans="1:12" s="59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59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59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59" customFormat="1" ht="20.100000000000001" customHeight="1" x14ac:dyDescent="0.3">
      <c r="A108" s="113"/>
      <c r="B108" s="113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59" customFormat="1" ht="20.100000000000001" customHeight="1" x14ac:dyDescent="0.3">
      <c r="A109" s="113"/>
      <c r="B109" s="113"/>
      <c r="C109" s="5"/>
      <c r="D109" s="5"/>
      <c r="E109" s="72"/>
      <c r="F109" s="5"/>
      <c r="G109" s="5"/>
      <c r="H109" s="5"/>
      <c r="I109" s="5"/>
      <c r="J109" s="5"/>
      <c r="K109" s="5"/>
      <c r="L109" s="5"/>
    </row>
    <row r="110" spans="1:12" s="59" customFormat="1" ht="20.100000000000001" customHeight="1" x14ac:dyDescent="0.3">
      <c r="A110" s="113"/>
      <c r="B110" s="113"/>
      <c r="C110" s="5"/>
      <c r="D110" s="5"/>
      <c r="E110" s="5"/>
      <c r="F110" s="5"/>
      <c r="G110" s="73"/>
      <c r="H110" s="5"/>
      <c r="I110" s="74"/>
      <c r="J110" s="5"/>
      <c r="K110" s="5"/>
      <c r="L110" s="5"/>
    </row>
    <row r="111" spans="1:12" s="59" customFormat="1" ht="20.100000000000001" customHeight="1" x14ac:dyDescent="0.3">
      <c r="A111" s="113"/>
      <c r="B111" s="113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59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59" customFormat="1" ht="20.100000000000001" customHeight="1" x14ac:dyDescent="0.3">
      <c r="A113" s="113"/>
      <c r="B113" s="113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59" customFormat="1" ht="20.100000000000001" customHeight="1" x14ac:dyDescent="0.3">
      <c r="A114" s="113"/>
      <c r="B114" s="113"/>
      <c r="C114" s="5"/>
      <c r="D114" s="5"/>
      <c r="E114" s="5"/>
      <c r="F114" s="70"/>
      <c r="G114" s="5"/>
      <c r="H114" s="72"/>
      <c r="I114" s="72"/>
      <c r="J114" s="5"/>
      <c r="K114" s="5"/>
      <c r="L114" s="5"/>
    </row>
    <row r="115" spans="1:12" ht="20.100000000000001" customHeight="1" x14ac:dyDescent="0.3">
      <c r="A115" s="113"/>
      <c r="B115" s="113"/>
      <c r="H115" s="72"/>
      <c r="I115" s="72"/>
    </row>
    <row r="116" spans="1:12" ht="20.100000000000001" customHeight="1" x14ac:dyDescent="0.3">
      <c r="H116" s="72"/>
      <c r="I116" s="72"/>
    </row>
    <row r="117" spans="1:12" ht="20.100000000000001" customHeight="1" x14ac:dyDescent="0.3">
      <c r="H117" s="72"/>
      <c r="I117" s="72"/>
    </row>
    <row r="118" spans="1:12" ht="20.100000000000001" customHeight="1" x14ac:dyDescent="0.3">
      <c r="A118" s="113"/>
      <c r="B118" s="113"/>
      <c r="H118" s="72"/>
      <c r="I118" s="72"/>
    </row>
    <row r="119" spans="1:12" ht="20.100000000000001" customHeight="1" x14ac:dyDescent="0.3">
      <c r="A119" s="113"/>
      <c r="B119" s="113"/>
      <c r="H119" s="72"/>
      <c r="I119" s="72"/>
    </row>
    <row r="120" spans="1:12" ht="20.100000000000001" customHeight="1" x14ac:dyDescent="0.3">
      <c r="H120" s="72"/>
      <c r="I120" s="72"/>
    </row>
    <row r="121" spans="1:12" ht="20.100000000000001" customHeight="1" x14ac:dyDescent="0.3">
      <c r="H121" s="72"/>
      <c r="I121" s="72"/>
    </row>
    <row r="122" spans="1:12" ht="20.100000000000001" customHeight="1" x14ac:dyDescent="0.3">
      <c r="H122" s="72"/>
      <c r="I122" s="72"/>
    </row>
    <row r="123" spans="1:12" s="72" customFormat="1" ht="20.100000000000001" customHeight="1" x14ac:dyDescent="0.3">
      <c r="A123" s="69"/>
      <c r="B123" s="5"/>
      <c r="C123" s="5"/>
      <c r="D123" s="5"/>
      <c r="E123" s="5"/>
      <c r="F123" s="70"/>
      <c r="G123" s="5"/>
      <c r="J123" s="5"/>
      <c r="K123" s="5"/>
      <c r="L123" s="5"/>
    </row>
    <row r="124" spans="1:12" s="72" customFormat="1" ht="20.100000000000001" customHeight="1" x14ac:dyDescent="0.3">
      <c r="A124" s="69"/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75" customFormat="1" ht="20.100000000000001" customHeight="1" x14ac:dyDescent="0.3">
      <c r="A125" s="69"/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75" customFormat="1" ht="20.100000000000001" customHeight="1" x14ac:dyDescent="0.3">
      <c r="A126" s="69"/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75" customFormat="1" ht="19.5" customHeight="1" x14ac:dyDescent="0.3">
      <c r="A127" s="69"/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72" customFormat="1" ht="20.100000000000001" customHeight="1" x14ac:dyDescent="0.3">
      <c r="A128" s="69"/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1:12" s="72" customFormat="1" ht="20.100000000000001" customHeight="1" x14ac:dyDescent="0.3">
      <c r="A129" s="69"/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1:12" ht="19.5" customHeight="1" x14ac:dyDescent="0.3"/>
    <row r="131" spans="1:12" ht="19.5" customHeight="1" x14ac:dyDescent="0.3"/>
    <row r="132" spans="1:12" ht="19.5" customHeight="1" x14ac:dyDescent="0.3"/>
    <row r="133" spans="1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1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1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1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1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1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1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1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1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1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1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1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ht="19.5" customHeight="1" x14ac:dyDescent="0.3"/>
    <row r="150" spans="2:12" ht="19.5" customHeight="1" x14ac:dyDescent="0.3"/>
    <row r="151" spans="2:12" ht="19.5" customHeight="1" x14ac:dyDescent="0.3"/>
    <row r="152" spans="2:12" ht="19.5" customHeight="1" x14ac:dyDescent="0.3"/>
    <row r="153" spans="2:12" ht="19.5" customHeight="1" x14ac:dyDescent="0.3"/>
    <row r="154" spans="2:12" ht="19.5" customHeight="1" x14ac:dyDescent="0.3"/>
    <row r="155" spans="2:12" ht="19.5" customHeight="1" x14ac:dyDescent="0.3"/>
    <row r="156" spans="2:12" ht="19.5" customHeight="1" x14ac:dyDescent="0.3"/>
    <row r="157" spans="2:12" ht="19.5" customHeight="1" x14ac:dyDescent="0.3"/>
    <row r="158" spans="2:12" ht="19.5" customHeight="1" x14ac:dyDescent="0.3"/>
    <row r="159" spans="2:12" ht="19.5" customHeight="1" x14ac:dyDescent="0.3"/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  <row r="185" spans="2:12" s="69" customFormat="1" ht="19.5" customHeight="1" x14ac:dyDescent="0.3">
      <c r="B185" s="5"/>
      <c r="C185" s="5"/>
      <c r="D185" s="5"/>
      <c r="E185" s="5"/>
      <c r="F185" s="70"/>
      <c r="G185" s="5"/>
      <c r="H185" s="5"/>
      <c r="I185" s="5"/>
      <c r="J185" s="5"/>
      <c r="K185" s="5"/>
      <c r="L185" s="5"/>
    </row>
    <row r="186" spans="2:12" s="69" customFormat="1" ht="19.5" customHeight="1" x14ac:dyDescent="0.3">
      <c r="B186" s="5"/>
      <c r="C186" s="5"/>
      <c r="D186" s="5"/>
      <c r="E186" s="5"/>
      <c r="F186" s="70"/>
      <c r="G186" s="5"/>
      <c r="H186" s="5"/>
      <c r="I186" s="5"/>
      <c r="J186" s="5"/>
      <c r="K186" s="5"/>
      <c r="L186" s="5"/>
    </row>
    <row r="187" spans="2:12" s="69" customFormat="1" ht="19.5" customHeight="1" x14ac:dyDescent="0.3">
      <c r="B187" s="5"/>
      <c r="C187" s="5"/>
      <c r="D187" s="5"/>
      <c r="E187" s="5"/>
      <c r="F187" s="70"/>
      <c r="G187" s="5"/>
      <c r="H187" s="5"/>
      <c r="I187" s="5"/>
      <c r="J187" s="5"/>
      <c r="K187" s="5"/>
      <c r="L187" s="5"/>
    </row>
    <row r="188" spans="2:12" s="69" customFormat="1" ht="19.5" customHeight="1" x14ac:dyDescent="0.3">
      <c r="B188" s="5"/>
      <c r="C188" s="5"/>
      <c r="D188" s="5"/>
      <c r="E188" s="5"/>
      <c r="F188" s="70"/>
      <c r="G188" s="5"/>
      <c r="H188" s="5"/>
      <c r="I188" s="5"/>
      <c r="J188" s="5"/>
      <c r="K188" s="5"/>
      <c r="L188" s="5"/>
    </row>
    <row r="189" spans="2:12" s="69" customFormat="1" ht="19.5" customHeight="1" x14ac:dyDescent="0.3">
      <c r="B189" s="5"/>
      <c r="C189" s="5"/>
      <c r="D189" s="5"/>
      <c r="E189" s="5"/>
      <c r="F189" s="70"/>
      <c r="G189" s="5"/>
      <c r="H189" s="5"/>
      <c r="I189" s="5"/>
      <c r="J189" s="5"/>
      <c r="K189" s="5"/>
      <c r="L189" s="5"/>
    </row>
    <row r="190" spans="2:12" s="69" customFormat="1" ht="19.5" customHeight="1" x14ac:dyDescent="0.3">
      <c r="B190" s="5"/>
      <c r="C190" s="5"/>
      <c r="D190" s="5"/>
      <c r="E190" s="5"/>
      <c r="F190" s="70"/>
      <c r="G190" s="5"/>
      <c r="H190" s="5"/>
      <c r="I190" s="5"/>
      <c r="J190" s="5"/>
      <c r="K190" s="5"/>
      <c r="L190" s="5"/>
    </row>
    <row r="191" spans="2:12" s="69" customFormat="1" ht="19.5" customHeight="1" x14ac:dyDescent="0.3">
      <c r="B191" s="5"/>
      <c r="C191" s="5"/>
      <c r="D191" s="5"/>
      <c r="E191" s="5"/>
      <c r="F191" s="70"/>
      <c r="G191" s="5"/>
      <c r="H191" s="5"/>
      <c r="I191" s="5"/>
      <c r="J191" s="5"/>
      <c r="K191" s="5"/>
      <c r="L191" s="5"/>
    </row>
    <row r="192" spans="2:12" s="69" customFormat="1" ht="19.5" customHeight="1" x14ac:dyDescent="0.3">
      <c r="B192" s="5"/>
      <c r="C192" s="5"/>
      <c r="D192" s="5"/>
      <c r="E192" s="5"/>
      <c r="F192" s="70"/>
      <c r="G192" s="5"/>
      <c r="H192" s="5"/>
      <c r="I192" s="5"/>
      <c r="J192" s="5"/>
      <c r="K192" s="5"/>
      <c r="L192" s="5"/>
    </row>
    <row r="193" spans="2:12" s="69" customFormat="1" ht="19.5" customHeight="1" x14ac:dyDescent="0.3">
      <c r="B193" s="5"/>
      <c r="C193" s="5"/>
      <c r="D193" s="5"/>
      <c r="E193" s="5"/>
      <c r="F193" s="70"/>
      <c r="G193" s="5"/>
      <c r="H193" s="5"/>
      <c r="I193" s="5"/>
      <c r="J193" s="5"/>
      <c r="K193" s="5"/>
      <c r="L193" s="5"/>
    </row>
  </sheetData>
  <mergeCells count="30">
    <mergeCell ref="A118:B118"/>
    <mergeCell ref="A119:B119"/>
    <mergeCell ref="A109:B109"/>
    <mergeCell ref="A110:B110"/>
    <mergeCell ref="A111:B111"/>
    <mergeCell ref="A113:B113"/>
    <mergeCell ref="A114:B114"/>
    <mergeCell ref="A115:B115"/>
    <mergeCell ref="A108:B10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102:I102"/>
    <mergeCell ref="A103:B103"/>
    <mergeCell ref="D103:G103"/>
    <mergeCell ref="H103:J103"/>
    <mergeCell ref="K103:L103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38" orientation="portrait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178"/>
  <sheetViews>
    <sheetView view="pageBreakPreview" topLeftCell="A17" zoomScale="85" zoomScaleNormal="100" zoomScaleSheetLayoutView="85" workbookViewId="0">
      <selection activeCell="A28" sqref="A2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5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5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5" ht="20.100000000000001" customHeight="1" thickBot="1" x14ac:dyDescent="0.35">
      <c r="A3" s="144" t="s">
        <v>1</v>
      </c>
      <c r="B3" s="145"/>
      <c r="C3" s="146">
        <v>46244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5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5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5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5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6" si="0">(H7/1000*I7/1000)*J7</f>
        <v>0</v>
      </c>
      <c r="L7" s="26">
        <f>SUM(J7:J36)</f>
        <v>137</v>
      </c>
    </row>
    <row r="8" spans="1:15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SUM(K7:K36)</f>
        <v>1160.2304260000001</v>
      </c>
    </row>
    <row r="9" spans="1:15" s="27" customFormat="1" ht="19.5" customHeight="1" x14ac:dyDescent="0.3">
      <c r="A9" s="28" t="s">
        <v>7303</v>
      </c>
      <c r="B9" s="16" t="s">
        <v>21</v>
      </c>
      <c r="C9" s="17">
        <v>5</v>
      </c>
      <c r="D9" s="18" t="s">
        <v>219</v>
      </c>
      <c r="E9" s="41">
        <v>20</v>
      </c>
      <c r="F9" s="42">
        <v>15.6</v>
      </c>
      <c r="G9" s="34" t="s">
        <v>18</v>
      </c>
      <c r="H9" s="35">
        <v>1981</v>
      </c>
      <c r="I9" s="36">
        <v>33535</v>
      </c>
      <c r="J9" s="37">
        <v>3</v>
      </c>
      <c r="K9" s="25">
        <f t="shared" si="0"/>
        <v>199.29850500000003</v>
      </c>
      <c r="L9" s="39"/>
      <c r="M9" s="27">
        <v>1</v>
      </c>
      <c r="N9" s="91">
        <f>F9</f>
        <v>15.6</v>
      </c>
      <c r="O9" s="27">
        <f>N9*M9</f>
        <v>15.6</v>
      </c>
    </row>
    <row r="10" spans="1:15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  <c r="N10" s="91">
        <f t="shared" ref="N10:N64" si="1">F10</f>
        <v>0</v>
      </c>
      <c r="O10" s="27">
        <f t="shared" ref="O10:O64" si="2">N10*M10</f>
        <v>0</v>
      </c>
    </row>
    <row r="11" spans="1:15" s="27" customFormat="1" ht="19.5" customHeight="1" x14ac:dyDescent="0.3">
      <c r="A11" s="28" t="s">
        <v>7304</v>
      </c>
      <c r="B11" s="16" t="s">
        <v>6090</v>
      </c>
      <c r="C11" s="17">
        <v>10</v>
      </c>
      <c r="D11" s="18" t="s">
        <v>926</v>
      </c>
      <c r="E11" s="41">
        <v>2</v>
      </c>
      <c r="F11" s="42">
        <v>3.9</v>
      </c>
      <c r="G11" s="34" t="s">
        <v>927</v>
      </c>
      <c r="H11" s="35">
        <v>2134</v>
      </c>
      <c r="I11" s="36">
        <v>3353</v>
      </c>
      <c r="J11" s="37">
        <v>1</v>
      </c>
      <c r="K11" s="85">
        <f t="shared" si="0"/>
        <v>7.1553019999999998</v>
      </c>
      <c r="L11" s="39"/>
      <c r="M11" s="27">
        <v>1</v>
      </c>
      <c r="N11" s="91">
        <f t="shared" si="1"/>
        <v>3.9</v>
      </c>
      <c r="O11" s="27">
        <f t="shared" si="2"/>
        <v>3.9</v>
      </c>
    </row>
    <row r="12" spans="1:15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>
        <f t="shared" ref="K12:K22" si="3">(H12/1000*I12/1000)*J12</f>
        <v>0</v>
      </c>
      <c r="L12" s="39"/>
      <c r="N12" s="91">
        <f t="shared" ref="N12:N22" si="4">F12</f>
        <v>0</v>
      </c>
      <c r="O12" s="27">
        <f t="shared" ref="O12:O22" si="5">N12*M12</f>
        <v>0</v>
      </c>
    </row>
    <row r="13" spans="1:15" s="27" customFormat="1" ht="19.5" customHeight="1" x14ac:dyDescent="0.3">
      <c r="A13" s="28" t="s">
        <v>7305</v>
      </c>
      <c r="B13" s="16" t="s">
        <v>2861</v>
      </c>
      <c r="C13" s="17">
        <v>24</v>
      </c>
      <c r="D13" s="18" t="s">
        <v>2349</v>
      </c>
      <c r="E13" s="41">
        <v>40</v>
      </c>
      <c r="F13" s="42">
        <v>12.6</v>
      </c>
      <c r="G13" s="34" t="s">
        <v>189</v>
      </c>
      <c r="H13" s="35">
        <v>2438</v>
      </c>
      <c r="I13" s="36">
        <v>3353</v>
      </c>
      <c r="J13" s="37">
        <v>32</v>
      </c>
      <c r="K13" s="85">
        <f t="shared" si="3"/>
        <v>261.587648</v>
      </c>
      <c r="L13" s="39" t="s">
        <v>7307</v>
      </c>
      <c r="M13" s="27">
        <v>2</v>
      </c>
      <c r="N13" s="91">
        <f t="shared" si="4"/>
        <v>12.6</v>
      </c>
      <c r="O13" s="27">
        <f t="shared" si="5"/>
        <v>25.2</v>
      </c>
    </row>
    <row r="14" spans="1:15" s="27" customFormat="1" ht="19.5" customHeight="1" x14ac:dyDescent="0.3">
      <c r="A14" s="28"/>
      <c r="B14" s="16"/>
      <c r="C14" s="17">
        <v>24</v>
      </c>
      <c r="D14" s="18" t="s">
        <v>539</v>
      </c>
      <c r="E14" s="41">
        <v>75</v>
      </c>
      <c r="F14" s="42">
        <v>50.95</v>
      </c>
      <c r="G14" s="34"/>
      <c r="H14" s="35"/>
      <c r="I14" s="36"/>
      <c r="J14" s="37"/>
      <c r="K14" s="85">
        <f t="shared" si="3"/>
        <v>0</v>
      </c>
      <c r="L14" s="39" t="s">
        <v>7307</v>
      </c>
      <c r="M14" s="27">
        <v>1</v>
      </c>
      <c r="N14" s="91">
        <f t="shared" si="4"/>
        <v>50.95</v>
      </c>
      <c r="O14" s="27">
        <f t="shared" si="5"/>
        <v>50.95</v>
      </c>
    </row>
    <row r="15" spans="1:15" s="27" customFormat="1" ht="19.5" customHeight="1" x14ac:dyDescent="0.3">
      <c r="A15" s="28" t="s">
        <v>7306</v>
      </c>
      <c r="B15" s="16" t="s">
        <v>2861</v>
      </c>
      <c r="C15" s="17">
        <v>24</v>
      </c>
      <c r="D15" s="18" t="s">
        <v>2349</v>
      </c>
      <c r="E15" s="41">
        <v>60</v>
      </c>
      <c r="F15" s="42">
        <v>82.3</v>
      </c>
      <c r="G15" s="34"/>
      <c r="H15" s="35"/>
      <c r="I15" s="36"/>
      <c r="J15" s="37"/>
      <c r="K15" s="85">
        <f t="shared" si="3"/>
        <v>0</v>
      </c>
      <c r="L15" s="39" t="s">
        <v>7307</v>
      </c>
      <c r="M15" s="27">
        <v>2</v>
      </c>
      <c r="N15" s="91">
        <f t="shared" si="4"/>
        <v>82.3</v>
      </c>
      <c r="O15" s="27">
        <f t="shared" si="5"/>
        <v>164.6</v>
      </c>
    </row>
    <row r="16" spans="1:15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3"/>
        <v>0</v>
      </c>
      <c r="L16" s="39"/>
      <c r="N16" s="91">
        <f t="shared" si="4"/>
        <v>0</v>
      </c>
      <c r="O16" s="27">
        <f t="shared" si="5"/>
        <v>0</v>
      </c>
    </row>
    <row r="17" spans="1:15" s="27" customFormat="1" ht="19.5" customHeight="1" x14ac:dyDescent="0.3">
      <c r="A17" s="28" t="s">
        <v>7203</v>
      </c>
      <c r="B17" s="16" t="s">
        <v>3843</v>
      </c>
      <c r="C17" s="17">
        <v>22</v>
      </c>
      <c r="D17" s="18" t="s">
        <v>45</v>
      </c>
      <c r="E17" s="41">
        <f>280-60</f>
        <v>220</v>
      </c>
      <c r="F17" s="42">
        <v>89.8</v>
      </c>
      <c r="G17" s="34" t="s">
        <v>49</v>
      </c>
      <c r="H17" s="35">
        <v>1829</v>
      </c>
      <c r="I17" s="36">
        <v>3353</v>
      </c>
      <c r="J17" s="37">
        <v>13</v>
      </c>
      <c r="K17" s="85">
        <f t="shared" si="3"/>
        <v>79.724281000000005</v>
      </c>
      <c r="L17" s="39" t="s">
        <v>7308</v>
      </c>
      <c r="M17" s="27">
        <v>1</v>
      </c>
      <c r="N17" s="91">
        <f t="shared" si="4"/>
        <v>89.8</v>
      </c>
      <c r="O17" s="27">
        <f t="shared" si="5"/>
        <v>89.8</v>
      </c>
    </row>
    <row r="18" spans="1:15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3"/>
        <v>0</v>
      </c>
      <c r="L18" s="39"/>
      <c r="N18" s="91">
        <f t="shared" si="4"/>
        <v>0</v>
      </c>
      <c r="O18" s="27">
        <f t="shared" si="5"/>
        <v>0</v>
      </c>
    </row>
    <row r="19" spans="1:15" s="27" customFormat="1" ht="19.5" customHeight="1" x14ac:dyDescent="0.3">
      <c r="A19" s="28" t="s">
        <v>7101</v>
      </c>
      <c r="B19" s="16" t="s">
        <v>7102</v>
      </c>
      <c r="C19" s="17">
        <v>5</v>
      </c>
      <c r="D19" s="18" t="s">
        <v>219</v>
      </c>
      <c r="E19" s="41">
        <v>248</v>
      </c>
      <c r="F19" s="42">
        <v>249.04</v>
      </c>
      <c r="G19" s="34" t="s">
        <v>18</v>
      </c>
      <c r="H19" s="35">
        <v>1981</v>
      </c>
      <c r="I19" s="36">
        <v>3353</v>
      </c>
      <c r="J19" s="37">
        <v>42</v>
      </c>
      <c r="K19" s="85">
        <f t="shared" si="3"/>
        <v>278.97630600000002</v>
      </c>
      <c r="L19" s="39" t="s">
        <v>1027</v>
      </c>
      <c r="M19" s="27">
        <v>1</v>
      </c>
      <c r="N19" s="91">
        <f t="shared" si="4"/>
        <v>249.04</v>
      </c>
      <c r="O19" s="27">
        <f t="shared" si="5"/>
        <v>249.04</v>
      </c>
    </row>
    <row r="20" spans="1:15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3"/>
        <v>0</v>
      </c>
      <c r="L20" s="39"/>
      <c r="N20" s="91">
        <f t="shared" si="4"/>
        <v>0</v>
      </c>
      <c r="O20" s="27">
        <f t="shared" si="5"/>
        <v>0</v>
      </c>
    </row>
    <row r="21" spans="1:15" s="27" customFormat="1" ht="19.5" customHeight="1" x14ac:dyDescent="0.3">
      <c r="A21" s="28" t="s">
        <v>57</v>
      </c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3"/>
        <v>0</v>
      </c>
      <c r="L21" s="39"/>
      <c r="N21" s="91">
        <f t="shared" si="4"/>
        <v>0</v>
      </c>
      <c r="O21" s="27">
        <f t="shared" si="5"/>
        <v>0</v>
      </c>
    </row>
    <row r="22" spans="1:15" s="27" customFormat="1" ht="19.5" customHeight="1" x14ac:dyDescent="0.3">
      <c r="A22" s="28" t="s">
        <v>7322</v>
      </c>
      <c r="B22" s="16" t="s">
        <v>7323</v>
      </c>
      <c r="C22" s="17">
        <v>22</v>
      </c>
      <c r="D22" s="18" t="s">
        <v>7324</v>
      </c>
      <c r="E22" s="41">
        <v>3</v>
      </c>
      <c r="F22" s="42">
        <v>6</v>
      </c>
      <c r="G22" s="34" t="s">
        <v>7325</v>
      </c>
      <c r="H22" s="35">
        <v>1981</v>
      </c>
      <c r="I22" s="36">
        <v>3353</v>
      </c>
      <c r="J22" s="37">
        <v>1</v>
      </c>
      <c r="K22" s="85">
        <f t="shared" si="3"/>
        <v>6.6422930000000004</v>
      </c>
      <c r="L22" s="39"/>
      <c r="M22" s="27">
        <v>2</v>
      </c>
      <c r="N22" s="91">
        <f t="shared" si="4"/>
        <v>6</v>
      </c>
      <c r="O22" s="27">
        <f t="shared" si="5"/>
        <v>12</v>
      </c>
    </row>
    <row r="23" spans="1:15" s="27" customFormat="1" ht="19.5" customHeight="1" x14ac:dyDescent="0.3">
      <c r="A23" s="28"/>
      <c r="B23" s="16"/>
      <c r="C23" s="17"/>
      <c r="D23" s="18"/>
      <c r="E23" s="41"/>
      <c r="F23" s="42"/>
      <c r="G23" s="34" t="s">
        <v>7326</v>
      </c>
      <c r="H23" s="35">
        <v>1981</v>
      </c>
      <c r="I23" s="36">
        <v>3353</v>
      </c>
      <c r="J23" s="37">
        <v>1</v>
      </c>
      <c r="K23" s="85">
        <f t="shared" ref="K23:K29" si="6">(H23/1000*I23/1000)*J23</f>
        <v>6.6422930000000004</v>
      </c>
      <c r="L23" s="39"/>
      <c r="N23" s="91">
        <f t="shared" ref="N23:N29" si="7">F23</f>
        <v>0</v>
      </c>
      <c r="O23" s="27">
        <f t="shared" ref="O23:O29" si="8">N23*M23</f>
        <v>0</v>
      </c>
    </row>
    <row r="24" spans="1:15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6"/>
        <v>0</v>
      </c>
      <c r="L24" s="39"/>
      <c r="N24" s="91">
        <f t="shared" si="7"/>
        <v>0</v>
      </c>
      <c r="O24" s="27">
        <f t="shared" si="8"/>
        <v>0</v>
      </c>
    </row>
    <row r="25" spans="1:15" s="27" customFormat="1" ht="19.5" customHeight="1" x14ac:dyDescent="0.3">
      <c r="A25" s="28" t="s">
        <v>7327</v>
      </c>
      <c r="B25" s="16" t="s">
        <v>7328</v>
      </c>
      <c r="C25" s="17">
        <v>26.76</v>
      </c>
      <c r="D25" s="18" t="s">
        <v>7329</v>
      </c>
      <c r="E25" s="41">
        <v>35</v>
      </c>
      <c r="F25" s="42">
        <v>54.15</v>
      </c>
      <c r="G25" s="34" t="s">
        <v>822</v>
      </c>
      <c r="H25" s="35">
        <v>2438</v>
      </c>
      <c r="I25" s="36">
        <v>3048</v>
      </c>
      <c r="J25" s="37">
        <v>16</v>
      </c>
      <c r="K25" s="85">
        <f t="shared" si="6"/>
        <v>118.89638400000001</v>
      </c>
      <c r="L25" s="39" t="s">
        <v>7331</v>
      </c>
      <c r="M25" s="27">
        <v>1</v>
      </c>
      <c r="N25" s="91">
        <f t="shared" si="7"/>
        <v>54.15</v>
      </c>
      <c r="O25" s="27">
        <f t="shared" si="8"/>
        <v>54.15</v>
      </c>
    </row>
    <row r="26" spans="1:15" s="27" customFormat="1" ht="19.5" customHeight="1" x14ac:dyDescent="0.3">
      <c r="A26" s="28"/>
      <c r="B26" s="16"/>
      <c r="C26" s="17">
        <v>24</v>
      </c>
      <c r="D26" s="18" t="s">
        <v>7330</v>
      </c>
      <c r="E26" s="41">
        <v>75</v>
      </c>
      <c r="F26" s="42">
        <v>50.95</v>
      </c>
      <c r="G26" s="34"/>
      <c r="H26" s="35"/>
      <c r="I26" s="36"/>
      <c r="J26" s="37"/>
      <c r="K26" s="85">
        <f t="shared" si="6"/>
        <v>0</v>
      </c>
      <c r="L26" s="39" t="s">
        <v>7332</v>
      </c>
      <c r="M26" s="27">
        <v>1</v>
      </c>
      <c r="N26" s="91">
        <f t="shared" si="7"/>
        <v>50.95</v>
      </c>
      <c r="O26" s="27">
        <f t="shared" si="8"/>
        <v>50.95</v>
      </c>
    </row>
    <row r="27" spans="1:15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6"/>
        <v>0</v>
      </c>
      <c r="L27" s="39"/>
      <c r="N27" s="91">
        <f t="shared" si="7"/>
        <v>0</v>
      </c>
      <c r="O27" s="27">
        <f t="shared" si="8"/>
        <v>0</v>
      </c>
    </row>
    <row r="28" spans="1:15" s="27" customFormat="1" ht="19.5" customHeight="1" x14ac:dyDescent="0.3">
      <c r="A28" s="28" t="s">
        <v>7333</v>
      </c>
      <c r="B28" s="16" t="s">
        <v>2861</v>
      </c>
      <c r="C28" s="17">
        <v>24</v>
      </c>
      <c r="D28" s="18" t="s">
        <v>2349</v>
      </c>
      <c r="E28" s="41">
        <v>100</v>
      </c>
      <c r="F28" s="42">
        <v>31.5</v>
      </c>
      <c r="G28" s="34" t="s">
        <v>7334</v>
      </c>
      <c r="H28" s="35">
        <v>2438</v>
      </c>
      <c r="I28" s="36">
        <v>3353</v>
      </c>
      <c r="J28" s="37">
        <v>10</v>
      </c>
      <c r="K28" s="85">
        <f t="shared" si="6"/>
        <v>81.746139999999997</v>
      </c>
      <c r="L28" s="39" t="s">
        <v>7335</v>
      </c>
      <c r="M28" s="27">
        <v>2</v>
      </c>
      <c r="N28" s="91">
        <f t="shared" si="7"/>
        <v>31.5</v>
      </c>
      <c r="O28" s="27">
        <f t="shared" si="8"/>
        <v>63</v>
      </c>
    </row>
    <row r="29" spans="1:15" s="27" customFormat="1" ht="19.5" customHeight="1" x14ac:dyDescent="0.3">
      <c r="A29" s="28"/>
      <c r="B29" s="16"/>
      <c r="C29" s="17">
        <v>24</v>
      </c>
      <c r="D29" s="18" t="s">
        <v>539</v>
      </c>
      <c r="E29" s="41">
        <v>100</v>
      </c>
      <c r="F29" s="42">
        <v>31.5</v>
      </c>
      <c r="G29" s="34"/>
      <c r="H29" s="35"/>
      <c r="I29" s="36"/>
      <c r="J29" s="37"/>
      <c r="K29" s="85">
        <f t="shared" si="6"/>
        <v>0</v>
      </c>
      <c r="L29" s="39" t="s">
        <v>7336</v>
      </c>
      <c r="M29" s="27">
        <v>1</v>
      </c>
      <c r="N29" s="91">
        <f t="shared" si="7"/>
        <v>31.5</v>
      </c>
      <c r="O29" s="27">
        <f t="shared" si="8"/>
        <v>31.5</v>
      </c>
    </row>
    <row r="30" spans="1:15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0"/>
        <v>0</v>
      </c>
      <c r="L30" s="39"/>
      <c r="N30" s="91">
        <f t="shared" si="1"/>
        <v>0</v>
      </c>
      <c r="O30" s="27">
        <f t="shared" si="2"/>
        <v>0</v>
      </c>
    </row>
    <row r="31" spans="1:15" s="27" customFormat="1" ht="19.5" customHeight="1" x14ac:dyDescent="0.3">
      <c r="A31" s="28" t="s">
        <v>7337</v>
      </c>
      <c r="B31" s="16" t="s">
        <v>7338</v>
      </c>
      <c r="C31" s="17">
        <v>5</v>
      </c>
      <c r="D31" s="18" t="s">
        <v>219</v>
      </c>
      <c r="E31" s="41">
        <v>128</v>
      </c>
      <c r="F31" s="42">
        <f>21.8+95.04</f>
        <v>116.84</v>
      </c>
      <c r="G31" s="34" t="s">
        <v>7325</v>
      </c>
      <c r="H31" s="35">
        <v>1981</v>
      </c>
      <c r="I31" s="36">
        <v>3353</v>
      </c>
      <c r="J31" s="37">
        <v>18</v>
      </c>
      <c r="K31" s="85">
        <f t="shared" si="0"/>
        <v>119.56127400000001</v>
      </c>
      <c r="L31" s="39" t="s">
        <v>7339</v>
      </c>
      <c r="M31" s="27">
        <v>1</v>
      </c>
      <c r="N31" s="91">
        <f t="shared" si="1"/>
        <v>116.84</v>
      </c>
      <c r="O31" s="27">
        <f t="shared" si="2"/>
        <v>116.84</v>
      </c>
    </row>
    <row r="32" spans="1:15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  <c r="N32" s="91"/>
      <c r="O32" s="27">
        <f>SUM(O9:O31)</f>
        <v>927.53000000000009</v>
      </c>
    </row>
    <row r="33" spans="1:15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85">
        <f t="shared" si="0"/>
        <v>0</v>
      </c>
      <c r="L33" s="39"/>
      <c r="N33" s="91"/>
      <c r="O33" s="92">
        <f>1-(O32/L8)</f>
        <v>0.20056397486683386</v>
      </c>
    </row>
    <row r="34" spans="1:15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85">
        <f t="shared" si="0"/>
        <v>0</v>
      </c>
      <c r="L34" s="39"/>
      <c r="N34" s="91"/>
    </row>
    <row r="35" spans="1:15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85">
        <f t="shared" si="0"/>
        <v>0</v>
      </c>
      <c r="L35" s="39"/>
      <c r="N35" s="91"/>
    </row>
    <row r="36" spans="1:15" s="27" customFormat="1" ht="19.5" customHeight="1" x14ac:dyDescent="0.3">
      <c r="A36" s="28"/>
      <c r="B36" s="29"/>
      <c r="C36" s="30"/>
      <c r="D36" s="31"/>
      <c r="E36" s="41"/>
      <c r="F36" s="42"/>
      <c r="G36" s="43"/>
      <c r="H36" s="35"/>
      <c r="I36" s="36"/>
      <c r="J36" s="37"/>
      <c r="K36" s="85">
        <f t="shared" si="0"/>
        <v>0</v>
      </c>
      <c r="L36" s="39"/>
      <c r="N36" s="91"/>
    </row>
    <row r="37" spans="1:15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  <c r="N37" s="91"/>
      <c r="O37" s="27"/>
    </row>
    <row r="38" spans="1:15" s="55" customFormat="1" ht="19.5" customHeight="1" x14ac:dyDescent="0.3">
      <c r="A38" s="94" t="s">
        <v>7309</v>
      </c>
      <c r="B38" s="76" t="s">
        <v>7310</v>
      </c>
      <c r="C38" s="77">
        <v>22</v>
      </c>
      <c r="D38" s="78" t="s">
        <v>7311</v>
      </c>
      <c r="E38" s="48">
        <v>1</v>
      </c>
      <c r="F38" s="49">
        <v>0.28000000000000003</v>
      </c>
      <c r="G38" s="50"/>
      <c r="H38" s="51"/>
      <c r="I38" s="45"/>
      <c r="J38" s="52"/>
      <c r="K38" s="53">
        <f t="shared" si="0"/>
        <v>0</v>
      </c>
      <c r="L38" s="64" t="s">
        <v>31</v>
      </c>
      <c r="M38" s="55">
        <v>2</v>
      </c>
      <c r="N38" s="91">
        <f t="shared" si="1"/>
        <v>0.28000000000000003</v>
      </c>
      <c r="O38" s="27">
        <f t="shared" si="2"/>
        <v>0.56000000000000005</v>
      </c>
    </row>
    <row r="39" spans="1:15" s="55" customFormat="1" ht="19.5" customHeight="1" x14ac:dyDescent="0.3">
      <c r="A39" s="94"/>
      <c r="B39" s="76"/>
      <c r="C39" s="77">
        <v>22</v>
      </c>
      <c r="D39" s="78" t="s">
        <v>7312</v>
      </c>
      <c r="E39" s="48">
        <v>2</v>
      </c>
      <c r="F39" s="49">
        <v>0.56000000000000005</v>
      </c>
      <c r="G39" s="50"/>
      <c r="H39" s="51"/>
      <c r="I39" s="45"/>
      <c r="J39" s="52"/>
      <c r="K39" s="53">
        <f t="shared" si="0"/>
        <v>0</v>
      </c>
      <c r="L39" s="64" t="s">
        <v>31</v>
      </c>
      <c r="M39" s="55">
        <v>2</v>
      </c>
      <c r="N39" s="91">
        <f t="shared" si="1"/>
        <v>0.56000000000000005</v>
      </c>
      <c r="O39" s="27">
        <f t="shared" si="2"/>
        <v>1.1200000000000001</v>
      </c>
    </row>
    <row r="40" spans="1:15" s="55" customFormat="1" ht="19.5" customHeight="1" x14ac:dyDescent="0.3">
      <c r="A40" s="94"/>
      <c r="B40" s="76"/>
      <c r="C40" s="77">
        <v>22</v>
      </c>
      <c r="D40" s="78" t="s">
        <v>17</v>
      </c>
      <c r="E40" s="48">
        <v>1</v>
      </c>
      <c r="F40" s="49">
        <v>0.28000000000000003</v>
      </c>
      <c r="G40" s="50"/>
      <c r="H40" s="51"/>
      <c r="I40" s="45"/>
      <c r="J40" s="52"/>
      <c r="K40" s="53">
        <f t="shared" si="0"/>
        <v>0</v>
      </c>
      <c r="L40" s="64" t="s">
        <v>31</v>
      </c>
      <c r="M40" s="55">
        <v>2</v>
      </c>
      <c r="N40" s="91">
        <f t="shared" si="1"/>
        <v>0.28000000000000003</v>
      </c>
      <c r="O40" s="27">
        <f t="shared" si="2"/>
        <v>0.56000000000000005</v>
      </c>
    </row>
    <row r="41" spans="1:15" s="55" customFormat="1" ht="19.5" customHeight="1" x14ac:dyDescent="0.3">
      <c r="A41" s="94"/>
      <c r="B41" s="76"/>
      <c r="C41" s="77"/>
      <c r="D41" s="78"/>
      <c r="E41" s="48"/>
      <c r="F41" s="49"/>
      <c r="G41" s="50"/>
      <c r="H41" s="51"/>
      <c r="I41" s="45"/>
      <c r="J41" s="52"/>
      <c r="K41" s="53">
        <f t="shared" si="0"/>
        <v>0</v>
      </c>
      <c r="L41" s="64"/>
      <c r="N41" s="91">
        <f t="shared" si="1"/>
        <v>0</v>
      </c>
      <c r="O41" s="27">
        <f t="shared" si="2"/>
        <v>0</v>
      </c>
    </row>
    <row r="42" spans="1:15" s="55" customFormat="1" ht="19.5" customHeight="1" x14ac:dyDescent="0.3">
      <c r="A42" s="94" t="s">
        <v>7313</v>
      </c>
      <c r="B42" s="76" t="s">
        <v>6798</v>
      </c>
      <c r="C42" s="77">
        <v>24</v>
      </c>
      <c r="D42" s="78" t="s">
        <v>7045</v>
      </c>
      <c r="E42" s="48">
        <v>1</v>
      </c>
      <c r="F42" s="49">
        <v>0.69</v>
      </c>
      <c r="G42" s="50"/>
      <c r="H42" s="51"/>
      <c r="I42" s="45"/>
      <c r="J42" s="52"/>
      <c r="K42" s="53">
        <f t="shared" si="0"/>
        <v>0</v>
      </c>
      <c r="L42" s="64" t="s">
        <v>31</v>
      </c>
      <c r="M42" s="55">
        <v>2</v>
      </c>
      <c r="N42" s="91">
        <f t="shared" si="1"/>
        <v>0.69</v>
      </c>
      <c r="O42" s="27">
        <f t="shared" si="2"/>
        <v>1.38</v>
      </c>
    </row>
    <row r="43" spans="1:15" s="55" customFormat="1" ht="19.5" customHeight="1" x14ac:dyDescent="0.3">
      <c r="A43" s="94"/>
      <c r="B43" s="76"/>
      <c r="C43" s="77"/>
      <c r="D43" s="78"/>
      <c r="E43" s="48"/>
      <c r="F43" s="49"/>
      <c r="G43" s="50"/>
      <c r="H43" s="51"/>
      <c r="I43" s="45"/>
      <c r="J43" s="52"/>
      <c r="K43" s="53">
        <f t="shared" si="0"/>
        <v>0</v>
      </c>
      <c r="L43" s="64"/>
      <c r="N43" s="91">
        <f t="shared" si="1"/>
        <v>0</v>
      </c>
      <c r="O43" s="27">
        <f t="shared" si="2"/>
        <v>0</v>
      </c>
    </row>
    <row r="44" spans="1:15" s="55" customFormat="1" ht="19.5" customHeight="1" x14ac:dyDescent="0.3">
      <c r="A44" s="94" t="s">
        <v>7314</v>
      </c>
      <c r="B44" s="76" t="s">
        <v>6798</v>
      </c>
      <c r="C44" s="77">
        <v>24</v>
      </c>
      <c r="D44" s="78" t="s">
        <v>501</v>
      </c>
      <c r="E44" s="48">
        <v>8</v>
      </c>
      <c r="F44" s="49">
        <v>2.2400000000000002</v>
      </c>
      <c r="G44" s="50" t="s">
        <v>56</v>
      </c>
      <c r="H44" s="51">
        <v>2438</v>
      </c>
      <c r="I44" s="45">
        <v>3353</v>
      </c>
      <c r="J44" s="52">
        <v>1</v>
      </c>
      <c r="K44" s="53">
        <f t="shared" si="0"/>
        <v>8.174614</v>
      </c>
      <c r="L44" s="64" t="s">
        <v>7316</v>
      </c>
      <c r="M44" s="55">
        <v>2</v>
      </c>
      <c r="N44" s="91">
        <f t="shared" si="1"/>
        <v>2.2400000000000002</v>
      </c>
      <c r="O44" s="27">
        <f t="shared" si="2"/>
        <v>4.4800000000000004</v>
      </c>
    </row>
    <row r="45" spans="1:15" s="55" customFormat="1" ht="19.5" customHeight="1" x14ac:dyDescent="0.3">
      <c r="A45" s="94" t="s">
        <v>7315</v>
      </c>
      <c r="B45" s="76" t="s">
        <v>5938</v>
      </c>
      <c r="C45" s="77">
        <v>24</v>
      </c>
      <c r="D45" s="78" t="s">
        <v>501</v>
      </c>
      <c r="E45" s="48">
        <v>1</v>
      </c>
      <c r="F45" s="49">
        <v>0.66</v>
      </c>
      <c r="G45" s="50" t="s">
        <v>18</v>
      </c>
      <c r="H45" s="51">
        <v>2134</v>
      </c>
      <c r="I45" s="45">
        <v>3048</v>
      </c>
      <c r="J45" s="52">
        <v>1</v>
      </c>
      <c r="K45" s="53">
        <f t="shared" si="0"/>
        <v>6.5044319999999995</v>
      </c>
      <c r="L45" s="64" t="s">
        <v>7316</v>
      </c>
      <c r="M45" s="55">
        <v>2</v>
      </c>
      <c r="N45" s="91">
        <f t="shared" si="1"/>
        <v>0.66</v>
      </c>
      <c r="O45" s="27">
        <f t="shared" si="2"/>
        <v>1.32</v>
      </c>
    </row>
    <row r="46" spans="1:15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  <c r="N46" s="91">
        <f t="shared" si="1"/>
        <v>0</v>
      </c>
      <c r="O46" s="27">
        <f t="shared" si="2"/>
        <v>0</v>
      </c>
    </row>
    <row r="47" spans="1:15" s="55" customFormat="1" ht="19.5" customHeight="1" x14ac:dyDescent="0.3">
      <c r="A47" s="44" t="s">
        <v>7192</v>
      </c>
      <c r="B47" s="45" t="s">
        <v>3370</v>
      </c>
      <c r="C47" s="46">
        <v>22</v>
      </c>
      <c r="D47" s="47" t="s">
        <v>45</v>
      </c>
      <c r="E47" s="48">
        <v>96</v>
      </c>
      <c r="F47" s="49">
        <v>74.3</v>
      </c>
      <c r="G47" s="50" t="s">
        <v>49</v>
      </c>
      <c r="H47" s="51">
        <v>1981</v>
      </c>
      <c r="I47" s="45">
        <v>3353</v>
      </c>
      <c r="J47" s="52">
        <v>12</v>
      </c>
      <c r="K47" s="53">
        <f t="shared" si="0"/>
        <v>79.707515999999998</v>
      </c>
      <c r="L47" s="54"/>
      <c r="M47" s="55">
        <v>2</v>
      </c>
      <c r="N47" s="91">
        <f t="shared" si="1"/>
        <v>74.3</v>
      </c>
      <c r="O47" s="27">
        <f t="shared" si="2"/>
        <v>148.6</v>
      </c>
    </row>
    <row r="48" spans="1:15" s="55" customFormat="1" ht="19.5" customHeight="1" x14ac:dyDescent="0.3">
      <c r="A48" s="44"/>
      <c r="B48" s="45"/>
      <c r="C48" s="46">
        <v>22</v>
      </c>
      <c r="D48" s="47" t="s">
        <v>17</v>
      </c>
      <c r="E48" s="48">
        <v>83</v>
      </c>
      <c r="F48" s="49">
        <v>82.08</v>
      </c>
      <c r="G48" s="50" t="s">
        <v>18</v>
      </c>
      <c r="H48" s="51">
        <v>1981</v>
      </c>
      <c r="I48" s="45">
        <v>3353</v>
      </c>
      <c r="J48" s="52">
        <v>13</v>
      </c>
      <c r="K48" s="53">
        <f t="shared" si="0"/>
        <v>86.349809000000008</v>
      </c>
      <c r="L48" s="54"/>
      <c r="M48" s="55">
        <v>2</v>
      </c>
      <c r="N48" s="91">
        <f t="shared" si="1"/>
        <v>82.08</v>
      </c>
      <c r="O48" s="27">
        <f t="shared" si="2"/>
        <v>164.16</v>
      </c>
    </row>
    <row r="49" spans="1:15" s="55" customFormat="1" ht="19.5" customHeight="1" x14ac:dyDescent="0.3">
      <c r="A49" s="44"/>
      <c r="B49" s="45"/>
      <c r="C49" s="46"/>
      <c r="D49" s="47"/>
      <c r="E49" s="48"/>
      <c r="F49" s="49"/>
      <c r="G49" s="50" t="s">
        <v>19</v>
      </c>
      <c r="H49" s="51">
        <v>1981</v>
      </c>
      <c r="I49" s="45">
        <v>3353</v>
      </c>
      <c r="J49" s="52">
        <v>25</v>
      </c>
      <c r="K49" s="53">
        <f t="shared" si="0"/>
        <v>166.05732500000002</v>
      </c>
      <c r="L49" s="54"/>
      <c r="N49" s="91">
        <f t="shared" si="1"/>
        <v>0</v>
      </c>
      <c r="O49" s="27">
        <f t="shared" si="2"/>
        <v>0</v>
      </c>
    </row>
    <row r="50" spans="1:15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  <c r="N50" s="91">
        <f t="shared" si="1"/>
        <v>0</v>
      </c>
      <c r="O50" s="27">
        <f t="shared" si="2"/>
        <v>0</v>
      </c>
    </row>
    <row r="51" spans="1:15" s="55" customFormat="1" ht="19.5" customHeight="1" x14ac:dyDescent="0.3">
      <c r="A51" s="44" t="s">
        <v>7317</v>
      </c>
      <c r="B51" s="45" t="s">
        <v>2456</v>
      </c>
      <c r="C51" s="46">
        <v>43</v>
      </c>
      <c r="D51" s="47" t="s">
        <v>791</v>
      </c>
      <c r="E51" s="48">
        <v>52</v>
      </c>
      <c r="F51" s="49">
        <v>66.08</v>
      </c>
      <c r="G51" s="50" t="s">
        <v>49</v>
      </c>
      <c r="H51" s="51">
        <v>1981</v>
      </c>
      <c r="I51" s="45">
        <v>3353</v>
      </c>
      <c r="J51" s="52">
        <v>3</v>
      </c>
      <c r="K51" s="53">
        <f t="shared" si="0"/>
        <v>19.926879</v>
      </c>
      <c r="L51" s="54" t="s">
        <v>202</v>
      </c>
      <c r="M51" s="55">
        <v>1</v>
      </c>
      <c r="N51" s="91">
        <f t="shared" si="1"/>
        <v>66.08</v>
      </c>
      <c r="O51" s="27">
        <f t="shared" si="2"/>
        <v>66.08</v>
      </c>
    </row>
    <row r="52" spans="1:15" s="55" customFormat="1" ht="19.5" customHeight="1" x14ac:dyDescent="0.3">
      <c r="A52" s="44"/>
      <c r="B52" s="45"/>
      <c r="C52" s="46"/>
      <c r="D52" s="47"/>
      <c r="E52" s="48"/>
      <c r="F52" s="49"/>
      <c r="G52" s="50" t="s">
        <v>49</v>
      </c>
      <c r="H52" s="51">
        <v>1829</v>
      </c>
      <c r="I52" s="45">
        <v>3353</v>
      </c>
      <c r="J52" s="52">
        <v>9</v>
      </c>
      <c r="K52" s="53">
        <f t="shared" si="0"/>
        <v>55.193733000000002</v>
      </c>
      <c r="L52" s="54"/>
      <c r="N52" s="91">
        <f t="shared" si="1"/>
        <v>0</v>
      </c>
      <c r="O52" s="27">
        <f t="shared" si="2"/>
        <v>0</v>
      </c>
    </row>
    <row r="53" spans="1:15" s="55" customFormat="1" ht="19.5" customHeight="1" x14ac:dyDescent="0.3">
      <c r="A53" s="44"/>
      <c r="B53" s="45"/>
      <c r="C53" s="46"/>
      <c r="D53" s="47"/>
      <c r="E53" s="48"/>
      <c r="F53" s="49"/>
      <c r="G53" s="50" t="s">
        <v>49</v>
      </c>
      <c r="H53" s="51">
        <v>2438</v>
      </c>
      <c r="I53" s="45">
        <v>3353</v>
      </c>
      <c r="J53" s="52">
        <v>1</v>
      </c>
      <c r="K53" s="53">
        <f t="shared" si="0"/>
        <v>8.174614</v>
      </c>
      <c r="L53" s="54"/>
      <c r="N53" s="91">
        <f t="shared" si="1"/>
        <v>0</v>
      </c>
      <c r="O53" s="27">
        <f t="shared" si="2"/>
        <v>0</v>
      </c>
    </row>
    <row r="54" spans="1:15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  <c r="N54" s="91">
        <f t="shared" si="1"/>
        <v>0</v>
      </c>
      <c r="O54" s="27">
        <f t="shared" si="2"/>
        <v>0</v>
      </c>
    </row>
    <row r="55" spans="1:15" s="55" customFormat="1" ht="19.5" customHeight="1" x14ac:dyDescent="0.3">
      <c r="A55" s="44" t="s">
        <v>7318</v>
      </c>
      <c r="B55" s="45" t="s">
        <v>1684</v>
      </c>
      <c r="C55" s="46">
        <v>26</v>
      </c>
      <c r="D55" s="47" t="s">
        <v>289</v>
      </c>
      <c r="E55" s="48">
        <v>88</v>
      </c>
      <c r="F55" s="49">
        <v>73.239999999999995</v>
      </c>
      <c r="G55" s="50" t="s">
        <v>291</v>
      </c>
      <c r="H55" s="51">
        <v>2134</v>
      </c>
      <c r="I55" s="45">
        <v>3353</v>
      </c>
      <c r="J55" s="52">
        <v>8</v>
      </c>
      <c r="K55" s="53">
        <f t="shared" si="0"/>
        <v>57.242415999999999</v>
      </c>
      <c r="L55" s="54" t="s">
        <v>106</v>
      </c>
      <c r="M55" s="55">
        <v>1</v>
      </c>
      <c r="N55" s="91">
        <f t="shared" si="1"/>
        <v>73.239999999999995</v>
      </c>
      <c r="O55" s="27">
        <f t="shared" si="2"/>
        <v>73.239999999999995</v>
      </c>
    </row>
    <row r="56" spans="1:15" s="55" customFormat="1" ht="19.5" customHeight="1" x14ac:dyDescent="0.3">
      <c r="A56" s="44"/>
      <c r="B56" s="45"/>
      <c r="C56" s="46"/>
      <c r="D56" s="47"/>
      <c r="E56" s="48"/>
      <c r="F56" s="49"/>
      <c r="G56" s="50" t="s">
        <v>291</v>
      </c>
      <c r="H56" s="51">
        <v>2438</v>
      </c>
      <c r="I56" s="45">
        <v>3353</v>
      </c>
      <c r="J56" s="52">
        <v>8</v>
      </c>
      <c r="K56" s="53">
        <f t="shared" si="0"/>
        <v>65.396912</v>
      </c>
      <c r="L56" s="54"/>
      <c r="N56" s="91">
        <f t="shared" si="1"/>
        <v>0</v>
      </c>
      <c r="O56" s="27">
        <f t="shared" si="2"/>
        <v>0</v>
      </c>
    </row>
    <row r="57" spans="1:15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  <c r="N57" s="91">
        <f t="shared" si="1"/>
        <v>0</v>
      </c>
      <c r="O57" s="27">
        <f t="shared" si="2"/>
        <v>0</v>
      </c>
    </row>
    <row r="58" spans="1:15" s="55" customFormat="1" ht="19.5" customHeight="1" x14ac:dyDescent="0.3">
      <c r="A58" s="44" t="s">
        <v>7319</v>
      </c>
      <c r="B58" s="45" t="s">
        <v>1684</v>
      </c>
      <c r="C58" s="46">
        <v>26</v>
      </c>
      <c r="D58" s="47" t="s">
        <v>289</v>
      </c>
      <c r="E58" s="48">
        <v>44</v>
      </c>
      <c r="F58" s="49">
        <v>15.16</v>
      </c>
      <c r="G58" s="50" t="s">
        <v>291</v>
      </c>
      <c r="H58" s="51">
        <v>2438</v>
      </c>
      <c r="I58" s="45">
        <v>3353</v>
      </c>
      <c r="J58" s="52">
        <v>2</v>
      </c>
      <c r="K58" s="53">
        <f t="shared" si="0"/>
        <v>16.349228</v>
      </c>
      <c r="L58" s="54" t="s">
        <v>106</v>
      </c>
      <c r="M58" s="55">
        <v>1</v>
      </c>
      <c r="N58" s="91">
        <f t="shared" si="1"/>
        <v>15.16</v>
      </c>
      <c r="O58" s="27">
        <f t="shared" si="2"/>
        <v>15.16</v>
      </c>
    </row>
    <row r="59" spans="1:15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  <c r="N59" s="91">
        <f t="shared" si="1"/>
        <v>0</v>
      </c>
      <c r="O59" s="27">
        <f t="shared" si="2"/>
        <v>0</v>
      </c>
    </row>
    <row r="60" spans="1:15" s="55" customFormat="1" ht="19.5" customHeight="1" x14ac:dyDescent="0.3">
      <c r="A60" s="44" t="s">
        <v>7320</v>
      </c>
      <c r="B60" s="45" t="s">
        <v>1684</v>
      </c>
      <c r="C60" s="46">
        <v>26</v>
      </c>
      <c r="D60" s="47" t="s">
        <v>289</v>
      </c>
      <c r="E60" s="48">
        <v>17</v>
      </c>
      <c r="F60" s="49">
        <v>7.54</v>
      </c>
      <c r="G60" s="50" t="s">
        <v>291</v>
      </c>
      <c r="H60" s="51">
        <v>2438</v>
      </c>
      <c r="I60" s="45">
        <v>3353</v>
      </c>
      <c r="J60" s="52">
        <v>1</v>
      </c>
      <c r="K60" s="53">
        <f t="shared" si="0"/>
        <v>8.174614</v>
      </c>
      <c r="L60" s="54" t="s">
        <v>106</v>
      </c>
      <c r="M60" s="55">
        <v>1</v>
      </c>
      <c r="N60" s="91">
        <f t="shared" si="1"/>
        <v>7.54</v>
      </c>
      <c r="O60" s="27">
        <f t="shared" si="2"/>
        <v>7.54</v>
      </c>
    </row>
    <row r="61" spans="1:15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  <c r="N61" s="91">
        <f t="shared" si="1"/>
        <v>0</v>
      </c>
      <c r="O61" s="27">
        <f t="shared" si="2"/>
        <v>0</v>
      </c>
    </row>
    <row r="62" spans="1:15" s="55" customFormat="1" ht="19.5" customHeight="1" x14ac:dyDescent="0.3">
      <c r="A62" s="44" t="s">
        <v>7321</v>
      </c>
      <c r="B62" s="45" t="s">
        <v>1684</v>
      </c>
      <c r="C62" s="46">
        <v>26</v>
      </c>
      <c r="D62" s="47" t="s">
        <v>289</v>
      </c>
      <c r="E62" s="48">
        <v>43</v>
      </c>
      <c r="F62" s="49">
        <v>29.62</v>
      </c>
      <c r="G62" s="50" t="s">
        <v>291</v>
      </c>
      <c r="H62" s="51">
        <v>2438</v>
      </c>
      <c r="I62" s="45">
        <v>3353</v>
      </c>
      <c r="J62" s="52">
        <v>4</v>
      </c>
      <c r="K62" s="53">
        <f t="shared" si="0"/>
        <v>32.698456</v>
      </c>
      <c r="L62" s="54" t="s">
        <v>106</v>
      </c>
      <c r="M62" s="55">
        <v>1</v>
      </c>
      <c r="N62" s="91">
        <f t="shared" si="1"/>
        <v>29.62</v>
      </c>
      <c r="O62" s="27">
        <f t="shared" si="2"/>
        <v>29.62</v>
      </c>
    </row>
    <row r="63" spans="1:15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  <c r="N63" s="91">
        <f t="shared" si="1"/>
        <v>0</v>
      </c>
      <c r="O63" s="27">
        <f t="shared" si="2"/>
        <v>0</v>
      </c>
    </row>
    <row r="64" spans="1:15" s="55" customFormat="1" ht="19.5" customHeight="1" x14ac:dyDescent="0.3">
      <c r="A64" s="44" t="s">
        <v>57</v>
      </c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  <c r="N64" s="91">
        <f t="shared" si="1"/>
        <v>0</v>
      </c>
      <c r="O64" s="27">
        <f t="shared" si="2"/>
        <v>0</v>
      </c>
    </row>
    <row r="65" spans="1:15" s="55" customFormat="1" ht="19.5" customHeight="1" x14ac:dyDescent="0.3">
      <c r="A65" s="44" t="s">
        <v>7340</v>
      </c>
      <c r="B65" s="45" t="s">
        <v>7341</v>
      </c>
      <c r="C65" s="46">
        <v>24</v>
      </c>
      <c r="D65" s="47" t="s">
        <v>7343</v>
      </c>
      <c r="E65" s="48">
        <v>2</v>
      </c>
      <c r="F65" s="49">
        <v>1.98</v>
      </c>
      <c r="G65" s="50" t="s">
        <v>7342</v>
      </c>
      <c r="H65" s="51">
        <v>2134</v>
      </c>
      <c r="I65" s="45">
        <v>3048</v>
      </c>
      <c r="J65" s="52">
        <v>1</v>
      </c>
      <c r="K65" s="53">
        <f t="shared" ref="K65:K73" si="9">(H65/1000*I65/1000)*J65</f>
        <v>6.5044319999999995</v>
      </c>
      <c r="L65" s="54" t="s">
        <v>7344</v>
      </c>
      <c r="M65" s="55">
        <v>2</v>
      </c>
      <c r="N65" s="91">
        <f t="shared" ref="N65:N73" si="10">F65</f>
        <v>1.98</v>
      </c>
      <c r="O65" s="27">
        <f t="shared" ref="O65:O73" si="11">N65*M65</f>
        <v>3.96</v>
      </c>
    </row>
    <row r="66" spans="1:15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9"/>
        <v>0</v>
      </c>
      <c r="L66" s="54"/>
      <c r="N66" s="91">
        <f t="shared" si="10"/>
        <v>0</v>
      </c>
      <c r="O66" s="27">
        <f t="shared" si="11"/>
        <v>0</v>
      </c>
    </row>
    <row r="67" spans="1:15" s="55" customFormat="1" ht="19.5" customHeight="1" x14ac:dyDescent="0.3">
      <c r="A67" s="44" t="s">
        <v>7345</v>
      </c>
      <c r="B67" s="45" t="s">
        <v>2456</v>
      </c>
      <c r="C67" s="46">
        <v>43</v>
      </c>
      <c r="D67" s="47" t="s">
        <v>791</v>
      </c>
      <c r="E67" s="48">
        <v>52</v>
      </c>
      <c r="F67" s="49">
        <v>66.08</v>
      </c>
      <c r="G67" s="50" t="s">
        <v>7346</v>
      </c>
      <c r="H67" s="51">
        <v>2438</v>
      </c>
      <c r="I67" s="45">
        <v>3353</v>
      </c>
      <c r="J67" s="52">
        <v>20</v>
      </c>
      <c r="K67" s="53">
        <f t="shared" si="9"/>
        <v>163.49227999999999</v>
      </c>
      <c r="L67" s="54"/>
      <c r="M67" s="55">
        <v>2</v>
      </c>
      <c r="N67" s="91">
        <f t="shared" si="10"/>
        <v>66.08</v>
      </c>
      <c r="O67" s="27">
        <f t="shared" si="11"/>
        <v>132.16</v>
      </c>
    </row>
    <row r="68" spans="1:15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9"/>
        <v>0</v>
      </c>
      <c r="L68" s="54"/>
      <c r="N68" s="91">
        <f t="shared" si="10"/>
        <v>0</v>
      </c>
      <c r="O68" s="27">
        <f t="shared" si="11"/>
        <v>0</v>
      </c>
    </row>
    <row r="69" spans="1:15" s="55" customFormat="1" ht="19.5" customHeight="1" x14ac:dyDescent="0.3">
      <c r="A69" s="44" t="s">
        <v>7347</v>
      </c>
      <c r="B69" s="45" t="s">
        <v>7348</v>
      </c>
      <c r="C69" s="46">
        <v>26</v>
      </c>
      <c r="D69" s="47" t="s">
        <v>7349</v>
      </c>
      <c r="E69" s="48">
        <v>17</v>
      </c>
      <c r="F69" s="49">
        <v>7.54</v>
      </c>
      <c r="G69" s="50" t="s">
        <v>7325</v>
      </c>
      <c r="H69" s="51">
        <v>2286</v>
      </c>
      <c r="I69" s="45">
        <v>3353</v>
      </c>
      <c r="J69" s="52">
        <v>1</v>
      </c>
      <c r="K69" s="53">
        <f t="shared" si="9"/>
        <v>7.6649580000000004</v>
      </c>
      <c r="L69" s="54" t="s">
        <v>7350</v>
      </c>
      <c r="M69" s="55">
        <v>1</v>
      </c>
      <c r="N69" s="91">
        <f t="shared" si="10"/>
        <v>7.54</v>
      </c>
      <c r="O69" s="27">
        <f t="shared" si="11"/>
        <v>7.54</v>
      </c>
    </row>
    <row r="70" spans="1:15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9"/>
        <v>0</v>
      </c>
      <c r="L70" s="54"/>
      <c r="N70" s="91">
        <f t="shared" si="10"/>
        <v>0</v>
      </c>
      <c r="O70" s="27">
        <f t="shared" si="11"/>
        <v>0</v>
      </c>
    </row>
    <row r="71" spans="1:15" s="55" customFormat="1" ht="19.5" customHeight="1" x14ac:dyDescent="0.3">
      <c r="A71" s="44" t="s">
        <v>7321</v>
      </c>
      <c r="B71" s="45" t="s">
        <v>1684</v>
      </c>
      <c r="C71" s="46">
        <v>26</v>
      </c>
      <c r="D71" s="47" t="s">
        <v>289</v>
      </c>
      <c r="E71" s="48">
        <v>43</v>
      </c>
      <c r="F71" s="49">
        <v>29.62</v>
      </c>
      <c r="G71" s="50" t="s">
        <v>7325</v>
      </c>
      <c r="H71" s="51">
        <v>1981</v>
      </c>
      <c r="I71" s="45">
        <v>3353</v>
      </c>
      <c r="J71" s="52">
        <v>5</v>
      </c>
      <c r="K71" s="53">
        <f t="shared" si="9"/>
        <v>33.211465000000004</v>
      </c>
      <c r="L71" s="54" t="s">
        <v>7350</v>
      </c>
      <c r="M71" s="55">
        <v>1</v>
      </c>
      <c r="N71" s="91">
        <f t="shared" si="10"/>
        <v>29.62</v>
      </c>
      <c r="O71" s="27">
        <f t="shared" si="11"/>
        <v>29.62</v>
      </c>
    </row>
    <row r="72" spans="1:15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9"/>
        <v>0</v>
      </c>
      <c r="L72" s="54"/>
      <c r="N72" s="91">
        <f t="shared" si="10"/>
        <v>0</v>
      </c>
      <c r="O72" s="27">
        <f t="shared" si="11"/>
        <v>0</v>
      </c>
    </row>
    <row r="73" spans="1:15" s="55" customFormat="1" ht="19.5" customHeight="1" x14ac:dyDescent="0.3">
      <c r="A73" s="44" t="s">
        <v>7319</v>
      </c>
      <c r="B73" s="45" t="s">
        <v>1684</v>
      </c>
      <c r="C73" s="46">
        <v>26</v>
      </c>
      <c r="D73" s="47" t="s">
        <v>289</v>
      </c>
      <c r="E73" s="48">
        <v>44</v>
      </c>
      <c r="F73" s="49">
        <v>15.16</v>
      </c>
      <c r="G73" s="50" t="s">
        <v>7325</v>
      </c>
      <c r="H73" s="51">
        <v>1981</v>
      </c>
      <c r="I73" s="45">
        <v>3353</v>
      </c>
      <c r="J73" s="52">
        <v>2</v>
      </c>
      <c r="K73" s="53">
        <f t="shared" si="9"/>
        <v>13.284586000000001</v>
      </c>
      <c r="L73" s="54" t="s">
        <v>7350</v>
      </c>
      <c r="M73" s="55">
        <v>1</v>
      </c>
      <c r="N73" s="91">
        <f t="shared" si="10"/>
        <v>15.16</v>
      </c>
      <c r="O73" s="27">
        <f t="shared" si="11"/>
        <v>15.16</v>
      </c>
    </row>
    <row r="74" spans="1:15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ref="K74:K80" si="12">(H74/1000*I74/1000)*J74</f>
        <v>0</v>
      </c>
      <c r="L74" s="54"/>
      <c r="N74" s="91">
        <f t="shared" ref="N74:N80" si="13">F74</f>
        <v>0</v>
      </c>
      <c r="O74" s="27">
        <f t="shared" ref="O74:O80" si="14">N74*M74</f>
        <v>0</v>
      </c>
    </row>
    <row r="75" spans="1:15" s="55" customFormat="1" ht="19.5" customHeight="1" x14ac:dyDescent="0.3">
      <c r="A75" s="44" t="s">
        <v>7318</v>
      </c>
      <c r="B75" s="45" t="s">
        <v>1684</v>
      </c>
      <c r="C75" s="46">
        <v>26</v>
      </c>
      <c r="D75" s="47" t="s">
        <v>289</v>
      </c>
      <c r="E75" s="48">
        <v>88</v>
      </c>
      <c r="F75" s="49">
        <v>73.239999999999995</v>
      </c>
      <c r="G75" s="50" t="s">
        <v>7325</v>
      </c>
      <c r="H75" s="51">
        <v>1981</v>
      </c>
      <c r="I75" s="45">
        <v>3353</v>
      </c>
      <c r="J75" s="52">
        <v>13</v>
      </c>
      <c r="K75" s="53">
        <f t="shared" si="12"/>
        <v>86.349809000000008</v>
      </c>
      <c r="L75" s="54" t="s">
        <v>7350</v>
      </c>
      <c r="M75" s="55">
        <v>1</v>
      </c>
      <c r="N75" s="91">
        <f t="shared" si="13"/>
        <v>73.239999999999995</v>
      </c>
      <c r="O75" s="27">
        <f t="shared" si="14"/>
        <v>73.239999999999995</v>
      </c>
    </row>
    <row r="76" spans="1:15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12"/>
        <v>0</v>
      </c>
      <c r="L76" s="54"/>
      <c r="N76" s="91">
        <f t="shared" si="13"/>
        <v>0</v>
      </c>
      <c r="O76" s="27">
        <f t="shared" si="14"/>
        <v>0</v>
      </c>
    </row>
    <row r="77" spans="1:15" s="55" customFormat="1" ht="19.5" customHeight="1" x14ac:dyDescent="0.3">
      <c r="A77" s="44" t="s">
        <v>7351</v>
      </c>
      <c r="B77" s="45" t="s">
        <v>2456</v>
      </c>
      <c r="C77" s="46">
        <v>43</v>
      </c>
      <c r="D77" s="47" t="s">
        <v>791</v>
      </c>
      <c r="E77" s="48">
        <v>7</v>
      </c>
      <c r="F77" s="49">
        <v>5.54</v>
      </c>
      <c r="G77" s="50" t="s">
        <v>7355</v>
      </c>
      <c r="H77" s="51">
        <v>1981</v>
      </c>
      <c r="I77" s="45">
        <v>3353</v>
      </c>
      <c r="J77" s="52">
        <v>9</v>
      </c>
      <c r="K77" s="53">
        <f t="shared" si="12"/>
        <v>59.780637000000006</v>
      </c>
      <c r="L77" s="54" t="s">
        <v>7356</v>
      </c>
      <c r="M77" s="55">
        <v>1</v>
      </c>
      <c r="N77" s="91">
        <f t="shared" si="13"/>
        <v>5.54</v>
      </c>
      <c r="O77" s="27">
        <f t="shared" si="14"/>
        <v>5.54</v>
      </c>
    </row>
    <row r="78" spans="1:15" s="55" customFormat="1" ht="19.5" customHeight="1" x14ac:dyDescent="0.3">
      <c r="A78" s="44" t="s">
        <v>7352</v>
      </c>
      <c r="B78" s="45" t="s">
        <v>2456</v>
      </c>
      <c r="C78" s="46">
        <v>24</v>
      </c>
      <c r="D78" s="47" t="s">
        <v>7354</v>
      </c>
      <c r="E78" s="48">
        <v>2</v>
      </c>
      <c r="F78" s="49">
        <v>2.82</v>
      </c>
      <c r="G78" s="50"/>
      <c r="H78" s="51"/>
      <c r="I78" s="45"/>
      <c r="J78" s="52"/>
      <c r="K78" s="53">
        <f t="shared" si="12"/>
        <v>0</v>
      </c>
      <c r="L78" s="54" t="s">
        <v>7356</v>
      </c>
      <c r="M78" s="55">
        <v>1</v>
      </c>
      <c r="N78" s="91">
        <f t="shared" si="13"/>
        <v>2.82</v>
      </c>
      <c r="O78" s="27">
        <f t="shared" si="14"/>
        <v>2.82</v>
      </c>
    </row>
    <row r="79" spans="1:15" s="55" customFormat="1" ht="19.5" customHeight="1" x14ac:dyDescent="0.3">
      <c r="A79" s="44"/>
      <c r="B79" s="45" t="s">
        <v>2456</v>
      </c>
      <c r="C79" s="46">
        <v>43</v>
      </c>
      <c r="D79" s="47" t="s">
        <v>7018</v>
      </c>
      <c r="E79" s="48">
        <v>16</v>
      </c>
      <c r="F79" s="49">
        <v>7.04</v>
      </c>
      <c r="G79" s="50"/>
      <c r="H79" s="51"/>
      <c r="I79" s="45"/>
      <c r="J79" s="52"/>
      <c r="K79" s="53">
        <f t="shared" si="12"/>
        <v>0</v>
      </c>
      <c r="L79" s="54" t="s">
        <v>7356</v>
      </c>
      <c r="M79" s="55">
        <v>1</v>
      </c>
      <c r="N79" s="91">
        <f t="shared" si="13"/>
        <v>7.04</v>
      </c>
      <c r="O79" s="27">
        <f t="shared" si="14"/>
        <v>7.04</v>
      </c>
    </row>
    <row r="80" spans="1:15" s="55" customFormat="1" ht="19.5" customHeight="1" x14ac:dyDescent="0.3">
      <c r="A80" s="44" t="s">
        <v>7353</v>
      </c>
      <c r="B80" s="45" t="s">
        <v>2456</v>
      </c>
      <c r="C80" s="46">
        <v>43</v>
      </c>
      <c r="D80" s="47" t="s">
        <v>791</v>
      </c>
      <c r="E80" s="48">
        <v>42</v>
      </c>
      <c r="F80" s="49">
        <v>42.48</v>
      </c>
      <c r="G80" s="50"/>
      <c r="H80" s="51"/>
      <c r="I80" s="45"/>
      <c r="J80" s="52"/>
      <c r="K80" s="53">
        <f t="shared" si="12"/>
        <v>0</v>
      </c>
      <c r="L80" s="54" t="s">
        <v>7356</v>
      </c>
      <c r="M80" s="55">
        <v>1</v>
      </c>
      <c r="N80" s="91">
        <f t="shared" si="13"/>
        <v>42.48</v>
      </c>
      <c r="O80" s="27">
        <f t="shared" si="14"/>
        <v>42.48</v>
      </c>
    </row>
    <row r="81" spans="1:15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  <c r="N81" s="91"/>
      <c r="O81" s="27">
        <f>SUM(O38:O80)</f>
        <v>833.37999999999988</v>
      </c>
    </row>
    <row r="82" spans="1:15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  <c r="N82" s="91"/>
      <c r="O82" s="92">
        <f>1-(O81/L86)</f>
        <v>0.14981933762940614</v>
      </c>
    </row>
    <row r="83" spans="1:15" s="55" customFormat="1" ht="19.5" customHeight="1" x14ac:dyDescent="0.3">
      <c r="A83" s="44"/>
      <c r="B83" s="45"/>
      <c r="C83" s="46"/>
      <c r="D83" s="47"/>
      <c r="E83" s="48"/>
      <c r="F83" s="49"/>
      <c r="G83" s="50"/>
      <c r="H83" s="51"/>
      <c r="I83" s="45"/>
      <c r="J83" s="52"/>
      <c r="K83" s="53">
        <f t="shared" si="0"/>
        <v>0</v>
      </c>
      <c r="L83" s="54"/>
      <c r="N83" s="91"/>
      <c r="O83" s="27"/>
    </row>
    <row r="84" spans="1:15" s="55" customFormat="1" ht="19.5" customHeight="1" x14ac:dyDescent="0.3">
      <c r="A84" s="44"/>
      <c r="B84" s="45"/>
      <c r="C84" s="46"/>
      <c r="D84" s="47"/>
      <c r="E84" s="48"/>
      <c r="F84" s="49"/>
      <c r="G84" s="50"/>
      <c r="H84" s="51"/>
      <c r="I84" s="45"/>
      <c r="J84" s="52"/>
      <c r="K84" s="53">
        <f t="shared" si="0"/>
        <v>0</v>
      </c>
      <c r="L84" s="54"/>
      <c r="N84" s="91"/>
      <c r="O84" s="27"/>
    </row>
    <row r="85" spans="1:15" s="59" customFormat="1" ht="20.100000000000001" customHeight="1" x14ac:dyDescent="0.3">
      <c r="A85" s="44"/>
      <c r="B85" s="45"/>
      <c r="C85" s="46"/>
      <c r="D85" s="47"/>
      <c r="E85" s="56"/>
      <c r="F85" s="57"/>
      <c r="G85" s="50"/>
      <c r="H85" s="51"/>
      <c r="I85" s="45"/>
      <c r="J85" s="52"/>
      <c r="K85" s="53">
        <f t="shared" si="0"/>
        <v>0</v>
      </c>
      <c r="L85" s="58">
        <f>SUM(J37:J86)</f>
        <v>139</v>
      </c>
    </row>
    <row r="86" spans="1:15" s="59" customFormat="1" ht="20.100000000000001" customHeight="1" x14ac:dyDescent="0.3">
      <c r="A86" s="44"/>
      <c r="B86" s="45"/>
      <c r="C86" s="46"/>
      <c r="D86" s="47"/>
      <c r="E86" s="60"/>
      <c r="F86" s="61"/>
      <c r="G86" s="62"/>
      <c r="H86" s="51"/>
      <c r="I86" s="45"/>
      <c r="J86" s="63"/>
      <c r="K86" s="53">
        <f t="shared" si="0"/>
        <v>0</v>
      </c>
      <c r="L86" s="64">
        <f>SUM(K37:K86)</f>
        <v>980.23871500000007</v>
      </c>
    </row>
    <row r="87" spans="1:15" s="59" customFormat="1" ht="20.100000000000001" customHeight="1" thickBot="1" x14ac:dyDescent="0.35">
      <c r="A87" s="114"/>
      <c r="B87" s="115"/>
      <c r="C87" s="115"/>
      <c r="D87" s="115"/>
      <c r="E87" s="115"/>
      <c r="F87" s="115"/>
      <c r="G87" s="115"/>
      <c r="H87" s="115"/>
      <c r="I87" s="115"/>
      <c r="J87" s="65">
        <f>SUM(J7:J86)</f>
        <v>276</v>
      </c>
      <c r="K87" s="66">
        <f>SUM(K7:K86)</f>
        <v>2140.469141</v>
      </c>
      <c r="L87" s="67"/>
    </row>
    <row r="88" spans="1:15" s="59" customFormat="1" ht="20.100000000000001" customHeight="1" thickTop="1" thickBot="1" x14ac:dyDescent="0.35">
      <c r="A88" s="116" t="s">
        <v>52</v>
      </c>
      <c r="B88" s="117"/>
      <c r="C88" s="68"/>
      <c r="D88" s="118">
        <f>J87</f>
        <v>276</v>
      </c>
      <c r="E88" s="119"/>
      <c r="F88" s="119"/>
      <c r="G88" s="120"/>
      <c r="H88" s="121"/>
      <c r="I88" s="121"/>
      <c r="J88" s="122"/>
      <c r="K88" s="119"/>
      <c r="L88" s="123"/>
    </row>
    <row r="89" spans="1:15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71"/>
    </row>
    <row r="90" spans="1:15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5" s="59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5" s="59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5" s="59" customFormat="1" ht="20.100000000000001" customHeight="1" x14ac:dyDescent="0.3">
      <c r="A93" s="113"/>
      <c r="B93" s="113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5" s="59" customFormat="1" ht="20.100000000000001" customHeight="1" x14ac:dyDescent="0.3">
      <c r="A94" s="113"/>
      <c r="B94" s="113"/>
      <c r="C94" s="5"/>
      <c r="D94" s="5"/>
      <c r="E94" s="72"/>
      <c r="F94" s="5"/>
      <c r="G94" s="5"/>
      <c r="H94" s="5"/>
      <c r="I94" s="5"/>
      <c r="J94" s="5"/>
      <c r="K94" s="5"/>
      <c r="L94" s="5"/>
    </row>
    <row r="95" spans="1:15" s="59" customFormat="1" ht="20.100000000000001" customHeight="1" x14ac:dyDescent="0.3">
      <c r="A95" s="113"/>
      <c r="B95" s="113"/>
      <c r="C95" s="5"/>
      <c r="D95" s="5"/>
      <c r="E95" s="5"/>
      <c r="F95" s="5"/>
      <c r="G95" s="73"/>
      <c r="H95" s="5"/>
      <c r="I95" s="74"/>
      <c r="J95" s="5"/>
      <c r="K95" s="5"/>
      <c r="L95" s="5"/>
    </row>
    <row r="96" spans="1:15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113"/>
      <c r="B98" s="113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113"/>
      <c r="B99" s="113"/>
      <c r="C99" s="5"/>
      <c r="D99" s="5"/>
      <c r="E99" s="5"/>
      <c r="F99" s="70"/>
      <c r="G99" s="5"/>
      <c r="H99" s="72"/>
      <c r="I99" s="72"/>
      <c r="J99" s="5"/>
      <c r="K99" s="5"/>
      <c r="L99" s="5"/>
    </row>
    <row r="100" spans="1:12" ht="20.100000000000001" customHeight="1" x14ac:dyDescent="0.3">
      <c r="A100" s="113"/>
      <c r="B100" s="113"/>
      <c r="H100" s="72"/>
      <c r="I100" s="72"/>
    </row>
    <row r="101" spans="1:12" ht="20.100000000000001" customHeight="1" x14ac:dyDescent="0.3">
      <c r="H101" s="72"/>
      <c r="I101" s="72"/>
    </row>
    <row r="102" spans="1:12" ht="20.100000000000001" customHeight="1" x14ac:dyDescent="0.3">
      <c r="H102" s="72"/>
      <c r="I102" s="72"/>
    </row>
    <row r="103" spans="1:12" ht="20.100000000000001" customHeight="1" x14ac:dyDescent="0.3">
      <c r="A103" s="113"/>
      <c r="B103" s="113"/>
      <c r="H103" s="72"/>
      <c r="I103" s="72"/>
    </row>
    <row r="104" spans="1:12" ht="20.100000000000001" customHeight="1" x14ac:dyDescent="0.3">
      <c r="A104" s="113"/>
      <c r="B104" s="113"/>
      <c r="H104" s="72"/>
      <c r="I104" s="72"/>
    </row>
    <row r="105" spans="1:12" ht="20.100000000000001" customHeight="1" x14ac:dyDescent="0.3">
      <c r="H105" s="72"/>
      <c r="I105" s="72"/>
    </row>
    <row r="106" spans="1:12" ht="20.100000000000001" customHeight="1" x14ac:dyDescent="0.3">
      <c r="H106" s="72"/>
      <c r="I106" s="72"/>
    </row>
    <row r="107" spans="1:12" ht="20.100000000000001" customHeight="1" x14ac:dyDescent="0.3">
      <c r="H107" s="72"/>
      <c r="I107" s="72"/>
    </row>
    <row r="108" spans="1:12" s="72" customFormat="1" ht="20.100000000000001" customHeight="1" x14ac:dyDescent="0.3">
      <c r="A108" s="69"/>
      <c r="B108" s="5"/>
      <c r="C108" s="5"/>
      <c r="D108" s="5"/>
      <c r="E108" s="5"/>
      <c r="F108" s="70"/>
      <c r="G108" s="5"/>
      <c r="J108" s="5"/>
      <c r="K108" s="5"/>
      <c r="L108" s="5"/>
    </row>
    <row r="109" spans="1:12" s="72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5" customFormat="1" ht="20.100000000000001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5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5" customFormat="1" ht="19.5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72" customFormat="1" ht="20.100000000000001" customHeight="1" x14ac:dyDescent="0.3">
      <c r="A113" s="69"/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72" customFormat="1" ht="20.100000000000001" customHeight="1" x14ac:dyDescent="0.3">
      <c r="A114" s="69"/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1:12" ht="19.5" customHeight="1" x14ac:dyDescent="0.3"/>
    <row r="116" spans="1:12" ht="19.5" customHeight="1" x14ac:dyDescent="0.3"/>
    <row r="117" spans="1:12" ht="19.5" customHeight="1" x14ac:dyDescent="0.3"/>
    <row r="118" spans="1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3:B93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7:I87"/>
    <mergeCell ref="A88:B88"/>
    <mergeCell ref="D88:G88"/>
    <mergeCell ref="H88:J88"/>
    <mergeCell ref="K88:L88"/>
    <mergeCell ref="A103:B103"/>
    <mergeCell ref="A104:B104"/>
    <mergeCell ref="A94:B94"/>
    <mergeCell ref="A95:B95"/>
    <mergeCell ref="A96:B96"/>
    <mergeCell ref="A98:B98"/>
    <mergeCell ref="A99:B99"/>
    <mergeCell ref="A100:B100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155"/>
  <sheetViews>
    <sheetView view="pageBreakPreview" topLeftCell="A4" zoomScale="85" zoomScaleNormal="100" zoomScaleSheetLayoutView="85" workbookViewId="0">
      <selection activeCell="D14" sqref="D1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46242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3" si="0">(H7/1000*I7/1000)*J7</f>
        <v>0</v>
      </c>
      <c r="L7" s="26">
        <f>SUM(J7:J27)</f>
        <v>118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SUM(K7:K27)</f>
        <v>759.32708599999989</v>
      </c>
    </row>
    <row r="9" spans="1:12" s="27" customFormat="1" ht="19.5" customHeight="1" x14ac:dyDescent="0.3">
      <c r="A9" s="28" t="s">
        <v>7273</v>
      </c>
      <c r="B9" s="16" t="s">
        <v>7274</v>
      </c>
      <c r="C9" s="17">
        <v>22</v>
      </c>
      <c r="D9" s="18" t="s">
        <v>7275</v>
      </c>
      <c r="E9" s="41">
        <v>110</v>
      </c>
      <c r="F9" s="42">
        <v>71.2</v>
      </c>
      <c r="G9" s="34" t="s">
        <v>7276</v>
      </c>
      <c r="H9" s="35">
        <v>1981</v>
      </c>
      <c r="I9" s="36">
        <v>3353</v>
      </c>
      <c r="J9" s="37">
        <v>14</v>
      </c>
      <c r="K9" s="25">
        <f t="shared" si="0"/>
        <v>92.992102000000003</v>
      </c>
      <c r="L9" s="39" t="s">
        <v>7277</v>
      </c>
    </row>
    <row r="10" spans="1:12" s="27" customFormat="1" ht="19.5" customHeight="1" x14ac:dyDescent="0.3">
      <c r="A10" s="28"/>
      <c r="B10" s="16"/>
      <c r="C10" s="17">
        <v>22</v>
      </c>
      <c r="D10" s="18" t="s">
        <v>7275</v>
      </c>
      <c r="E10" s="41">
        <v>30</v>
      </c>
      <c r="F10" s="42">
        <v>17.100000000000001</v>
      </c>
      <c r="G10" s="34"/>
      <c r="H10" s="35"/>
      <c r="I10" s="36"/>
      <c r="J10" s="37"/>
      <c r="K10" s="85">
        <f t="shared" si="0"/>
        <v>0</v>
      </c>
      <c r="L10" s="39" t="s">
        <v>7277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 t="s">
        <v>7278</v>
      </c>
      <c r="B12" s="16" t="s">
        <v>7274</v>
      </c>
      <c r="C12" s="17">
        <v>22</v>
      </c>
      <c r="D12" s="18" t="s">
        <v>7275</v>
      </c>
      <c r="E12" s="41">
        <v>120</v>
      </c>
      <c r="F12" s="42">
        <v>92.5</v>
      </c>
      <c r="G12" s="34" t="s">
        <v>7276</v>
      </c>
      <c r="H12" s="35">
        <v>1829</v>
      </c>
      <c r="I12" s="36">
        <v>3353</v>
      </c>
      <c r="J12" s="37">
        <v>25</v>
      </c>
      <c r="K12" s="85">
        <f t="shared" si="0"/>
        <v>153.31592499999999</v>
      </c>
      <c r="L12" s="39" t="s">
        <v>7277</v>
      </c>
    </row>
    <row r="13" spans="1:12" s="27" customFormat="1" ht="19.5" customHeight="1" x14ac:dyDescent="0.3">
      <c r="A13" s="28"/>
      <c r="B13" s="16"/>
      <c r="C13" s="17">
        <v>22</v>
      </c>
      <c r="D13" s="18" t="s">
        <v>7275</v>
      </c>
      <c r="E13" s="41">
        <v>40</v>
      </c>
      <c r="F13" s="42">
        <v>32.4</v>
      </c>
      <c r="G13" s="34"/>
      <c r="H13" s="35"/>
      <c r="I13" s="36"/>
      <c r="J13" s="37"/>
      <c r="K13" s="85">
        <f t="shared" si="0"/>
        <v>0</v>
      </c>
      <c r="L13" s="39" t="s">
        <v>7277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 t="shared" si="0"/>
        <v>0</v>
      </c>
      <c r="L14" s="39"/>
    </row>
    <row r="15" spans="1:12" s="27" customFormat="1" ht="19.5" customHeight="1" x14ac:dyDescent="0.3">
      <c r="A15" s="28" t="s">
        <v>7279</v>
      </c>
      <c r="B15" s="16" t="s">
        <v>7274</v>
      </c>
      <c r="C15" s="17">
        <v>22</v>
      </c>
      <c r="D15" s="18" t="s">
        <v>7275</v>
      </c>
      <c r="E15" s="41">
        <v>140</v>
      </c>
      <c r="F15" s="42">
        <v>117.8</v>
      </c>
      <c r="G15" s="34" t="s">
        <v>7276</v>
      </c>
      <c r="H15" s="35">
        <v>1829</v>
      </c>
      <c r="I15" s="36">
        <v>3353</v>
      </c>
      <c r="J15" s="37">
        <v>23</v>
      </c>
      <c r="K15" s="85">
        <f t="shared" si="0"/>
        <v>141.05065099999999</v>
      </c>
      <c r="L15" s="39" t="s">
        <v>7277</v>
      </c>
    </row>
    <row r="16" spans="1:12" s="27" customFormat="1" ht="19.5" customHeight="1" x14ac:dyDescent="0.3">
      <c r="A16" s="28"/>
      <c r="B16" s="16"/>
      <c r="C16" s="17">
        <v>22</v>
      </c>
      <c r="D16" s="18" t="s">
        <v>7275</v>
      </c>
      <c r="E16" s="41">
        <v>30</v>
      </c>
      <c r="F16" s="42">
        <v>19</v>
      </c>
      <c r="G16" s="34"/>
      <c r="H16" s="35"/>
      <c r="I16" s="36"/>
      <c r="J16" s="37"/>
      <c r="K16" s="85">
        <f t="shared" si="0"/>
        <v>0</v>
      </c>
      <c r="L16" s="39" t="s">
        <v>7277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0"/>
        <v>0</v>
      </c>
      <c r="L17" s="39"/>
    </row>
    <row r="18" spans="1:12" s="27" customFormat="1" ht="19.5" customHeight="1" x14ac:dyDescent="0.3">
      <c r="A18" s="28" t="s">
        <v>7280</v>
      </c>
      <c r="B18" s="16" t="s">
        <v>7274</v>
      </c>
      <c r="C18" s="17">
        <v>22</v>
      </c>
      <c r="D18" s="18" t="s">
        <v>7275</v>
      </c>
      <c r="E18" s="41">
        <v>150</v>
      </c>
      <c r="F18" s="42">
        <v>119.4</v>
      </c>
      <c r="G18" s="34" t="s">
        <v>7276</v>
      </c>
      <c r="H18" s="35">
        <v>1981</v>
      </c>
      <c r="I18" s="36">
        <v>3353</v>
      </c>
      <c r="J18" s="37">
        <v>23</v>
      </c>
      <c r="K18" s="85">
        <f t="shared" si="0"/>
        <v>152.772739</v>
      </c>
      <c r="L18" s="39" t="s">
        <v>7277</v>
      </c>
    </row>
    <row r="19" spans="1:12" s="27" customFormat="1" ht="19.5" customHeight="1" x14ac:dyDescent="0.3">
      <c r="A19" s="28"/>
      <c r="B19" s="16"/>
      <c r="C19" s="17">
        <v>22</v>
      </c>
      <c r="D19" s="18" t="s">
        <v>7275</v>
      </c>
      <c r="E19" s="41">
        <v>30</v>
      </c>
      <c r="F19" s="42">
        <v>19</v>
      </c>
      <c r="G19" s="34"/>
      <c r="H19" s="35"/>
      <c r="I19" s="36"/>
      <c r="J19" s="37"/>
      <c r="K19" s="85">
        <f t="shared" si="0"/>
        <v>0</v>
      </c>
      <c r="L19" s="39" t="s">
        <v>7277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7262</v>
      </c>
      <c r="B21" s="16" t="s">
        <v>21</v>
      </c>
      <c r="C21" s="17">
        <v>22</v>
      </c>
      <c r="D21" s="18" t="s">
        <v>17</v>
      </c>
      <c r="E21" s="41">
        <v>168</v>
      </c>
      <c r="F21" s="42">
        <v>65.52</v>
      </c>
      <c r="G21" s="34" t="s">
        <v>19</v>
      </c>
      <c r="H21" s="35">
        <v>1981</v>
      </c>
      <c r="I21" s="36">
        <v>3353</v>
      </c>
      <c r="J21" s="37">
        <v>11</v>
      </c>
      <c r="K21" s="85">
        <f t="shared" si="0"/>
        <v>73.065223000000003</v>
      </c>
      <c r="L21" s="39" t="s">
        <v>7281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7282</v>
      </c>
      <c r="B23" s="16" t="s">
        <v>7283</v>
      </c>
      <c r="C23" s="17">
        <v>22</v>
      </c>
      <c r="D23" s="18" t="s">
        <v>7284</v>
      </c>
      <c r="E23" s="41">
        <v>60</v>
      </c>
      <c r="F23" s="42">
        <f>97.2+45</f>
        <v>142.19999999999999</v>
      </c>
      <c r="G23" s="34" t="s">
        <v>7285</v>
      </c>
      <c r="H23" s="35">
        <v>1981</v>
      </c>
      <c r="I23" s="36">
        <v>3353</v>
      </c>
      <c r="J23" s="37">
        <v>22</v>
      </c>
      <c r="K23" s="85">
        <f t="shared" si="0"/>
        <v>146.13044600000001</v>
      </c>
      <c r="L23" s="39" t="s">
        <v>7286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>
        <f t="shared" si="0"/>
        <v>0</v>
      </c>
      <c r="L26" s="39"/>
    </row>
    <row r="27" spans="1:12" s="27" customFormat="1" ht="19.5" customHeight="1" x14ac:dyDescent="0.3">
      <c r="A27" s="28"/>
      <c r="B27" s="29"/>
      <c r="C27" s="30"/>
      <c r="D27" s="31"/>
      <c r="E27" s="41"/>
      <c r="F27" s="42"/>
      <c r="G27" s="43"/>
      <c r="H27" s="35"/>
      <c r="I27" s="36"/>
      <c r="J27" s="37"/>
      <c r="K27" s="85">
        <f t="shared" si="0"/>
        <v>0</v>
      </c>
      <c r="L27" s="39"/>
    </row>
    <row r="28" spans="1:12" s="55" customFormat="1" ht="19.5" customHeight="1" x14ac:dyDescent="0.3">
      <c r="A28" s="44"/>
      <c r="B28" s="45"/>
      <c r="C28" s="46"/>
      <c r="D28" s="47"/>
      <c r="E28" s="48"/>
      <c r="F28" s="49"/>
      <c r="G28" s="50"/>
      <c r="H28" s="51"/>
      <c r="I28" s="45"/>
      <c r="J28" s="52"/>
      <c r="K28" s="53">
        <f t="shared" si="0"/>
        <v>0</v>
      </c>
      <c r="L28" s="54"/>
    </row>
    <row r="29" spans="1:12" s="55" customFormat="1" ht="19.5" customHeight="1" x14ac:dyDescent="0.3">
      <c r="A29" s="44" t="s">
        <v>7287</v>
      </c>
      <c r="B29" s="45" t="s">
        <v>7288</v>
      </c>
      <c r="C29" s="46">
        <v>24</v>
      </c>
      <c r="D29" s="47" t="s">
        <v>7289</v>
      </c>
      <c r="E29" s="48">
        <v>18</v>
      </c>
      <c r="F29" s="49">
        <v>17.23</v>
      </c>
      <c r="G29" s="50" t="s">
        <v>7290</v>
      </c>
      <c r="H29" s="51">
        <v>2438</v>
      </c>
      <c r="I29" s="45">
        <v>3353</v>
      </c>
      <c r="J29" s="52">
        <v>2</v>
      </c>
      <c r="K29" s="53">
        <f t="shared" si="0"/>
        <v>16.349228</v>
      </c>
      <c r="L29" s="54"/>
    </row>
    <row r="30" spans="1:12" s="55" customFormat="1" ht="19.5" customHeight="1" x14ac:dyDescent="0.3">
      <c r="A30" s="44"/>
      <c r="B30" s="45"/>
      <c r="C30" s="46"/>
      <c r="D30" s="47"/>
      <c r="E30" s="48"/>
      <c r="F30" s="49"/>
      <c r="G30" s="50" t="s">
        <v>7276</v>
      </c>
      <c r="H30" s="51">
        <v>2438</v>
      </c>
      <c r="I30" s="45">
        <v>3353</v>
      </c>
      <c r="J30" s="52">
        <v>1</v>
      </c>
      <c r="K30" s="53">
        <f t="shared" si="0"/>
        <v>8.174614</v>
      </c>
      <c r="L30" s="54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 t="s">
        <v>7276</v>
      </c>
      <c r="H31" s="51">
        <v>2286</v>
      </c>
      <c r="I31" s="45">
        <v>3353</v>
      </c>
      <c r="J31" s="52">
        <v>1</v>
      </c>
      <c r="K31" s="53">
        <f t="shared" si="0"/>
        <v>7.6649580000000004</v>
      </c>
      <c r="L31" s="54"/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7291</v>
      </c>
      <c r="B33" s="45" t="s">
        <v>7288</v>
      </c>
      <c r="C33" s="46">
        <v>24</v>
      </c>
      <c r="D33" s="47" t="s">
        <v>7289</v>
      </c>
      <c r="E33" s="48">
        <v>11</v>
      </c>
      <c r="F33" s="49">
        <v>23.68</v>
      </c>
      <c r="G33" s="50" t="s">
        <v>7290</v>
      </c>
      <c r="H33" s="51">
        <v>2438</v>
      </c>
      <c r="I33" s="45">
        <v>3353</v>
      </c>
      <c r="J33" s="52">
        <v>1</v>
      </c>
      <c r="K33" s="53">
        <f t="shared" si="0"/>
        <v>8.174614</v>
      </c>
      <c r="L33" s="54" t="s">
        <v>7294</v>
      </c>
    </row>
    <row r="34" spans="1:12" s="55" customFormat="1" ht="19.5" customHeight="1" x14ac:dyDescent="0.3">
      <c r="A34" s="44" t="s">
        <v>7292</v>
      </c>
      <c r="B34" s="45" t="s">
        <v>7288</v>
      </c>
      <c r="C34" s="46">
        <v>24</v>
      </c>
      <c r="D34" s="47" t="s">
        <v>7289</v>
      </c>
      <c r="E34" s="48">
        <v>12</v>
      </c>
      <c r="F34" s="49">
        <v>6.3</v>
      </c>
      <c r="G34" s="50" t="s">
        <v>7290</v>
      </c>
      <c r="H34" s="51">
        <v>2134</v>
      </c>
      <c r="I34" s="45">
        <v>3048</v>
      </c>
      <c r="J34" s="52">
        <v>4</v>
      </c>
      <c r="K34" s="53">
        <f t="shared" si="0"/>
        <v>26.017727999999998</v>
      </c>
      <c r="L34" s="54" t="s">
        <v>7294</v>
      </c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 t="s">
        <v>7276</v>
      </c>
      <c r="H35" s="51">
        <v>2438</v>
      </c>
      <c r="I35" s="45">
        <v>3353</v>
      </c>
      <c r="J35" s="52">
        <v>1</v>
      </c>
      <c r="K35" s="53">
        <f t="shared" si="0"/>
        <v>8.174614</v>
      </c>
      <c r="L35" s="54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 t="s">
        <v>7276</v>
      </c>
      <c r="H36" s="51">
        <v>2134</v>
      </c>
      <c r="I36" s="45">
        <v>3048</v>
      </c>
      <c r="J36" s="52">
        <v>4</v>
      </c>
      <c r="K36" s="53">
        <f t="shared" si="0"/>
        <v>26.017727999999998</v>
      </c>
      <c r="L36" s="54"/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7292</v>
      </c>
      <c r="B38" s="45" t="s">
        <v>7288</v>
      </c>
      <c r="C38" s="46">
        <v>28</v>
      </c>
      <c r="D38" s="47" t="s">
        <v>7293</v>
      </c>
      <c r="E38" s="48">
        <v>7</v>
      </c>
      <c r="F38" s="49">
        <v>6.56</v>
      </c>
      <c r="G38" s="50" t="s">
        <v>7295</v>
      </c>
      <c r="H38" s="51">
        <v>2438</v>
      </c>
      <c r="I38" s="45">
        <v>3048</v>
      </c>
      <c r="J38" s="52">
        <v>1</v>
      </c>
      <c r="K38" s="53">
        <f t="shared" si="0"/>
        <v>7.4310240000000007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 t="s">
        <v>7296</v>
      </c>
      <c r="H39" s="51">
        <v>2438</v>
      </c>
      <c r="I39" s="45">
        <v>3353</v>
      </c>
      <c r="J39" s="52">
        <v>1</v>
      </c>
      <c r="K39" s="53">
        <f t="shared" si="0"/>
        <v>8.174614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7297</v>
      </c>
      <c r="B41" s="45" t="s">
        <v>7288</v>
      </c>
      <c r="C41" s="46">
        <v>24</v>
      </c>
      <c r="D41" s="47" t="s">
        <v>7289</v>
      </c>
      <c r="E41" s="48">
        <v>52</v>
      </c>
      <c r="F41" s="49">
        <v>90.59</v>
      </c>
      <c r="G41" s="50" t="s">
        <v>7290</v>
      </c>
      <c r="H41" s="51">
        <v>2438</v>
      </c>
      <c r="I41" s="45">
        <v>3353</v>
      </c>
      <c r="J41" s="52">
        <v>1</v>
      </c>
      <c r="K41" s="53">
        <f t="shared" si="0"/>
        <v>8.174614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 t="s">
        <v>7290</v>
      </c>
      <c r="H42" s="51">
        <v>2134</v>
      </c>
      <c r="I42" s="45">
        <v>3048</v>
      </c>
      <c r="J42" s="52">
        <v>14</v>
      </c>
      <c r="K42" s="53">
        <f t="shared" si="0"/>
        <v>91.06204799999999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 t="s">
        <v>7276</v>
      </c>
      <c r="H43" s="51">
        <v>2438</v>
      </c>
      <c r="I43" s="45">
        <v>3353</v>
      </c>
      <c r="J43" s="52">
        <v>1</v>
      </c>
      <c r="K43" s="53">
        <f t="shared" si="0"/>
        <v>8.174614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 t="s">
        <v>7276</v>
      </c>
      <c r="H44" s="51">
        <v>2134</v>
      </c>
      <c r="I44" s="45">
        <v>3048</v>
      </c>
      <c r="J44" s="52">
        <v>14</v>
      </c>
      <c r="K44" s="53">
        <f t="shared" si="0"/>
        <v>91.06204799999999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7298</v>
      </c>
      <c r="B46" s="45" t="s">
        <v>7288</v>
      </c>
      <c r="C46" s="46">
        <v>24</v>
      </c>
      <c r="D46" s="47" t="s">
        <v>7289</v>
      </c>
      <c r="E46" s="48">
        <v>67</v>
      </c>
      <c r="F46" s="49">
        <v>117.33</v>
      </c>
      <c r="G46" s="50" t="s">
        <v>7290</v>
      </c>
      <c r="H46" s="51">
        <v>2438</v>
      </c>
      <c r="I46" s="45">
        <v>3353</v>
      </c>
      <c r="J46" s="52">
        <v>8</v>
      </c>
      <c r="K46" s="53">
        <f t="shared" si="0"/>
        <v>65.396912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 t="s">
        <v>7290</v>
      </c>
      <c r="H47" s="51">
        <v>2134</v>
      </c>
      <c r="I47" s="45">
        <v>3048</v>
      </c>
      <c r="J47" s="52">
        <v>9</v>
      </c>
      <c r="K47" s="53">
        <f t="shared" si="0"/>
        <v>58.539887999999998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 t="s">
        <v>7290</v>
      </c>
      <c r="H48" s="51">
        <v>2134</v>
      </c>
      <c r="I48" s="45">
        <v>3353</v>
      </c>
      <c r="J48" s="52">
        <v>2</v>
      </c>
      <c r="K48" s="53">
        <f t="shared" si="0"/>
        <v>14.310604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7276</v>
      </c>
      <c r="H49" s="51">
        <v>2438</v>
      </c>
      <c r="I49" s="45">
        <v>3353</v>
      </c>
      <c r="J49" s="52">
        <v>8</v>
      </c>
      <c r="K49" s="53">
        <f t="shared" si="0"/>
        <v>65.396912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 t="s">
        <v>7276</v>
      </c>
      <c r="H50" s="51">
        <v>2286</v>
      </c>
      <c r="I50" s="45">
        <v>3048</v>
      </c>
      <c r="J50" s="52">
        <v>2</v>
      </c>
      <c r="K50" s="53">
        <f t="shared" si="0"/>
        <v>13.935456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 t="s">
        <v>7276</v>
      </c>
      <c r="H51" s="51">
        <v>2134</v>
      </c>
      <c r="I51" s="45">
        <v>3048</v>
      </c>
      <c r="J51" s="52">
        <v>9</v>
      </c>
      <c r="K51" s="53">
        <f t="shared" si="0"/>
        <v>58.539887999999998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7299</v>
      </c>
      <c r="B53" s="45" t="s">
        <v>7300</v>
      </c>
      <c r="C53" s="46">
        <v>28</v>
      </c>
      <c r="D53" s="47" t="s">
        <v>7301</v>
      </c>
      <c r="E53" s="48">
        <v>1</v>
      </c>
      <c r="F53" s="49">
        <v>0.67</v>
      </c>
      <c r="G53" s="50"/>
      <c r="H53" s="51"/>
      <c r="I53" s="45"/>
      <c r="J53" s="52"/>
      <c r="K53" s="53">
        <f t="shared" si="0"/>
        <v>0</v>
      </c>
      <c r="L53" s="54" t="s">
        <v>7302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7271</v>
      </c>
      <c r="B55" s="45" t="s">
        <v>6090</v>
      </c>
      <c r="C55" s="46">
        <v>24</v>
      </c>
      <c r="D55" s="47" t="s">
        <v>89</v>
      </c>
      <c r="E55" s="48">
        <v>61</v>
      </c>
      <c r="F55" s="49">
        <v>106.66</v>
      </c>
      <c r="G55" s="50" t="s">
        <v>7276</v>
      </c>
      <c r="H55" s="51">
        <v>2438</v>
      </c>
      <c r="I55" s="45">
        <v>3353</v>
      </c>
      <c r="J55" s="52">
        <v>7</v>
      </c>
      <c r="K55" s="53">
        <f t="shared" si="0"/>
        <v>57.222298000000002</v>
      </c>
      <c r="L55" s="54" t="s">
        <v>7277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 t="s">
        <v>7276</v>
      </c>
      <c r="H56" s="51">
        <v>2134</v>
      </c>
      <c r="I56" s="45">
        <v>3048</v>
      </c>
      <c r="J56" s="52">
        <v>10</v>
      </c>
      <c r="K56" s="53">
        <f t="shared" si="0"/>
        <v>65.044319999999999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9" customFormat="1" ht="20.100000000000001" customHeight="1" x14ac:dyDescent="0.3">
      <c r="A62" s="44"/>
      <c r="B62" s="45"/>
      <c r="C62" s="46"/>
      <c r="D62" s="47"/>
      <c r="E62" s="56"/>
      <c r="F62" s="57"/>
      <c r="G62" s="50"/>
      <c r="H62" s="51"/>
      <c r="I62" s="45"/>
      <c r="J62" s="52"/>
      <c r="K62" s="53">
        <f t="shared" si="0"/>
        <v>0</v>
      </c>
      <c r="L62" s="58">
        <f>SUM(J28:J63)</f>
        <v>101</v>
      </c>
    </row>
    <row r="63" spans="1:12" s="59" customFormat="1" ht="20.100000000000001" customHeight="1" x14ac:dyDescent="0.3">
      <c r="A63" s="44"/>
      <c r="B63" s="45"/>
      <c r="C63" s="46"/>
      <c r="D63" s="47"/>
      <c r="E63" s="60"/>
      <c r="F63" s="61"/>
      <c r="G63" s="62"/>
      <c r="H63" s="51"/>
      <c r="I63" s="45"/>
      <c r="J63" s="63"/>
      <c r="K63" s="53">
        <f t="shared" si="0"/>
        <v>0</v>
      </c>
      <c r="L63" s="64">
        <f>SUM(K28:K63)</f>
        <v>713.03872400000012</v>
      </c>
    </row>
    <row r="64" spans="1:12" s="59" customFormat="1" ht="20.100000000000001" customHeight="1" thickBot="1" x14ac:dyDescent="0.35">
      <c r="A64" s="114"/>
      <c r="B64" s="115"/>
      <c r="C64" s="115"/>
      <c r="D64" s="115"/>
      <c r="E64" s="115"/>
      <c r="F64" s="115"/>
      <c r="G64" s="115"/>
      <c r="H64" s="115"/>
      <c r="I64" s="115"/>
      <c r="J64" s="65">
        <f>SUM(J7:J63)</f>
        <v>219</v>
      </c>
      <c r="K64" s="66">
        <f>SUM(K7:K63)</f>
        <v>1472.3658099999998</v>
      </c>
      <c r="L64" s="67"/>
    </row>
    <row r="65" spans="1:12" s="59" customFormat="1" ht="20.100000000000001" customHeight="1" thickTop="1" thickBot="1" x14ac:dyDescent="0.35">
      <c r="A65" s="116" t="s">
        <v>52</v>
      </c>
      <c r="B65" s="117"/>
      <c r="C65" s="68"/>
      <c r="D65" s="118">
        <f>J64</f>
        <v>219</v>
      </c>
      <c r="E65" s="119"/>
      <c r="F65" s="119"/>
      <c r="G65" s="120"/>
      <c r="H65" s="121"/>
      <c r="I65" s="121"/>
      <c r="J65" s="122"/>
      <c r="K65" s="119"/>
      <c r="L65" s="123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71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72"/>
      <c r="F71" s="5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5"/>
      <c r="G72" s="73"/>
      <c r="H72" s="5"/>
      <c r="I72" s="74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72"/>
      <c r="I76" s="72"/>
      <c r="J76" s="5"/>
      <c r="K76" s="5"/>
      <c r="L76" s="5"/>
    </row>
    <row r="77" spans="1:12" ht="20.100000000000001" customHeight="1" x14ac:dyDescent="0.3">
      <c r="A77" s="113"/>
      <c r="B77" s="113"/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A80" s="113"/>
      <c r="B80" s="113"/>
      <c r="H80" s="72"/>
      <c r="I80" s="72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J85" s="5"/>
      <c r="K85" s="5"/>
      <c r="L85" s="5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5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5" customFormat="1" ht="19.5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ht="19.5" customHeight="1" x14ac:dyDescent="0.3"/>
    <row r="93" spans="1:12" ht="19.5" customHeight="1" x14ac:dyDescent="0.3"/>
    <row r="94" spans="1:12" ht="19.5" customHeight="1" x14ac:dyDescent="0.3"/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0:B7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4:I64"/>
    <mergeCell ref="A65:B65"/>
    <mergeCell ref="D65:G65"/>
    <mergeCell ref="H65:J65"/>
    <mergeCell ref="K65:L65"/>
    <mergeCell ref="A80:B80"/>
    <mergeCell ref="A81:B81"/>
    <mergeCell ref="A71:B71"/>
    <mergeCell ref="A72:B72"/>
    <mergeCell ref="A73:B73"/>
    <mergeCell ref="A75:B75"/>
    <mergeCell ref="A76:B76"/>
    <mergeCell ref="A77:B77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172"/>
  <sheetViews>
    <sheetView view="pageBreakPreview" topLeftCell="A8" zoomScale="85" zoomScaleNormal="100" zoomScaleSheetLayoutView="85" workbookViewId="0">
      <selection activeCell="A13" sqref="A1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46241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0" si="0">(H7/1000*I7/1000)*J7</f>
        <v>0</v>
      </c>
      <c r="L7" s="26">
        <f>SUM(J7:J39)</f>
        <v>122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SUM(K7:K39)</f>
        <v>843.535214</v>
      </c>
    </row>
    <row r="9" spans="1:12" s="27" customFormat="1" ht="19.5" customHeight="1" x14ac:dyDescent="0.3">
      <c r="A9" s="28" t="s">
        <v>7174</v>
      </c>
      <c r="B9" s="16" t="s">
        <v>3843</v>
      </c>
      <c r="C9" s="17">
        <v>22</v>
      </c>
      <c r="D9" s="18" t="s">
        <v>45</v>
      </c>
      <c r="E9" s="41">
        <v>180</v>
      </c>
      <c r="F9" s="42">
        <v>152.80000000000001</v>
      </c>
      <c r="G9" s="34" t="s">
        <v>19</v>
      </c>
      <c r="H9" s="35">
        <v>1981</v>
      </c>
      <c r="I9" s="36">
        <v>3353</v>
      </c>
      <c r="J9" s="37">
        <v>39</v>
      </c>
      <c r="K9" s="25">
        <f t="shared" si="0"/>
        <v>259.04942700000004</v>
      </c>
      <c r="L9" s="39" t="s">
        <v>7206</v>
      </c>
    </row>
    <row r="10" spans="1:12" s="27" customFormat="1" ht="19.5" customHeight="1" x14ac:dyDescent="0.3">
      <c r="A10" s="28"/>
      <c r="B10" s="16"/>
      <c r="C10" s="17">
        <v>22</v>
      </c>
      <c r="D10" s="18" t="s">
        <v>17</v>
      </c>
      <c r="E10" s="41">
        <f>180-20</f>
        <v>160</v>
      </c>
      <c r="F10" s="42">
        <v>128</v>
      </c>
      <c r="G10" s="34"/>
      <c r="H10" s="35"/>
      <c r="I10" s="36"/>
      <c r="J10" s="37"/>
      <c r="K10" s="85">
        <f t="shared" si="0"/>
        <v>0</v>
      </c>
      <c r="L10" s="39" t="s">
        <v>7205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 t="s">
        <v>7202</v>
      </c>
      <c r="B12" s="16" t="s">
        <v>3843</v>
      </c>
      <c r="C12" s="17">
        <v>24</v>
      </c>
      <c r="D12" s="18" t="s">
        <v>7204</v>
      </c>
      <c r="E12" s="41">
        <v>70</v>
      </c>
      <c r="F12" s="42">
        <v>43.3</v>
      </c>
      <c r="G12" s="34" t="s">
        <v>7207</v>
      </c>
      <c r="H12" s="35">
        <v>2438</v>
      </c>
      <c r="I12" s="36">
        <v>3353</v>
      </c>
      <c r="J12" s="37">
        <v>14</v>
      </c>
      <c r="K12" s="85">
        <f t="shared" si="0"/>
        <v>114.444596</v>
      </c>
      <c r="L12" s="39" t="s">
        <v>7209</v>
      </c>
    </row>
    <row r="13" spans="1:12" s="27" customFormat="1" ht="19.5" customHeight="1" x14ac:dyDescent="0.3">
      <c r="A13" s="28" t="s">
        <v>7203</v>
      </c>
      <c r="B13" s="16" t="s">
        <v>3843</v>
      </c>
      <c r="C13" s="17">
        <v>24</v>
      </c>
      <c r="D13" s="18" t="s">
        <v>7204</v>
      </c>
      <c r="E13" s="41">
        <v>100</v>
      </c>
      <c r="F13" s="42">
        <v>59.6</v>
      </c>
      <c r="G13" s="34" t="s">
        <v>7208</v>
      </c>
      <c r="H13" s="35">
        <v>2134</v>
      </c>
      <c r="I13" s="36">
        <v>3048</v>
      </c>
      <c r="J13" s="37">
        <v>15</v>
      </c>
      <c r="K13" s="85">
        <f t="shared" si="0"/>
        <v>97.566479999999999</v>
      </c>
      <c r="L13" s="39" t="s">
        <v>7209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7208</v>
      </c>
      <c r="H14" s="35">
        <v>2438</v>
      </c>
      <c r="I14" s="36">
        <v>3353</v>
      </c>
      <c r="J14" s="37">
        <v>1</v>
      </c>
      <c r="K14" s="85">
        <f t="shared" si="0"/>
        <v>8.174614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85">
        <f t="shared" si="0"/>
        <v>0</v>
      </c>
      <c r="L15" s="39"/>
    </row>
    <row r="16" spans="1:12" s="27" customFormat="1" ht="19.5" customHeight="1" x14ac:dyDescent="0.3">
      <c r="A16" s="28" t="s">
        <v>7210</v>
      </c>
      <c r="B16" s="16" t="s">
        <v>7211</v>
      </c>
      <c r="C16" s="17">
        <v>22</v>
      </c>
      <c r="D16" s="18" t="s">
        <v>7212</v>
      </c>
      <c r="E16" s="41">
        <v>3</v>
      </c>
      <c r="F16" s="42">
        <v>4.45</v>
      </c>
      <c r="G16" s="34" t="s">
        <v>7213</v>
      </c>
      <c r="H16" s="35">
        <v>1981</v>
      </c>
      <c r="I16" s="36">
        <v>3353</v>
      </c>
      <c r="J16" s="37">
        <v>1</v>
      </c>
      <c r="K16" s="85">
        <f t="shared" si="0"/>
        <v>6.6422930000000004</v>
      </c>
      <c r="L16" s="39" t="s">
        <v>7214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0"/>
        <v>0</v>
      </c>
      <c r="L17" s="39"/>
    </row>
    <row r="18" spans="1:12" s="27" customFormat="1" ht="19.5" customHeight="1" x14ac:dyDescent="0.3">
      <c r="A18" s="28" t="s">
        <v>7215</v>
      </c>
      <c r="B18" s="16" t="s">
        <v>7211</v>
      </c>
      <c r="C18" s="17">
        <v>22</v>
      </c>
      <c r="D18" s="18" t="s">
        <v>7216</v>
      </c>
      <c r="E18" s="41">
        <v>2</v>
      </c>
      <c r="F18" s="42">
        <v>6.46</v>
      </c>
      <c r="G18" s="34" t="s">
        <v>7218</v>
      </c>
      <c r="H18" s="35">
        <v>1981</v>
      </c>
      <c r="I18" s="36">
        <v>3353</v>
      </c>
      <c r="J18" s="37">
        <v>2</v>
      </c>
      <c r="K18" s="85">
        <f t="shared" si="0"/>
        <v>13.284586000000001</v>
      </c>
      <c r="L18" s="39" t="s">
        <v>7219</v>
      </c>
    </row>
    <row r="19" spans="1:12" s="27" customFormat="1" ht="19.5" customHeight="1" x14ac:dyDescent="0.3">
      <c r="A19" s="28"/>
      <c r="B19" s="16"/>
      <c r="C19" s="17">
        <v>22</v>
      </c>
      <c r="D19" s="18" t="s">
        <v>7217</v>
      </c>
      <c r="E19" s="41">
        <v>1</v>
      </c>
      <c r="F19" s="42">
        <v>3.23</v>
      </c>
      <c r="G19" s="34"/>
      <c r="H19" s="35"/>
      <c r="I19" s="36"/>
      <c r="J19" s="37"/>
      <c r="K19" s="85">
        <f t="shared" si="0"/>
        <v>0</v>
      </c>
      <c r="L19" s="39" t="s">
        <v>7220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7101</v>
      </c>
      <c r="B21" s="16" t="s">
        <v>7102</v>
      </c>
      <c r="C21" s="17">
        <v>10</v>
      </c>
      <c r="D21" s="18" t="s">
        <v>926</v>
      </c>
      <c r="E21" s="41">
        <v>91</v>
      </c>
      <c r="F21" s="42">
        <v>45.25</v>
      </c>
      <c r="G21" s="34" t="s">
        <v>927</v>
      </c>
      <c r="H21" s="35">
        <v>2438</v>
      </c>
      <c r="I21" s="36">
        <v>3353</v>
      </c>
      <c r="J21" s="37">
        <v>8</v>
      </c>
      <c r="K21" s="85">
        <f t="shared" si="0"/>
        <v>65.396912</v>
      </c>
      <c r="L21" s="39" t="s">
        <v>7221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7222</v>
      </c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</row>
    <row r="24" spans="1:12" s="27" customFormat="1" ht="19.5" customHeight="1" x14ac:dyDescent="0.3">
      <c r="A24" s="28" t="s">
        <v>7256</v>
      </c>
      <c r="B24" s="16" t="s">
        <v>7257</v>
      </c>
      <c r="C24" s="17">
        <v>22</v>
      </c>
      <c r="D24" s="18" t="s">
        <v>7261</v>
      </c>
      <c r="E24" s="41">
        <v>20</v>
      </c>
      <c r="F24" s="42">
        <v>25.44</v>
      </c>
      <c r="G24" s="34" t="s">
        <v>7259</v>
      </c>
      <c r="H24" s="35">
        <v>1981</v>
      </c>
      <c r="I24" s="36">
        <v>3353</v>
      </c>
      <c r="J24" s="37">
        <v>4</v>
      </c>
      <c r="K24" s="85">
        <f t="shared" si="0"/>
        <v>26.569172000000002</v>
      </c>
      <c r="L24" s="39"/>
    </row>
    <row r="25" spans="1:12" s="27" customFormat="1" ht="19.5" customHeight="1" x14ac:dyDescent="0.3">
      <c r="A25" s="28"/>
      <c r="B25" s="16"/>
      <c r="C25" s="17">
        <v>22</v>
      </c>
      <c r="D25" s="18" t="s">
        <v>7258</v>
      </c>
      <c r="E25" s="41">
        <v>6</v>
      </c>
      <c r="F25" s="42">
        <v>7.25</v>
      </c>
      <c r="G25" s="34" t="s">
        <v>7260</v>
      </c>
      <c r="H25" s="35">
        <v>1981</v>
      </c>
      <c r="I25" s="36">
        <v>3353</v>
      </c>
      <c r="J25" s="37">
        <v>1</v>
      </c>
      <c r="K25" s="85">
        <f t="shared" si="0"/>
        <v>6.6422930000000004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 t="s">
        <v>19</v>
      </c>
      <c r="H26" s="35">
        <v>1981</v>
      </c>
      <c r="I26" s="36">
        <v>3353</v>
      </c>
      <c r="J26" s="37">
        <v>6</v>
      </c>
      <c r="K26" s="85">
        <f t="shared" si="0"/>
        <v>39.853757999999999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 t="s">
        <v>7262</v>
      </c>
      <c r="B28" s="16" t="s">
        <v>7263</v>
      </c>
      <c r="C28" s="17">
        <v>22</v>
      </c>
      <c r="D28" s="18" t="s">
        <v>7261</v>
      </c>
      <c r="E28" s="41">
        <v>336</v>
      </c>
      <c r="F28" s="42">
        <v>131.02000000000001</v>
      </c>
      <c r="G28" s="34" t="s">
        <v>7259</v>
      </c>
      <c r="H28" s="35">
        <v>1981</v>
      </c>
      <c r="I28" s="36">
        <v>3353</v>
      </c>
      <c r="J28" s="37">
        <v>21</v>
      </c>
      <c r="K28" s="85">
        <f t="shared" si="0"/>
        <v>139.48815300000001</v>
      </c>
      <c r="L28" s="39" t="s">
        <v>7264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85">
        <f t="shared" si="0"/>
        <v>0</v>
      </c>
      <c r="L29" s="39"/>
    </row>
    <row r="30" spans="1:12" s="27" customFormat="1" ht="19.5" customHeight="1" x14ac:dyDescent="0.3">
      <c r="A30" s="28" t="s">
        <v>7262</v>
      </c>
      <c r="B30" s="16" t="s">
        <v>7263</v>
      </c>
      <c r="C30" s="17">
        <v>22</v>
      </c>
      <c r="D30" s="18" t="s">
        <v>7261</v>
      </c>
      <c r="E30" s="41">
        <v>168</v>
      </c>
      <c r="F30" s="42">
        <v>65.5</v>
      </c>
      <c r="G30" s="34" t="s">
        <v>7265</v>
      </c>
      <c r="H30" s="35">
        <v>1981</v>
      </c>
      <c r="I30" s="36">
        <v>3353</v>
      </c>
      <c r="J30" s="37">
        <v>10</v>
      </c>
      <c r="K30" s="85">
        <f t="shared" si="0"/>
        <v>66.422930000000008</v>
      </c>
      <c r="L30" s="39" t="s">
        <v>7266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8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8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8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8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8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85">
        <f t="shared" si="0"/>
        <v>0</v>
      </c>
      <c r="L38" s="39"/>
    </row>
    <row r="39" spans="1:12" s="27" customFormat="1" ht="19.5" customHeight="1" x14ac:dyDescent="0.3">
      <c r="A39" s="28"/>
      <c r="B39" s="29"/>
      <c r="C39" s="30"/>
      <c r="D39" s="31"/>
      <c r="E39" s="41"/>
      <c r="F39" s="42"/>
      <c r="G39" s="43"/>
      <c r="H39" s="35"/>
      <c r="I39" s="36"/>
      <c r="J39" s="37"/>
      <c r="K39" s="85">
        <f t="shared" si="0"/>
        <v>0</v>
      </c>
      <c r="L39" s="39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7223</v>
      </c>
      <c r="B41" s="45" t="s">
        <v>7224</v>
      </c>
      <c r="C41" s="46">
        <v>24</v>
      </c>
      <c r="D41" s="47" t="s">
        <v>7225</v>
      </c>
      <c r="E41" s="48">
        <v>3</v>
      </c>
      <c r="F41" s="49">
        <v>0.84</v>
      </c>
      <c r="G41" s="50"/>
      <c r="H41" s="51"/>
      <c r="I41" s="45"/>
      <c r="J41" s="52"/>
      <c r="K41" s="53">
        <f t="shared" si="0"/>
        <v>0</v>
      </c>
      <c r="L41" s="54" t="s">
        <v>7226</v>
      </c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7227</v>
      </c>
      <c r="B43" s="45" t="s">
        <v>7228</v>
      </c>
      <c r="C43" s="46">
        <v>28</v>
      </c>
      <c r="D43" s="47" t="s">
        <v>7229</v>
      </c>
      <c r="E43" s="48">
        <v>3</v>
      </c>
      <c r="F43" s="49">
        <v>1.32</v>
      </c>
      <c r="G43" s="50" t="s">
        <v>7232</v>
      </c>
      <c r="H43" s="51">
        <v>2438</v>
      </c>
      <c r="I43" s="45">
        <v>3353</v>
      </c>
      <c r="J43" s="52">
        <v>1</v>
      </c>
      <c r="K43" s="53">
        <f t="shared" si="0"/>
        <v>8.174614</v>
      </c>
      <c r="L43" s="54"/>
    </row>
    <row r="44" spans="1:12" s="55" customFormat="1" ht="19.5" customHeight="1" x14ac:dyDescent="0.3">
      <c r="A44" s="44"/>
      <c r="B44" s="45"/>
      <c r="C44" s="46">
        <v>28</v>
      </c>
      <c r="D44" s="47" t="s">
        <v>7230</v>
      </c>
      <c r="E44" s="48">
        <v>4</v>
      </c>
      <c r="F44" s="49">
        <v>3.59</v>
      </c>
      <c r="G44" s="50" t="s">
        <v>7233</v>
      </c>
      <c r="H44" s="51">
        <v>2438</v>
      </c>
      <c r="I44" s="45">
        <v>3353</v>
      </c>
      <c r="J44" s="52">
        <v>1</v>
      </c>
      <c r="K44" s="53">
        <f t="shared" si="0"/>
        <v>8.174614</v>
      </c>
      <c r="L44" s="54"/>
    </row>
    <row r="45" spans="1:12" s="55" customFormat="1" ht="19.5" customHeight="1" x14ac:dyDescent="0.3">
      <c r="A45" s="44"/>
      <c r="B45" s="45"/>
      <c r="C45" s="46">
        <v>28</v>
      </c>
      <c r="D45" s="47" t="s">
        <v>7231</v>
      </c>
      <c r="E45" s="48">
        <v>2</v>
      </c>
      <c r="F45" s="49">
        <v>3.79</v>
      </c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46">
        <v>28</v>
      </c>
      <c r="D46" s="47" t="s">
        <v>7231</v>
      </c>
      <c r="E46" s="48">
        <v>2</v>
      </c>
      <c r="F46" s="49">
        <v>2.2799999999999998</v>
      </c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7234</v>
      </c>
      <c r="B48" s="45" t="s">
        <v>7235</v>
      </c>
      <c r="C48" s="46">
        <v>28</v>
      </c>
      <c r="D48" s="47" t="s">
        <v>7236</v>
      </c>
      <c r="E48" s="48">
        <v>3</v>
      </c>
      <c r="F48" s="49">
        <v>4.68</v>
      </c>
      <c r="G48" s="50" t="s">
        <v>7233</v>
      </c>
      <c r="H48" s="51">
        <v>2438</v>
      </c>
      <c r="I48" s="45">
        <v>3353</v>
      </c>
      <c r="J48" s="52">
        <v>2</v>
      </c>
      <c r="K48" s="53">
        <f t="shared" si="0"/>
        <v>16.349228</v>
      </c>
      <c r="L48" s="54" t="s">
        <v>7242</v>
      </c>
    </row>
    <row r="49" spans="1:12" s="55" customFormat="1" ht="19.5" customHeight="1" x14ac:dyDescent="0.3">
      <c r="A49" s="44"/>
      <c r="B49" s="45"/>
      <c r="C49" s="46">
        <v>28</v>
      </c>
      <c r="D49" s="47" t="s">
        <v>7237</v>
      </c>
      <c r="E49" s="48">
        <v>4</v>
      </c>
      <c r="F49" s="49">
        <v>6.56</v>
      </c>
      <c r="G49" s="50"/>
      <c r="H49" s="51"/>
      <c r="I49" s="45"/>
      <c r="J49" s="52"/>
      <c r="K49" s="53">
        <f t="shared" si="0"/>
        <v>0</v>
      </c>
      <c r="L49" s="54" t="s">
        <v>7243</v>
      </c>
    </row>
    <row r="50" spans="1:12" s="55" customFormat="1" ht="19.5" customHeight="1" x14ac:dyDescent="0.3">
      <c r="A50" s="44" t="s">
        <v>7241</v>
      </c>
      <c r="B50" s="45" t="s">
        <v>7235</v>
      </c>
      <c r="C50" s="46">
        <v>28</v>
      </c>
      <c r="D50" s="47" t="s">
        <v>7237</v>
      </c>
      <c r="E50" s="48">
        <v>1</v>
      </c>
      <c r="F50" s="49">
        <v>0.82</v>
      </c>
      <c r="G50" s="50"/>
      <c r="H50" s="51"/>
      <c r="I50" s="45"/>
      <c r="J50" s="52"/>
      <c r="K50" s="53">
        <f t="shared" si="0"/>
        <v>0</v>
      </c>
      <c r="L50" s="54" t="s">
        <v>7244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/>
      <c r="L51" s="54"/>
    </row>
    <row r="52" spans="1:12" s="55" customFormat="1" ht="19.5" customHeight="1" x14ac:dyDescent="0.3">
      <c r="A52" s="44" t="s">
        <v>7234</v>
      </c>
      <c r="B52" s="45" t="s">
        <v>7235</v>
      </c>
      <c r="C52" s="46">
        <v>28</v>
      </c>
      <c r="D52" s="47" t="s">
        <v>7236</v>
      </c>
      <c r="E52" s="48">
        <v>2</v>
      </c>
      <c r="F52" s="49">
        <v>3.26</v>
      </c>
      <c r="G52" s="50" t="s">
        <v>7238</v>
      </c>
      <c r="H52" s="51">
        <v>2134</v>
      </c>
      <c r="I52" s="45">
        <v>3048</v>
      </c>
      <c r="J52" s="52">
        <v>2</v>
      </c>
      <c r="K52" s="53">
        <f t="shared" si="0"/>
        <v>13.008863999999999</v>
      </c>
      <c r="L52" s="54" t="s">
        <v>7239</v>
      </c>
    </row>
    <row r="53" spans="1:12" s="55" customFormat="1" ht="19.5" customHeight="1" x14ac:dyDescent="0.3">
      <c r="A53" s="44"/>
      <c r="B53" s="45"/>
      <c r="C53" s="46">
        <v>28</v>
      </c>
      <c r="D53" s="47" t="s">
        <v>7237</v>
      </c>
      <c r="E53" s="48">
        <v>1</v>
      </c>
      <c r="F53" s="49">
        <v>2.31</v>
      </c>
      <c r="G53" s="50"/>
      <c r="H53" s="51"/>
      <c r="I53" s="45"/>
      <c r="J53" s="52"/>
      <c r="K53" s="53">
        <f t="shared" si="0"/>
        <v>0</v>
      </c>
      <c r="L53" s="54" t="s">
        <v>7240</v>
      </c>
    </row>
    <row r="54" spans="1:12" s="55" customFormat="1" ht="19.5" customHeight="1" x14ac:dyDescent="0.3">
      <c r="A54" s="44" t="s">
        <v>7241</v>
      </c>
      <c r="B54" s="45" t="s">
        <v>7235</v>
      </c>
      <c r="C54" s="46">
        <v>28</v>
      </c>
      <c r="D54" s="47" t="s">
        <v>7237</v>
      </c>
      <c r="E54" s="48">
        <v>2</v>
      </c>
      <c r="F54" s="49">
        <v>2.48</v>
      </c>
      <c r="G54" s="50"/>
      <c r="H54" s="51"/>
      <c r="I54" s="45"/>
      <c r="J54" s="52"/>
      <c r="K54" s="53">
        <f t="shared" si="0"/>
        <v>0</v>
      </c>
      <c r="L54" s="54" t="s">
        <v>7240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7245</v>
      </c>
      <c r="B56" s="45" t="s">
        <v>7246</v>
      </c>
      <c r="C56" s="46">
        <v>22</v>
      </c>
      <c r="D56" s="47" t="s">
        <v>7247</v>
      </c>
      <c r="E56" s="48">
        <v>128</v>
      </c>
      <c r="F56" s="49">
        <v>86</v>
      </c>
      <c r="G56" s="50" t="s">
        <v>7248</v>
      </c>
      <c r="H56" s="51">
        <v>1981</v>
      </c>
      <c r="I56" s="45">
        <v>3353</v>
      </c>
      <c r="J56" s="52">
        <v>14</v>
      </c>
      <c r="K56" s="53">
        <f t="shared" si="0"/>
        <v>92.992102000000003</v>
      </c>
      <c r="L56" s="54"/>
    </row>
    <row r="57" spans="1:12" s="55" customFormat="1" ht="19.5" customHeight="1" x14ac:dyDescent="0.3">
      <c r="A57" s="44"/>
      <c r="B57" s="45"/>
      <c r="C57" s="46">
        <v>22</v>
      </c>
      <c r="D57" s="47" t="s">
        <v>7212</v>
      </c>
      <c r="E57" s="48">
        <v>112</v>
      </c>
      <c r="F57" s="49">
        <v>94</v>
      </c>
      <c r="G57" s="50" t="s">
        <v>7213</v>
      </c>
      <c r="H57" s="51">
        <v>1981</v>
      </c>
      <c r="I57" s="45">
        <v>3353</v>
      </c>
      <c r="J57" s="52">
        <v>16</v>
      </c>
      <c r="K57" s="53">
        <f t="shared" si="0"/>
        <v>106.27668800000001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 t="s">
        <v>7249</v>
      </c>
      <c r="H58" s="51">
        <v>1981</v>
      </c>
      <c r="I58" s="45">
        <v>3353</v>
      </c>
      <c r="J58" s="52">
        <v>30</v>
      </c>
      <c r="K58" s="53">
        <f t="shared" si="0"/>
        <v>199.26879000000002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7250</v>
      </c>
      <c r="B60" s="45" t="s">
        <v>7251</v>
      </c>
      <c r="C60" s="46">
        <v>22</v>
      </c>
      <c r="D60" s="47" t="s">
        <v>7252</v>
      </c>
      <c r="E60" s="48">
        <v>8</v>
      </c>
      <c r="F60" s="49">
        <v>10.039999999999999</v>
      </c>
      <c r="G60" s="50" t="s">
        <v>7213</v>
      </c>
      <c r="H60" s="51">
        <v>1981</v>
      </c>
      <c r="I60" s="45">
        <v>3353</v>
      </c>
      <c r="J60" s="52">
        <v>16</v>
      </c>
      <c r="K60" s="53">
        <f t="shared" si="0"/>
        <v>106.27668800000001</v>
      </c>
      <c r="L60" s="54" t="s">
        <v>7254</v>
      </c>
    </row>
    <row r="61" spans="1:12" s="55" customFormat="1" ht="19.5" customHeight="1" x14ac:dyDescent="0.3">
      <c r="A61" s="44" t="s">
        <v>7253</v>
      </c>
      <c r="B61" s="45" t="s">
        <v>7251</v>
      </c>
      <c r="C61" s="46">
        <v>22</v>
      </c>
      <c r="D61" s="47" t="s">
        <v>7252</v>
      </c>
      <c r="E61" s="48">
        <v>73</v>
      </c>
      <c r="F61" s="49">
        <v>90.64</v>
      </c>
      <c r="G61" s="50"/>
      <c r="H61" s="51"/>
      <c r="I61" s="45"/>
      <c r="J61" s="52"/>
      <c r="K61" s="53">
        <f t="shared" si="0"/>
        <v>0</v>
      </c>
      <c r="L61" s="54" t="s">
        <v>7254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7255</v>
      </c>
      <c r="B63" s="45" t="s">
        <v>7246</v>
      </c>
      <c r="C63" s="46">
        <v>22</v>
      </c>
      <c r="D63" s="47" t="s">
        <v>7247</v>
      </c>
      <c r="E63" s="48">
        <v>96</v>
      </c>
      <c r="F63" s="49">
        <v>74.3</v>
      </c>
      <c r="G63" s="50" t="s">
        <v>7248</v>
      </c>
      <c r="H63" s="51">
        <v>1981</v>
      </c>
      <c r="I63" s="45">
        <v>3353</v>
      </c>
      <c r="J63" s="52">
        <v>13</v>
      </c>
      <c r="K63" s="53">
        <f t="shared" si="0"/>
        <v>86.349809000000008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 t="s">
        <v>7249</v>
      </c>
      <c r="H64" s="51">
        <v>1981</v>
      </c>
      <c r="I64" s="45">
        <v>3353</v>
      </c>
      <c r="J64" s="52">
        <v>12</v>
      </c>
      <c r="K64" s="53">
        <f t="shared" si="0"/>
        <v>79.707515999999998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7222</v>
      </c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7267</v>
      </c>
      <c r="B67" s="45" t="s">
        <v>7268</v>
      </c>
      <c r="C67" s="46">
        <v>24</v>
      </c>
      <c r="D67" s="47" t="s">
        <v>7269</v>
      </c>
      <c r="E67" s="48">
        <v>56</v>
      </c>
      <c r="F67" s="49">
        <v>103.87</v>
      </c>
      <c r="G67" s="50" t="s">
        <v>7270</v>
      </c>
      <c r="H67" s="51">
        <v>2438</v>
      </c>
      <c r="I67" s="45">
        <v>3353</v>
      </c>
      <c r="J67" s="52">
        <v>11</v>
      </c>
      <c r="K67" s="53">
        <f t="shared" si="0"/>
        <v>89.920754000000002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 t="s">
        <v>7270</v>
      </c>
      <c r="H68" s="51">
        <v>2134</v>
      </c>
      <c r="I68" s="45">
        <v>3048</v>
      </c>
      <c r="J68" s="52">
        <v>5</v>
      </c>
      <c r="K68" s="53">
        <f t="shared" si="0"/>
        <v>32.52216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 t="s">
        <v>7259</v>
      </c>
      <c r="H69" s="51">
        <v>2438</v>
      </c>
      <c r="I69" s="45">
        <v>3353</v>
      </c>
      <c r="J69" s="52">
        <v>11</v>
      </c>
      <c r="K69" s="53">
        <f t="shared" si="0"/>
        <v>89.920754000000002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 t="s">
        <v>7259</v>
      </c>
      <c r="H70" s="51">
        <v>2134</v>
      </c>
      <c r="I70" s="45">
        <v>3048</v>
      </c>
      <c r="J70" s="52">
        <v>5</v>
      </c>
      <c r="K70" s="53">
        <f t="shared" si="0"/>
        <v>32.52216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 t="s">
        <v>7271</v>
      </c>
      <c r="B72" s="45" t="s">
        <v>7268</v>
      </c>
      <c r="C72" s="46">
        <v>24</v>
      </c>
      <c r="D72" s="47" t="s">
        <v>7269</v>
      </c>
      <c r="E72" s="48">
        <v>61</v>
      </c>
      <c r="F72" s="49">
        <v>106.66</v>
      </c>
      <c r="G72" s="50" t="s">
        <v>7270</v>
      </c>
      <c r="H72" s="51">
        <v>2438</v>
      </c>
      <c r="I72" s="45">
        <v>3353</v>
      </c>
      <c r="J72" s="52">
        <v>7</v>
      </c>
      <c r="K72" s="53">
        <f t="shared" si="0"/>
        <v>57.222298000000002</v>
      </c>
      <c r="L72" s="54" t="s">
        <v>7272</v>
      </c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 t="s">
        <v>7270</v>
      </c>
      <c r="H73" s="51">
        <v>2134</v>
      </c>
      <c r="I73" s="45">
        <v>3048</v>
      </c>
      <c r="J73" s="52">
        <v>10</v>
      </c>
      <c r="K73" s="53">
        <f t="shared" si="0"/>
        <v>65.044319999999999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9" customFormat="1" ht="20.100000000000001" customHeight="1" x14ac:dyDescent="0.3">
      <c r="A79" s="44"/>
      <c r="B79" s="45"/>
      <c r="C79" s="46"/>
      <c r="D79" s="47"/>
      <c r="E79" s="56"/>
      <c r="F79" s="57"/>
      <c r="G79" s="50"/>
      <c r="H79" s="51"/>
      <c r="I79" s="45"/>
      <c r="J79" s="52"/>
      <c r="K79" s="53">
        <f t="shared" si="0"/>
        <v>0</v>
      </c>
      <c r="L79" s="58">
        <f>SUM(J40:J80)</f>
        <v>156</v>
      </c>
    </row>
    <row r="80" spans="1:12" s="59" customFormat="1" ht="20.100000000000001" customHeight="1" x14ac:dyDescent="0.3">
      <c r="A80" s="44"/>
      <c r="B80" s="45"/>
      <c r="C80" s="46"/>
      <c r="D80" s="47"/>
      <c r="E80" s="60"/>
      <c r="F80" s="61"/>
      <c r="G80" s="62"/>
      <c r="H80" s="51"/>
      <c r="I80" s="45"/>
      <c r="J80" s="63"/>
      <c r="K80" s="53">
        <f t="shared" si="0"/>
        <v>0</v>
      </c>
      <c r="L80" s="64">
        <f>SUM(K40:K80)</f>
        <v>1083.7313590000001</v>
      </c>
    </row>
    <row r="81" spans="1:12" s="59" customFormat="1" ht="20.100000000000001" customHeight="1" thickBot="1" x14ac:dyDescent="0.35">
      <c r="A81" s="114"/>
      <c r="B81" s="115"/>
      <c r="C81" s="115"/>
      <c r="D81" s="115"/>
      <c r="E81" s="115"/>
      <c r="F81" s="115"/>
      <c r="G81" s="115"/>
      <c r="H81" s="115"/>
      <c r="I81" s="115"/>
      <c r="J81" s="65">
        <f>SUM(J7:J80)</f>
        <v>278</v>
      </c>
      <c r="K81" s="66">
        <f>SUM(K7:K80)</f>
        <v>1927.2665729999999</v>
      </c>
      <c r="L81" s="67"/>
    </row>
    <row r="82" spans="1:12" s="59" customFormat="1" ht="20.100000000000001" customHeight="1" thickTop="1" thickBot="1" x14ac:dyDescent="0.35">
      <c r="A82" s="116" t="s">
        <v>52</v>
      </c>
      <c r="B82" s="117"/>
      <c r="C82" s="68"/>
      <c r="D82" s="118">
        <f>J81</f>
        <v>278</v>
      </c>
      <c r="E82" s="119"/>
      <c r="F82" s="119"/>
      <c r="G82" s="120"/>
      <c r="H82" s="121"/>
      <c r="I82" s="121"/>
      <c r="J82" s="122"/>
      <c r="K82" s="119"/>
      <c r="L82" s="123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71"/>
    </row>
    <row r="84" spans="1:12" s="59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72"/>
      <c r="F88" s="5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5"/>
      <c r="G89" s="73"/>
      <c r="H89" s="5"/>
      <c r="I89" s="74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70"/>
      <c r="G93" s="5"/>
      <c r="H93" s="72"/>
      <c r="I93" s="72"/>
      <c r="J93" s="5"/>
      <c r="K93" s="5"/>
      <c r="L93" s="5"/>
    </row>
    <row r="94" spans="1:12" ht="20.100000000000001" customHeight="1" x14ac:dyDescent="0.3">
      <c r="A94" s="113"/>
      <c r="B94" s="113"/>
      <c r="H94" s="72"/>
      <c r="I94" s="72"/>
    </row>
    <row r="95" spans="1:12" ht="20.100000000000001" customHeight="1" x14ac:dyDescent="0.3">
      <c r="H95" s="72"/>
      <c r="I95" s="72"/>
    </row>
    <row r="96" spans="1:12" ht="20.100000000000001" customHeight="1" x14ac:dyDescent="0.3">
      <c r="H96" s="72"/>
      <c r="I96" s="72"/>
    </row>
    <row r="97" spans="1:12" ht="20.100000000000001" customHeight="1" x14ac:dyDescent="0.3">
      <c r="A97" s="113"/>
      <c r="B97" s="113"/>
      <c r="H97" s="72"/>
      <c r="I97" s="72"/>
    </row>
    <row r="98" spans="1:12" ht="20.100000000000001" customHeight="1" x14ac:dyDescent="0.3">
      <c r="A98" s="113"/>
      <c r="B98" s="113"/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H101" s="72"/>
      <c r="I101" s="72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J102" s="5"/>
      <c r="K102" s="5"/>
      <c r="L102" s="5"/>
    </row>
    <row r="103" spans="1:12" s="72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5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5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75" customFormat="1" ht="19.5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2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ht="19.5" customHeight="1" x14ac:dyDescent="0.3"/>
    <row r="110" spans="1:12" ht="19.5" customHeight="1" x14ac:dyDescent="0.3"/>
    <row r="111" spans="1:12" ht="19.5" customHeight="1" x14ac:dyDescent="0.3"/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</sheetData>
  <mergeCells count="30">
    <mergeCell ref="A97:B97"/>
    <mergeCell ref="A98:B98"/>
    <mergeCell ref="A88:B88"/>
    <mergeCell ref="A89:B89"/>
    <mergeCell ref="A90:B90"/>
    <mergeCell ref="A92:B92"/>
    <mergeCell ref="A93:B93"/>
    <mergeCell ref="A94:B94"/>
    <mergeCell ref="A87:B87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1:I81"/>
    <mergeCell ref="A82:B82"/>
    <mergeCell ref="D82:G82"/>
    <mergeCell ref="H82:J82"/>
    <mergeCell ref="K82:L82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55"/>
  <sheetViews>
    <sheetView view="pageBreakPreview" topLeftCell="A7" zoomScale="85" zoomScaleNormal="100" zoomScaleSheetLayoutView="85" workbookViewId="0">
      <selection activeCell="A15" sqref="A15:L15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46240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3" si="0">(H7/1000*I7/1000)*J7</f>
        <v>0</v>
      </c>
      <c r="L7" s="26">
        <f>SUM(J7:J32)</f>
        <v>127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SUM(K7:K32)</f>
        <v>929.40465800000004</v>
      </c>
    </row>
    <row r="9" spans="1:12" s="27" customFormat="1" ht="19.5" customHeight="1" x14ac:dyDescent="0.3">
      <c r="A9" s="28" t="s">
        <v>7156</v>
      </c>
      <c r="B9" s="16" t="s">
        <v>7157</v>
      </c>
      <c r="C9" s="17">
        <v>5</v>
      </c>
      <c r="D9" s="18" t="s">
        <v>7158</v>
      </c>
      <c r="E9" s="41">
        <v>12</v>
      </c>
      <c r="F9" s="42">
        <v>4.2</v>
      </c>
      <c r="G9" s="34" t="s">
        <v>7159</v>
      </c>
      <c r="H9" s="35">
        <v>1829</v>
      </c>
      <c r="I9" s="36">
        <v>3353</v>
      </c>
      <c r="J9" s="37">
        <v>1</v>
      </c>
      <c r="K9" s="25">
        <f t="shared" si="0"/>
        <v>6.1326369999999999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7101</v>
      </c>
      <c r="B11" s="16" t="s">
        <v>7102</v>
      </c>
      <c r="C11" s="17">
        <v>5</v>
      </c>
      <c r="D11" s="18" t="s">
        <v>7103</v>
      </c>
      <c r="E11" s="41">
        <v>252</v>
      </c>
      <c r="F11" s="42">
        <v>347.99</v>
      </c>
      <c r="G11" s="34" t="s">
        <v>18</v>
      </c>
      <c r="H11" s="35">
        <v>2438</v>
      </c>
      <c r="I11" s="36">
        <v>3353</v>
      </c>
      <c r="J11" s="37">
        <v>39</v>
      </c>
      <c r="K11" s="85">
        <f t="shared" si="0"/>
        <v>318.80994600000002</v>
      </c>
      <c r="L11" s="39" t="s">
        <v>7161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18</v>
      </c>
      <c r="H12" s="35">
        <v>1829</v>
      </c>
      <c r="I12" s="36">
        <v>3353</v>
      </c>
      <c r="J12" s="37">
        <v>12</v>
      </c>
      <c r="K12" s="85">
        <f t="shared" si="0"/>
        <v>73.591644000000002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18</v>
      </c>
      <c r="H13" s="35">
        <v>1981</v>
      </c>
      <c r="I13" s="36">
        <v>3353</v>
      </c>
      <c r="J13" s="37">
        <v>1</v>
      </c>
      <c r="K13" s="85">
        <f t="shared" si="0"/>
        <v>6.6422930000000004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 t="shared" si="0"/>
        <v>0</v>
      </c>
      <c r="L14" s="39"/>
    </row>
    <row r="15" spans="1:12" s="27" customFormat="1" ht="19.5" customHeight="1" x14ac:dyDescent="0.3">
      <c r="A15" s="28" t="s">
        <v>7160</v>
      </c>
      <c r="B15" s="16" t="s">
        <v>7102</v>
      </c>
      <c r="C15" s="17">
        <v>10</v>
      </c>
      <c r="D15" s="18" t="s">
        <v>926</v>
      </c>
      <c r="E15" s="41">
        <v>105</v>
      </c>
      <c r="F15" s="42">
        <v>192.98</v>
      </c>
      <c r="G15" s="34" t="s">
        <v>927</v>
      </c>
      <c r="H15" s="35">
        <v>2438</v>
      </c>
      <c r="I15" s="36">
        <v>3353</v>
      </c>
      <c r="J15" s="37">
        <v>24</v>
      </c>
      <c r="K15" s="85">
        <f t="shared" si="0"/>
        <v>196.19073600000002</v>
      </c>
      <c r="L15" s="39" t="s">
        <v>7162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 t="s">
        <v>7163</v>
      </c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0"/>
        <v>0</v>
      </c>
      <c r="L17" s="39"/>
    </row>
    <row r="18" spans="1:12" s="27" customFormat="1" ht="19.5" customHeight="1" x14ac:dyDescent="0.3">
      <c r="A18" s="28" t="s">
        <v>7174</v>
      </c>
      <c r="B18" s="16" t="s">
        <v>7175</v>
      </c>
      <c r="C18" s="17">
        <v>22</v>
      </c>
      <c r="D18" s="18" t="s">
        <v>7176</v>
      </c>
      <c r="E18" s="41">
        <v>180</v>
      </c>
      <c r="F18" s="42">
        <v>152.80000000000001</v>
      </c>
      <c r="G18" s="34" t="s">
        <v>7177</v>
      </c>
      <c r="H18" s="35">
        <v>1981</v>
      </c>
      <c r="I18" s="36">
        <v>3353</v>
      </c>
      <c r="J18" s="37">
        <v>15</v>
      </c>
      <c r="K18" s="85">
        <f t="shared" si="0"/>
        <v>99.634395000000012</v>
      </c>
      <c r="L18" s="39" t="s">
        <v>7178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 t="s">
        <v>7177</v>
      </c>
      <c r="H19" s="35">
        <v>1829</v>
      </c>
      <c r="I19" s="36">
        <v>3353</v>
      </c>
      <c r="J19" s="37">
        <v>8</v>
      </c>
      <c r="K19" s="85">
        <f t="shared" si="0"/>
        <v>49.061095999999999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7174</v>
      </c>
      <c r="B21" s="16" t="s">
        <v>7175</v>
      </c>
      <c r="C21" s="17">
        <v>22</v>
      </c>
      <c r="D21" s="18" t="s">
        <v>7179</v>
      </c>
      <c r="E21" s="41">
        <v>180</v>
      </c>
      <c r="F21" s="42">
        <v>150.80000000000001</v>
      </c>
      <c r="G21" s="34" t="s">
        <v>7180</v>
      </c>
      <c r="H21" s="35">
        <v>1981</v>
      </c>
      <c r="I21" s="36">
        <v>3353</v>
      </c>
      <c r="J21" s="37">
        <v>22</v>
      </c>
      <c r="K21" s="85">
        <f t="shared" si="0"/>
        <v>146.13044600000001</v>
      </c>
      <c r="L21" s="39" t="s">
        <v>7181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7174</v>
      </c>
      <c r="B23" s="16" t="s">
        <v>7175</v>
      </c>
      <c r="C23" s="17">
        <v>22</v>
      </c>
      <c r="D23" s="18" t="s">
        <v>7179</v>
      </c>
      <c r="E23" s="41">
        <v>20</v>
      </c>
      <c r="F23" s="42">
        <v>22.8</v>
      </c>
      <c r="G23" s="34" t="s">
        <v>7199</v>
      </c>
      <c r="H23" s="35">
        <v>1981</v>
      </c>
      <c r="I23" s="36">
        <v>3353</v>
      </c>
      <c r="J23" s="37">
        <v>5</v>
      </c>
      <c r="K23" s="85">
        <f t="shared" si="0"/>
        <v>33.211465000000004</v>
      </c>
      <c r="L23" s="39" t="s">
        <v>7182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8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0"/>
        <v>0</v>
      </c>
      <c r="L31" s="39"/>
    </row>
    <row r="32" spans="1:12" s="27" customFormat="1" ht="19.5" customHeight="1" x14ac:dyDescent="0.3">
      <c r="A32" s="28"/>
      <c r="B32" s="29"/>
      <c r="C32" s="30"/>
      <c r="D32" s="31"/>
      <c r="E32" s="41"/>
      <c r="F32" s="42"/>
      <c r="G32" s="43"/>
      <c r="H32" s="35"/>
      <c r="I32" s="36"/>
      <c r="J32" s="37"/>
      <c r="K32" s="85">
        <f t="shared" si="0"/>
        <v>0</v>
      </c>
      <c r="L32" s="39"/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7164</v>
      </c>
      <c r="B34" s="45" t="s">
        <v>7165</v>
      </c>
      <c r="C34" s="46">
        <v>24</v>
      </c>
      <c r="D34" s="47" t="s">
        <v>7166</v>
      </c>
      <c r="E34" s="48">
        <v>84</v>
      </c>
      <c r="F34" s="49">
        <v>113.24</v>
      </c>
      <c r="G34" s="50" t="s">
        <v>7167</v>
      </c>
      <c r="H34" s="51">
        <v>2438</v>
      </c>
      <c r="I34" s="45">
        <v>3353</v>
      </c>
      <c r="J34" s="52">
        <v>16</v>
      </c>
      <c r="K34" s="53">
        <f t="shared" si="0"/>
        <v>130.793824</v>
      </c>
      <c r="L34" s="54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 t="s">
        <v>7168</v>
      </c>
      <c r="H35" s="51">
        <v>2438</v>
      </c>
      <c r="I35" s="45">
        <v>3353</v>
      </c>
      <c r="J35" s="52">
        <v>16</v>
      </c>
      <c r="K35" s="53">
        <f t="shared" si="0"/>
        <v>130.793824</v>
      </c>
      <c r="L35" s="54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7155</v>
      </c>
      <c r="B37" s="45" t="s">
        <v>3762</v>
      </c>
      <c r="C37" s="46">
        <v>24</v>
      </c>
      <c r="D37" s="47" t="s">
        <v>7110</v>
      </c>
      <c r="E37" s="48">
        <v>170</v>
      </c>
      <c r="F37" s="49">
        <v>146.9</v>
      </c>
      <c r="G37" s="50" t="s">
        <v>7159</v>
      </c>
      <c r="H37" s="51">
        <v>2438</v>
      </c>
      <c r="I37" s="45">
        <v>3353</v>
      </c>
      <c r="J37" s="52">
        <v>20</v>
      </c>
      <c r="K37" s="53">
        <f t="shared" si="0"/>
        <v>163.49227999999999</v>
      </c>
      <c r="L37" s="54" t="s">
        <v>7169</v>
      </c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7170</v>
      </c>
      <c r="B39" s="45" t="s">
        <v>7171</v>
      </c>
      <c r="C39" s="46">
        <v>24</v>
      </c>
      <c r="D39" s="47" t="s">
        <v>7172</v>
      </c>
      <c r="E39" s="48">
        <v>1</v>
      </c>
      <c r="F39" s="49">
        <v>0.94</v>
      </c>
      <c r="G39" s="50"/>
      <c r="H39" s="51"/>
      <c r="I39" s="45"/>
      <c r="J39" s="52"/>
      <c r="K39" s="53">
        <f t="shared" si="0"/>
        <v>0</v>
      </c>
      <c r="L39" s="54" t="s">
        <v>7173</v>
      </c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7152</v>
      </c>
      <c r="B41" s="45" t="s">
        <v>3762</v>
      </c>
      <c r="C41" s="46">
        <v>24</v>
      </c>
      <c r="D41" s="47" t="s">
        <v>7110</v>
      </c>
      <c r="E41" s="48">
        <v>176</v>
      </c>
      <c r="F41" s="49">
        <v>216.66</v>
      </c>
      <c r="G41" s="50" t="s">
        <v>7159</v>
      </c>
      <c r="H41" s="51">
        <v>2438</v>
      </c>
      <c r="I41" s="45">
        <v>3353</v>
      </c>
      <c r="J41" s="52">
        <v>31</v>
      </c>
      <c r="K41" s="53">
        <f t="shared" si="0"/>
        <v>253.41303400000001</v>
      </c>
      <c r="L41" s="54" t="s">
        <v>7169</v>
      </c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7163</v>
      </c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7183</v>
      </c>
      <c r="B44" s="45" t="s">
        <v>7184</v>
      </c>
      <c r="C44" s="46">
        <v>43</v>
      </c>
      <c r="D44" s="47" t="s">
        <v>7185</v>
      </c>
      <c r="E44" s="48">
        <v>1</v>
      </c>
      <c r="F44" s="49">
        <v>0.56000000000000005</v>
      </c>
      <c r="G44" s="50"/>
      <c r="H44" s="51"/>
      <c r="I44" s="45"/>
      <c r="J44" s="52"/>
      <c r="K44" s="53">
        <f t="shared" si="0"/>
        <v>0</v>
      </c>
      <c r="L44" s="54" t="s">
        <v>7187</v>
      </c>
    </row>
    <row r="45" spans="1:12" s="55" customFormat="1" ht="19.5" customHeight="1" x14ac:dyDescent="0.3">
      <c r="A45" s="44"/>
      <c r="B45" s="45"/>
      <c r="C45" s="46">
        <v>47</v>
      </c>
      <c r="D45" s="47" t="s">
        <v>7186</v>
      </c>
      <c r="E45" s="48">
        <v>1</v>
      </c>
      <c r="F45" s="49">
        <v>1.78</v>
      </c>
      <c r="G45" s="50"/>
      <c r="H45" s="51"/>
      <c r="I45" s="45"/>
      <c r="J45" s="52"/>
      <c r="K45" s="53">
        <f t="shared" si="0"/>
        <v>0</v>
      </c>
      <c r="L45" s="54" t="s">
        <v>7187</v>
      </c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7188</v>
      </c>
      <c r="B47" s="45" t="s">
        <v>7189</v>
      </c>
      <c r="C47" s="46">
        <v>22</v>
      </c>
      <c r="D47" s="47" t="s">
        <v>7190</v>
      </c>
      <c r="E47" s="48">
        <v>7</v>
      </c>
      <c r="F47" s="49">
        <v>19.04</v>
      </c>
      <c r="G47" s="50" t="s">
        <v>49</v>
      </c>
      <c r="H47" s="51">
        <v>1981</v>
      </c>
      <c r="I47" s="45">
        <v>3048</v>
      </c>
      <c r="J47" s="52">
        <v>27</v>
      </c>
      <c r="K47" s="53">
        <f t="shared" si="0"/>
        <v>163.02837600000004</v>
      </c>
      <c r="L47" s="54" t="s">
        <v>7197</v>
      </c>
    </row>
    <row r="48" spans="1:12" s="55" customFormat="1" ht="19.5" customHeight="1" x14ac:dyDescent="0.3">
      <c r="A48" s="44" t="s">
        <v>7191</v>
      </c>
      <c r="B48" s="45" t="s">
        <v>7189</v>
      </c>
      <c r="C48" s="46">
        <v>22</v>
      </c>
      <c r="D48" s="47" t="s">
        <v>7190</v>
      </c>
      <c r="E48" s="48">
        <v>8</v>
      </c>
      <c r="F48" s="49">
        <v>21.76</v>
      </c>
      <c r="G48" s="50" t="s">
        <v>7198</v>
      </c>
      <c r="H48" s="51">
        <v>1981</v>
      </c>
      <c r="I48" s="45">
        <v>3048</v>
      </c>
      <c r="J48" s="52">
        <v>27</v>
      </c>
      <c r="K48" s="53">
        <f t="shared" si="0"/>
        <v>163.02837600000004</v>
      </c>
      <c r="L48" s="54" t="s">
        <v>7197</v>
      </c>
    </row>
    <row r="49" spans="1:12" s="55" customFormat="1" ht="19.5" customHeight="1" x14ac:dyDescent="0.3">
      <c r="A49" s="44" t="s">
        <v>7192</v>
      </c>
      <c r="B49" s="45" t="s">
        <v>7189</v>
      </c>
      <c r="C49" s="46">
        <v>22</v>
      </c>
      <c r="D49" s="47" t="s">
        <v>7190</v>
      </c>
      <c r="E49" s="48">
        <v>7</v>
      </c>
      <c r="F49" s="49">
        <v>19.04</v>
      </c>
      <c r="G49" s="50"/>
      <c r="H49" s="51"/>
      <c r="I49" s="45"/>
      <c r="J49" s="52"/>
      <c r="K49" s="53">
        <f t="shared" si="0"/>
        <v>0</v>
      </c>
      <c r="L49" s="54" t="s">
        <v>7197</v>
      </c>
    </row>
    <row r="50" spans="1:12" s="55" customFormat="1" ht="19.5" customHeight="1" x14ac:dyDescent="0.3">
      <c r="A50" s="44" t="s">
        <v>7193</v>
      </c>
      <c r="B50" s="45" t="s">
        <v>7189</v>
      </c>
      <c r="C50" s="46">
        <v>22</v>
      </c>
      <c r="D50" s="47" t="s">
        <v>7190</v>
      </c>
      <c r="E50" s="48">
        <v>8</v>
      </c>
      <c r="F50" s="49">
        <v>21.76</v>
      </c>
      <c r="G50" s="50"/>
      <c r="H50" s="51"/>
      <c r="I50" s="45"/>
      <c r="J50" s="52"/>
      <c r="K50" s="53">
        <f t="shared" si="0"/>
        <v>0</v>
      </c>
      <c r="L50" s="54" t="s">
        <v>7197</v>
      </c>
    </row>
    <row r="51" spans="1:12" s="55" customFormat="1" ht="19.5" customHeight="1" x14ac:dyDescent="0.3">
      <c r="A51" s="44" t="s">
        <v>7194</v>
      </c>
      <c r="B51" s="45" t="s">
        <v>7189</v>
      </c>
      <c r="C51" s="46">
        <v>22</v>
      </c>
      <c r="D51" s="47" t="s">
        <v>7190</v>
      </c>
      <c r="E51" s="48">
        <v>8</v>
      </c>
      <c r="F51" s="49">
        <v>22.24</v>
      </c>
      <c r="G51" s="50"/>
      <c r="H51" s="51"/>
      <c r="I51" s="45"/>
      <c r="J51" s="52"/>
      <c r="K51" s="53">
        <f t="shared" si="0"/>
        <v>0</v>
      </c>
      <c r="L51" s="54" t="s">
        <v>7197</v>
      </c>
    </row>
    <row r="52" spans="1:12" s="55" customFormat="1" ht="19.5" customHeight="1" x14ac:dyDescent="0.3">
      <c r="A52" s="44" t="s">
        <v>7195</v>
      </c>
      <c r="B52" s="45" t="s">
        <v>7189</v>
      </c>
      <c r="C52" s="46">
        <v>22</v>
      </c>
      <c r="D52" s="47" t="s">
        <v>7190</v>
      </c>
      <c r="E52" s="48">
        <v>7</v>
      </c>
      <c r="F52" s="49">
        <v>19.46</v>
      </c>
      <c r="G52" s="50"/>
      <c r="H52" s="51"/>
      <c r="I52" s="45"/>
      <c r="J52" s="52"/>
      <c r="K52" s="53">
        <f t="shared" si="0"/>
        <v>0</v>
      </c>
      <c r="L52" s="54" t="s">
        <v>7197</v>
      </c>
    </row>
    <row r="53" spans="1:12" s="55" customFormat="1" ht="19.5" customHeight="1" x14ac:dyDescent="0.3">
      <c r="A53" s="44" t="s">
        <v>7196</v>
      </c>
      <c r="B53" s="45" t="s">
        <v>7189</v>
      </c>
      <c r="C53" s="46">
        <v>22</v>
      </c>
      <c r="D53" s="47" t="s">
        <v>7190</v>
      </c>
      <c r="E53" s="48">
        <v>8</v>
      </c>
      <c r="F53" s="49">
        <v>22.24</v>
      </c>
      <c r="G53" s="50"/>
      <c r="H53" s="51"/>
      <c r="I53" s="45"/>
      <c r="J53" s="52"/>
      <c r="K53" s="53">
        <f t="shared" si="0"/>
        <v>0</v>
      </c>
      <c r="L53" s="54" t="s">
        <v>7197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7188</v>
      </c>
      <c r="B55" s="45" t="s">
        <v>7189</v>
      </c>
      <c r="C55" s="46">
        <v>22</v>
      </c>
      <c r="D55" s="47" t="s">
        <v>7179</v>
      </c>
      <c r="E55" s="48">
        <v>83</v>
      </c>
      <c r="F55" s="49">
        <v>82.08</v>
      </c>
      <c r="G55" s="50" t="s">
        <v>7180</v>
      </c>
      <c r="H55" s="51">
        <v>1981</v>
      </c>
      <c r="I55" s="45">
        <v>3353</v>
      </c>
      <c r="J55" s="52">
        <v>14</v>
      </c>
      <c r="K55" s="53">
        <f t="shared" si="0"/>
        <v>92.992102000000003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 t="s">
        <v>7199</v>
      </c>
      <c r="H56" s="51">
        <v>1981</v>
      </c>
      <c r="I56" s="45">
        <v>3353</v>
      </c>
      <c r="J56" s="52">
        <v>14</v>
      </c>
      <c r="K56" s="53">
        <f t="shared" si="0"/>
        <v>92.992102000000003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9" customFormat="1" ht="20.100000000000001" customHeight="1" x14ac:dyDescent="0.3">
      <c r="A62" s="44"/>
      <c r="B62" s="45"/>
      <c r="C62" s="46"/>
      <c r="D62" s="47"/>
      <c r="E62" s="56"/>
      <c r="F62" s="57"/>
      <c r="G62" s="50"/>
      <c r="H62" s="51"/>
      <c r="I62" s="45"/>
      <c r="J62" s="52"/>
      <c r="K62" s="53">
        <f t="shared" si="0"/>
        <v>0</v>
      </c>
      <c r="L62" s="58">
        <f>SUM(J33:J63)</f>
        <v>165</v>
      </c>
    </row>
    <row r="63" spans="1:12" s="59" customFormat="1" ht="20.100000000000001" customHeight="1" x14ac:dyDescent="0.3">
      <c r="A63" s="44"/>
      <c r="B63" s="45"/>
      <c r="C63" s="46"/>
      <c r="D63" s="47"/>
      <c r="E63" s="60"/>
      <c r="F63" s="61"/>
      <c r="G63" s="62"/>
      <c r="H63" s="51"/>
      <c r="I63" s="45"/>
      <c r="J63" s="63"/>
      <c r="K63" s="53">
        <f t="shared" si="0"/>
        <v>0</v>
      </c>
      <c r="L63" s="64">
        <f>SUM(K33:K63)</f>
        <v>1190.5339179999999</v>
      </c>
    </row>
    <row r="64" spans="1:12" s="59" customFormat="1" ht="20.100000000000001" customHeight="1" thickBot="1" x14ac:dyDescent="0.35">
      <c r="A64" s="114"/>
      <c r="B64" s="115"/>
      <c r="C64" s="115"/>
      <c r="D64" s="115"/>
      <c r="E64" s="115"/>
      <c r="F64" s="115"/>
      <c r="G64" s="115"/>
      <c r="H64" s="115"/>
      <c r="I64" s="115"/>
      <c r="J64" s="65">
        <f>SUM(J7:J63)</f>
        <v>292</v>
      </c>
      <c r="K64" s="66">
        <f>SUM(K7:K63)</f>
        <v>2119.938576</v>
      </c>
      <c r="L64" s="67"/>
    </row>
    <row r="65" spans="1:12" s="59" customFormat="1" ht="20.100000000000001" customHeight="1" thickTop="1" thickBot="1" x14ac:dyDescent="0.35">
      <c r="A65" s="116" t="s">
        <v>52</v>
      </c>
      <c r="B65" s="117"/>
      <c r="C65" s="68"/>
      <c r="D65" s="118">
        <f>J64</f>
        <v>292</v>
      </c>
      <c r="E65" s="119"/>
      <c r="F65" s="119"/>
      <c r="G65" s="120"/>
      <c r="H65" s="121"/>
      <c r="I65" s="121"/>
      <c r="J65" s="122"/>
      <c r="K65" s="119"/>
      <c r="L65" s="123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71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72"/>
      <c r="F71" s="5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5"/>
      <c r="G72" s="73"/>
      <c r="H72" s="5"/>
      <c r="I72" s="74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72"/>
      <c r="I76" s="72"/>
      <c r="J76" s="5"/>
      <c r="K76" s="5"/>
      <c r="L76" s="5"/>
    </row>
    <row r="77" spans="1:12" ht="20.100000000000001" customHeight="1" x14ac:dyDescent="0.3">
      <c r="A77" s="113"/>
      <c r="B77" s="113"/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A80" s="113"/>
      <c r="B80" s="113"/>
      <c r="H80" s="72"/>
      <c r="I80" s="72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J85" s="5"/>
      <c r="K85" s="5"/>
      <c r="L85" s="5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5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5" customFormat="1" ht="19.5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ht="19.5" customHeight="1" x14ac:dyDescent="0.3"/>
    <row r="93" spans="1:12" ht="19.5" customHeight="1" x14ac:dyDescent="0.3"/>
    <row r="94" spans="1:12" ht="19.5" customHeight="1" x14ac:dyDescent="0.3"/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</sheetData>
  <mergeCells count="30">
    <mergeCell ref="A80:B80"/>
    <mergeCell ref="A81:B81"/>
    <mergeCell ref="A71:B71"/>
    <mergeCell ref="A72:B72"/>
    <mergeCell ref="A73:B73"/>
    <mergeCell ref="A75:B75"/>
    <mergeCell ref="A76:B76"/>
    <mergeCell ref="A77:B77"/>
    <mergeCell ref="A70:B7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4:I64"/>
    <mergeCell ref="A65:B65"/>
    <mergeCell ref="D65:G65"/>
    <mergeCell ref="H65:J65"/>
    <mergeCell ref="K65:L65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L171"/>
  <sheetViews>
    <sheetView view="pageBreakPreview" topLeftCell="A47" zoomScale="85" zoomScaleNormal="100" zoomScaleSheetLayoutView="85" workbookViewId="0">
      <selection activeCell="A66" sqref="A66:J66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46239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9" si="0">(H7/1000*I7/1000)*J7</f>
        <v>0</v>
      </c>
      <c r="L7" s="26">
        <f>SUM(J7:J39)</f>
        <v>122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SUM(K7:K39)</f>
        <v>906.15814300000011</v>
      </c>
    </row>
    <row r="9" spans="1:12" s="27" customFormat="1" ht="19.5" customHeight="1" x14ac:dyDescent="0.3">
      <c r="A9" s="28" t="s">
        <v>7089</v>
      </c>
      <c r="B9" s="16" t="s">
        <v>7090</v>
      </c>
      <c r="C9" s="17">
        <v>10</v>
      </c>
      <c r="D9" s="18" t="s">
        <v>7099</v>
      </c>
      <c r="E9" s="41">
        <v>2</v>
      </c>
      <c r="F9" s="42">
        <v>1.42</v>
      </c>
      <c r="G9" s="34"/>
      <c r="H9" s="35"/>
      <c r="I9" s="36"/>
      <c r="J9" s="37"/>
      <c r="K9" s="25">
        <f t="shared" si="0"/>
        <v>0</v>
      </c>
      <c r="L9" s="39" t="s">
        <v>31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7091</v>
      </c>
      <c r="B11" s="16" t="s">
        <v>1676</v>
      </c>
      <c r="C11" s="17">
        <v>22</v>
      </c>
      <c r="D11" s="18" t="s">
        <v>307</v>
      </c>
      <c r="E11" s="41">
        <v>44</v>
      </c>
      <c r="F11" s="42">
        <v>75.760000000000005</v>
      </c>
      <c r="G11" s="34" t="s">
        <v>7092</v>
      </c>
      <c r="H11" s="35">
        <v>1829</v>
      </c>
      <c r="I11" s="36">
        <v>3353</v>
      </c>
      <c r="J11" s="37">
        <v>13</v>
      </c>
      <c r="K11" s="85">
        <f t="shared" si="0"/>
        <v>79.724281000000005</v>
      </c>
      <c r="L11" s="39" t="s">
        <v>7095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/>
      <c r="L12" s="39"/>
    </row>
    <row r="13" spans="1:12" s="27" customFormat="1" ht="19.5" customHeight="1" x14ac:dyDescent="0.3">
      <c r="A13" s="28" t="s">
        <v>7091</v>
      </c>
      <c r="B13" s="16" t="s">
        <v>1676</v>
      </c>
      <c r="C13" s="17">
        <v>22</v>
      </c>
      <c r="D13" s="18" t="s">
        <v>307</v>
      </c>
      <c r="E13" s="41">
        <v>106</v>
      </c>
      <c r="F13" s="42">
        <v>45.87</v>
      </c>
      <c r="G13" s="34" t="s">
        <v>39</v>
      </c>
      <c r="H13" s="35">
        <v>1829</v>
      </c>
      <c r="I13" s="36">
        <v>3353</v>
      </c>
      <c r="J13" s="37">
        <v>8</v>
      </c>
      <c r="K13" s="85">
        <f t="shared" si="0"/>
        <v>49.061095999999999</v>
      </c>
      <c r="L13" s="39" t="s">
        <v>7093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7092</v>
      </c>
      <c r="H14" s="35">
        <v>1829</v>
      </c>
      <c r="I14" s="36">
        <v>3353</v>
      </c>
      <c r="J14" s="37">
        <v>8</v>
      </c>
      <c r="K14" s="85">
        <f t="shared" si="0"/>
        <v>49.061095999999999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320</v>
      </c>
      <c r="E15" s="41">
        <v>104</v>
      </c>
      <c r="F15" s="42">
        <v>44.88</v>
      </c>
      <c r="G15" s="34" t="s">
        <v>39</v>
      </c>
      <c r="H15" s="35">
        <v>1829</v>
      </c>
      <c r="I15" s="36">
        <v>3353</v>
      </c>
      <c r="J15" s="37">
        <v>7</v>
      </c>
      <c r="K15" s="85">
        <f t="shared" ref="K15:K16" si="1">(H15/1000*I15/1000)*J15</f>
        <v>42.928458999999997</v>
      </c>
      <c r="L15" s="39" t="s">
        <v>7094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86</v>
      </c>
      <c r="H16" s="35">
        <v>1829</v>
      </c>
      <c r="I16" s="36">
        <v>3353</v>
      </c>
      <c r="J16" s="37">
        <v>7</v>
      </c>
      <c r="K16" s="85">
        <f t="shared" si="1"/>
        <v>42.928458999999997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/>
      <c r="L17" s="39"/>
    </row>
    <row r="18" spans="1:12" s="27" customFormat="1" ht="19.5" customHeight="1" x14ac:dyDescent="0.3">
      <c r="A18" s="28" t="s">
        <v>7096</v>
      </c>
      <c r="B18" s="16" t="s">
        <v>7097</v>
      </c>
      <c r="C18" s="17">
        <v>8</v>
      </c>
      <c r="D18" s="18" t="s">
        <v>7098</v>
      </c>
      <c r="E18" s="41">
        <v>4</v>
      </c>
      <c r="F18" s="42">
        <v>7.6</v>
      </c>
      <c r="G18" s="34" t="s">
        <v>7100</v>
      </c>
      <c r="H18" s="35">
        <v>2438</v>
      </c>
      <c r="I18" s="36">
        <v>3048</v>
      </c>
      <c r="J18" s="37">
        <v>2</v>
      </c>
      <c r="K18" s="85">
        <f t="shared" si="0"/>
        <v>14.862048000000001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85">
        <f t="shared" si="0"/>
        <v>0</v>
      </c>
      <c r="L19" s="39"/>
    </row>
    <row r="20" spans="1:12" s="27" customFormat="1" ht="19.5" customHeight="1" x14ac:dyDescent="0.3">
      <c r="A20" s="28" t="s">
        <v>7101</v>
      </c>
      <c r="B20" s="16" t="s">
        <v>7102</v>
      </c>
      <c r="C20" s="17">
        <v>5</v>
      </c>
      <c r="D20" s="18" t="s">
        <v>7103</v>
      </c>
      <c r="E20" s="41">
        <v>345</v>
      </c>
      <c r="F20" s="42">
        <v>360.7</v>
      </c>
      <c r="G20" s="34" t="s">
        <v>86</v>
      </c>
      <c r="H20" s="35">
        <v>2438</v>
      </c>
      <c r="I20" s="36">
        <v>3353</v>
      </c>
      <c r="J20" s="37">
        <v>50</v>
      </c>
      <c r="K20" s="85">
        <f t="shared" si="0"/>
        <v>408.73070000000001</v>
      </c>
      <c r="L20" s="39" t="s">
        <v>7104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 t="s">
        <v>7105</v>
      </c>
      <c r="B22" s="16" t="s">
        <v>7106</v>
      </c>
      <c r="C22" s="17">
        <v>16</v>
      </c>
      <c r="D22" s="18" t="s">
        <v>7107</v>
      </c>
      <c r="E22" s="41">
        <v>3</v>
      </c>
      <c r="F22" s="42">
        <v>2.72</v>
      </c>
      <c r="G22" s="34"/>
      <c r="H22" s="35"/>
      <c r="I22" s="36"/>
      <c r="J22" s="37"/>
      <c r="K22" s="85">
        <f t="shared" si="0"/>
        <v>0</v>
      </c>
      <c r="L22" s="39" t="s">
        <v>139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/>
      <c r="L23" s="39"/>
    </row>
    <row r="24" spans="1:12" s="27" customFormat="1" ht="19.5" customHeight="1" x14ac:dyDescent="0.3">
      <c r="A24" s="28" t="s">
        <v>7129</v>
      </c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 t="s">
        <v>7131</v>
      </c>
      <c r="B25" s="16" t="s">
        <v>7132</v>
      </c>
      <c r="C25" s="17">
        <v>10</v>
      </c>
      <c r="D25" s="18" t="s">
        <v>7133</v>
      </c>
      <c r="E25" s="41">
        <v>20</v>
      </c>
      <c r="F25" s="42">
        <v>43.39</v>
      </c>
      <c r="G25" s="34" t="s">
        <v>7134</v>
      </c>
      <c r="H25" s="35">
        <v>2438</v>
      </c>
      <c r="I25" s="36">
        <v>3353</v>
      </c>
      <c r="J25" s="37">
        <v>5</v>
      </c>
      <c r="K25" s="85">
        <f t="shared" si="0"/>
        <v>40.873069999999998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 t="s">
        <v>7134</v>
      </c>
      <c r="H26" s="35">
        <v>2134</v>
      </c>
      <c r="I26" s="36">
        <v>3353</v>
      </c>
      <c r="J26" s="37">
        <v>2</v>
      </c>
      <c r="K26" s="85">
        <f t="shared" si="0"/>
        <v>14.310604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/>
      <c r="L27" s="39"/>
    </row>
    <row r="28" spans="1:12" s="27" customFormat="1" ht="19.5" customHeight="1" x14ac:dyDescent="0.3">
      <c r="A28" s="28" t="s">
        <v>7135</v>
      </c>
      <c r="B28" s="16" t="s">
        <v>7136</v>
      </c>
      <c r="C28" s="17">
        <v>10</v>
      </c>
      <c r="D28" s="18" t="s">
        <v>7133</v>
      </c>
      <c r="E28" s="41">
        <v>21</v>
      </c>
      <c r="F28" s="42">
        <v>7.32</v>
      </c>
      <c r="G28" s="34" t="s">
        <v>7134</v>
      </c>
      <c r="H28" s="35">
        <v>2438</v>
      </c>
      <c r="I28" s="36">
        <v>3353</v>
      </c>
      <c r="J28" s="37">
        <v>1</v>
      </c>
      <c r="K28" s="85">
        <f t="shared" si="0"/>
        <v>8.174614</v>
      </c>
      <c r="L28" s="39"/>
    </row>
    <row r="29" spans="1:12" s="27" customFormat="1" ht="19.5" customHeight="1" x14ac:dyDescent="0.3">
      <c r="A29" s="28"/>
      <c r="B29" s="16"/>
      <c r="C29" s="17">
        <v>12</v>
      </c>
      <c r="D29" s="18" t="s">
        <v>7137</v>
      </c>
      <c r="E29" s="41">
        <v>2</v>
      </c>
      <c r="F29" s="42">
        <v>3.98</v>
      </c>
      <c r="G29" s="34" t="s">
        <v>7138</v>
      </c>
      <c r="H29" s="35">
        <v>2743</v>
      </c>
      <c r="I29" s="36">
        <v>3048</v>
      </c>
      <c r="J29" s="37">
        <v>1</v>
      </c>
      <c r="K29" s="85">
        <f t="shared" si="0"/>
        <v>8.3606639999999981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0"/>
        <v>0</v>
      </c>
      <c r="L30" s="39"/>
    </row>
    <row r="31" spans="1:12" s="27" customFormat="1" ht="19.5" customHeight="1" x14ac:dyDescent="0.3">
      <c r="A31" s="28" t="s">
        <v>7139</v>
      </c>
      <c r="B31" s="16" t="s">
        <v>7132</v>
      </c>
      <c r="C31" s="17">
        <v>10</v>
      </c>
      <c r="D31" s="18" t="s">
        <v>7133</v>
      </c>
      <c r="E31" s="41">
        <v>21</v>
      </c>
      <c r="F31" s="42">
        <v>43.07</v>
      </c>
      <c r="G31" s="34" t="s">
        <v>7134</v>
      </c>
      <c r="H31" s="35">
        <v>2438</v>
      </c>
      <c r="I31" s="36">
        <v>3353</v>
      </c>
      <c r="J31" s="37">
        <v>6</v>
      </c>
      <c r="K31" s="85">
        <f t="shared" si="0"/>
        <v>49.047684000000004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</row>
    <row r="33" spans="1:12" s="27" customFormat="1" ht="19.5" customHeight="1" x14ac:dyDescent="0.3">
      <c r="A33" s="28" t="s">
        <v>7140</v>
      </c>
      <c r="B33" s="16" t="s">
        <v>7132</v>
      </c>
      <c r="C33" s="17">
        <v>10</v>
      </c>
      <c r="D33" s="18" t="s">
        <v>7133</v>
      </c>
      <c r="E33" s="41">
        <v>42</v>
      </c>
      <c r="F33" s="42">
        <v>87.12</v>
      </c>
      <c r="G33" s="34" t="s">
        <v>7134</v>
      </c>
      <c r="H33" s="35">
        <v>2438</v>
      </c>
      <c r="I33" s="36">
        <v>3353</v>
      </c>
      <c r="J33" s="37">
        <v>12</v>
      </c>
      <c r="K33" s="85">
        <f t="shared" si="0"/>
        <v>98.095368000000008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8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8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8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/>
      <c r="B39" s="29"/>
      <c r="C39" s="30"/>
      <c r="D39" s="31"/>
      <c r="E39" s="41"/>
      <c r="F39" s="42"/>
      <c r="G39" s="43"/>
      <c r="H39" s="35"/>
      <c r="I39" s="36"/>
      <c r="J39" s="37"/>
      <c r="K39" s="25">
        <f t="shared" si="0"/>
        <v>0</v>
      </c>
      <c r="L39" s="39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7108</v>
      </c>
      <c r="B41" s="45" t="s">
        <v>7109</v>
      </c>
      <c r="C41" s="46">
        <v>24</v>
      </c>
      <c r="D41" s="47" t="s">
        <v>7110</v>
      </c>
      <c r="E41" s="48">
        <v>80</v>
      </c>
      <c r="F41" s="49">
        <v>61.08</v>
      </c>
      <c r="G41" s="50" t="s">
        <v>62</v>
      </c>
      <c r="H41" s="51">
        <v>2438</v>
      </c>
      <c r="I41" s="45">
        <v>3353</v>
      </c>
      <c r="J41" s="52">
        <v>8</v>
      </c>
      <c r="K41" s="53">
        <f t="shared" si="0"/>
        <v>65.396912</v>
      </c>
      <c r="L41" s="54" t="s">
        <v>7153</v>
      </c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7111</v>
      </c>
      <c r="B43" s="45" t="s">
        <v>6191</v>
      </c>
      <c r="C43" s="46">
        <v>24</v>
      </c>
      <c r="D43" s="47" t="s">
        <v>17</v>
      </c>
      <c r="E43" s="48">
        <v>64</v>
      </c>
      <c r="F43" s="49">
        <v>92.34</v>
      </c>
      <c r="G43" s="50" t="s">
        <v>18</v>
      </c>
      <c r="H43" s="51">
        <v>3048</v>
      </c>
      <c r="I43" s="45">
        <v>3962</v>
      </c>
      <c r="J43" s="52">
        <v>8</v>
      </c>
      <c r="K43" s="53">
        <f t="shared" si="0"/>
        <v>96.609408000000002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 t="s">
        <v>7113</v>
      </c>
      <c r="H44" s="51">
        <v>3048</v>
      </c>
      <c r="I44" s="45">
        <v>3962</v>
      </c>
      <c r="J44" s="52">
        <v>8</v>
      </c>
      <c r="K44" s="53">
        <f t="shared" si="0"/>
        <v>96.609408000000002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7112</v>
      </c>
      <c r="B46" s="45" t="s">
        <v>6191</v>
      </c>
      <c r="C46" s="46">
        <v>24</v>
      </c>
      <c r="D46" s="47" t="s">
        <v>17</v>
      </c>
      <c r="E46" s="48">
        <v>158</v>
      </c>
      <c r="F46" s="49">
        <v>120.94</v>
      </c>
      <c r="G46" s="50" t="s">
        <v>7145</v>
      </c>
      <c r="H46" s="51">
        <v>2286</v>
      </c>
      <c r="I46" s="45">
        <v>3048</v>
      </c>
      <c r="J46" s="52">
        <v>12</v>
      </c>
      <c r="K46" s="53">
        <f t="shared" si="0"/>
        <v>83.612735999999998</v>
      </c>
      <c r="L46" s="54" t="s">
        <v>7146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 t="s">
        <v>7145</v>
      </c>
      <c r="H47" s="51">
        <v>1981</v>
      </c>
      <c r="I47" s="45">
        <v>3353</v>
      </c>
      <c r="J47" s="52">
        <v>7</v>
      </c>
      <c r="K47" s="53">
        <f t="shared" si="0"/>
        <v>46.496051000000001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7086</v>
      </c>
      <c r="B49" s="45" t="s">
        <v>6191</v>
      </c>
      <c r="C49" s="46">
        <v>24</v>
      </c>
      <c r="D49" s="47" t="s">
        <v>17</v>
      </c>
      <c r="E49" s="48">
        <v>21</v>
      </c>
      <c r="F49" s="49">
        <v>6.36</v>
      </c>
      <c r="G49" s="50" t="s">
        <v>7147</v>
      </c>
      <c r="H49" s="51">
        <v>1981</v>
      </c>
      <c r="I49" s="45">
        <v>3353</v>
      </c>
      <c r="J49" s="52">
        <v>1</v>
      </c>
      <c r="K49" s="53">
        <f t="shared" si="0"/>
        <v>6.6422930000000004</v>
      </c>
      <c r="L49" s="54" t="s">
        <v>7148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7114</v>
      </c>
      <c r="B51" s="45" t="s">
        <v>7115</v>
      </c>
      <c r="C51" s="46">
        <v>29.76</v>
      </c>
      <c r="D51" s="47" t="s">
        <v>7116</v>
      </c>
      <c r="E51" s="48">
        <v>1</v>
      </c>
      <c r="F51" s="49">
        <v>2.4700000000000002</v>
      </c>
      <c r="G51" s="50" t="s">
        <v>7117</v>
      </c>
      <c r="H51" s="51">
        <v>2438</v>
      </c>
      <c r="I51" s="45">
        <v>3353</v>
      </c>
      <c r="J51" s="52">
        <v>1</v>
      </c>
      <c r="K51" s="53">
        <f t="shared" si="0"/>
        <v>8.174614</v>
      </c>
      <c r="L51" s="54" t="s">
        <v>7118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7119</v>
      </c>
      <c r="B53" s="45" t="s">
        <v>7120</v>
      </c>
      <c r="C53" s="46">
        <v>28</v>
      </c>
      <c r="D53" s="47" t="s">
        <v>7121</v>
      </c>
      <c r="E53" s="48">
        <v>4</v>
      </c>
      <c r="F53" s="49">
        <v>7.74</v>
      </c>
      <c r="G53" s="50" t="s">
        <v>7122</v>
      </c>
      <c r="H53" s="51">
        <v>2438</v>
      </c>
      <c r="I53" s="45">
        <v>3353</v>
      </c>
      <c r="J53" s="52">
        <v>1</v>
      </c>
      <c r="K53" s="53">
        <f t="shared" si="0"/>
        <v>8.174614</v>
      </c>
      <c r="L53" s="54" t="s">
        <v>7149</v>
      </c>
    </row>
    <row r="54" spans="1:12" s="55" customFormat="1" ht="19.5" customHeight="1" x14ac:dyDescent="0.3">
      <c r="A54" s="44" t="s">
        <v>5686</v>
      </c>
      <c r="B54" s="45" t="s">
        <v>1890</v>
      </c>
      <c r="C54" s="46">
        <v>28</v>
      </c>
      <c r="D54" s="47" t="s">
        <v>3770</v>
      </c>
      <c r="E54" s="48">
        <v>1</v>
      </c>
      <c r="F54" s="49">
        <f>19.04/28</f>
        <v>0.67999999999999994</v>
      </c>
      <c r="G54" s="50"/>
      <c r="H54" s="51"/>
      <c r="I54" s="45"/>
      <c r="J54" s="52"/>
      <c r="K54" s="53">
        <f t="shared" si="0"/>
        <v>0</v>
      </c>
      <c r="L54" s="54" t="s">
        <v>7150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7123</v>
      </c>
      <c r="B56" s="45" t="s">
        <v>7124</v>
      </c>
      <c r="C56" s="46">
        <v>24</v>
      </c>
      <c r="D56" s="47" t="s">
        <v>7144</v>
      </c>
      <c r="E56" s="48">
        <v>1</v>
      </c>
      <c r="F56" s="49">
        <v>0.65</v>
      </c>
      <c r="G56" s="50"/>
      <c r="H56" s="51"/>
      <c r="I56" s="45"/>
      <c r="J56" s="52"/>
      <c r="K56" s="53">
        <f t="shared" si="0"/>
        <v>0</v>
      </c>
      <c r="L56" s="54" t="s">
        <v>5969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7030</v>
      </c>
      <c r="B58" s="45" t="s">
        <v>7126</v>
      </c>
      <c r="C58" s="46">
        <v>28</v>
      </c>
      <c r="D58" s="47" t="s">
        <v>7141</v>
      </c>
      <c r="E58" s="48">
        <v>2</v>
      </c>
      <c r="F58" s="49">
        <v>2.82</v>
      </c>
      <c r="G58" s="50" t="s">
        <v>655</v>
      </c>
      <c r="H58" s="51">
        <v>2134</v>
      </c>
      <c r="I58" s="45">
        <v>3048</v>
      </c>
      <c r="J58" s="52">
        <v>1</v>
      </c>
      <c r="K58" s="53">
        <f t="shared" si="0"/>
        <v>6.5044319999999995</v>
      </c>
      <c r="L58" s="54" t="s">
        <v>7143</v>
      </c>
    </row>
    <row r="59" spans="1:12" s="55" customFormat="1" ht="19.5" customHeight="1" x14ac:dyDescent="0.3">
      <c r="A59" s="44" t="s">
        <v>7125</v>
      </c>
      <c r="B59" s="45" t="s">
        <v>7126</v>
      </c>
      <c r="C59" s="46">
        <v>28</v>
      </c>
      <c r="D59" s="47" t="s">
        <v>7141</v>
      </c>
      <c r="E59" s="48">
        <v>6</v>
      </c>
      <c r="F59" s="49">
        <v>3.88</v>
      </c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7127</v>
      </c>
      <c r="B61" s="45" t="s">
        <v>7128</v>
      </c>
      <c r="C61" s="46">
        <v>24</v>
      </c>
      <c r="D61" s="47" t="s">
        <v>7142</v>
      </c>
      <c r="E61" s="48">
        <v>2</v>
      </c>
      <c r="F61" s="49">
        <v>2.75</v>
      </c>
      <c r="G61" s="50"/>
      <c r="H61" s="51"/>
      <c r="I61" s="45"/>
      <c r="J61" s="52"/>
      <c r="K61" s="53">
        <f t="shared" si="0"/>
        <v>0</v>
      </c>
      <c r="L61" s="54" t="s">
        <v>5804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7130</v>
      </c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7108</v>
      </c>
      <c r="B64" s="45" t="s">
        <v>3762</v>
      </c>
      <c r="C64" s="46">
        <v>24</v>
      </c>
      <c r="D64" s="47" t="s">
        <v>7110</v>
      </c>
      <c r="E64" s="48">
        <v>80</v>
      </c>
      <c r="F64" s="49">
        <v>61.08</v>
      </c>
      <c r="G64" s="50" t="s">
        <v>7147</v>
      </c>
      <c r="H64" s="51">
        <v>2438</v>
      </c>
      <c r="I64" s="45">
        <v>3353</v>
      </c>
      <c r="J64" s="52">
        <v>8</v>
      </c>
      <c r="K64" s="53">
        <f t="shared" si="0"/>
        <v>65.396912</v>
      </c>
      <c r="L64" s="54" t="s">
        <v>7151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7152</v>
      </c>
      <c r="B66" s="45" t="s">
        <v>3762</v>
      </c>
      <c r="C66" s="46">
        <v>24</v>
      </c>
      <c r="D66" s="47" t="s">
        <v>7110</v>
      </c>
      <c r="E66" s="48">
        <v>176</v>
      </c>
      <c r="F66" s="49">
        <v>216.66</v>
      </c>
      <c r="G66" s="50" t="s">
        <v>7154</v>
      </c>
      <c r="H66" s="51">
        <v>2438</v>
      </c>
      <c r="I66" s="45">
        <v>3353</v>
      </c>
      <c r="J66" s="52">
        <v>31</v>
      </c>
      <c r="K66" s="53">
        <f t="shared" si="0"/>
        <v>253.41303400000001</v>
      </c>
      <c r="L66" s="54" t="s">
        <v>7153</v>
      </c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 t="s">
        <v>7155</v>
      </c>
      <c r="B68" s="45" t="s">
        <v>3762</v>
      </c>
      <c r="C68" s="46">
        <v>24</v>
      </c>
      <c r="D68" s="47" t="s">
        <v>7110</v>
      </c>
      <c r="E68" s="48">
        <v>170</v>
      </c>
      <c r="F68" s="49">
        <v>146.9</v>
      </c>
      <c r="G68" s="50" t="s">
        <v>7154</v>
      </c>
      <c r="H68" s="51">
        <v>2438</v>
      </c>
      <c r="I68" s="45">
        <v>3353</v>
      </c>
      <c r="J68" s="52">
        <v>11</v>
      </c>
      <c r="K68" s="53">
        <f t="shared" si="0"/>
        <v>89.920754000000002</v>
      </c>
      <c r="L68" s="54" t="s">
        <v>7153</v>
      </c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 t="s">
        <v>7154</v>
      </c>
      <c r="H69" s="51">
        <v>2438</v>
      </c>
      <c r="I69" s="45">
        <v>3048</v>
      </c>
      <c r="J69" s="52">
        <v>4</v>
      </c>
      <c r="K69" s="53">
        <f t="shared" si="0"/>
        <v>29.724096000000003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 t="s">
        <v>7154</v>
      </c>
      <c r="H70" s="51">
        <v>1981</v>
      </c>
      <c r="I70" s="45">
        <v>3353</v>
      </c>
      <c r="J70" s="52">
        <v>2</v>
      </c>
      <c r="K70" s="53">
        <f t="shared" si="0"/>
        <v>13.284586000000001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 t="s">
        <v>7154</v>
      </c>
      <c r="H71" s="51">
        <v>1829</v>
      </c>
      <c r="I71" s="45">
        <v>3353</v>
      </c>
      <c r="J71" s="52">
        <v>5</v>
      </c>
      <c r="K71" s="53">
        <f t="shared" si="0"/>
        <v>30.663184999999999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9" customFormat="1" ht="20.100000000000001" customHeight="1" x14ac:dyDescent="0.3">
      <c r="A78" s="44"/>
      <c r="B78" s="45"/>
      <c r="C78" s="46"/>
      <c r="D78" s="47"/>
      <c r="E78" s="56"/>
      <c r="F78" s="57"/>
      <c r="G78" s="50"/>
      <c r="H78" s="51"/>
      <c r="I78" s="45"/>
      <c r="J78" s="52"/>
      <c r="K78" s="53">
        <f t="shared" si="0"/>
        <v>0</v>
      </c>
      <c r="L78" s="58">
        <f>SUM(J40:J79)</f>
        <v>108</v>
      </c>
    </row>
    <row r="79" spans="1:12" s="59" customFormat="1" ht="20.100000000000001" customHeight="1" x14ac:dyDescent="0.3">
      <c r="A79" s="44"/>
      <c r="B79" s="45"/>
      <c r="C79" s="46"/>
      <c r="D79" s="47"/>
      <c r="E79" s="60"/>
      <c r="F79" s="61"/>
      <c r="G79" s="62"/>
      <c r="H79" s="51"/>
      <c r="I79" s="45"/>
      <c r="J79" s="63"/>
      <c r="K79" s="53">
        <f t="shared" si="0"/>
        <v>0</v>
      </c>
      <c r="L79" s="64">
        <f>SUM(K40:K79)</f>
        <v>900.62303500000007</v>
      </c>
    </row>
    <row r="80" spans="1:12" s="59" customFormat="1" ht="20.100000000000001" customHeight="1" thickBot="1" x14ac:dyDescent="0.35">
      <c r="A80" s="114"/>
      <c r="B80" s="115"/>
      <c r="C80" s="115"/>
      <c r="D80" s="115"/>
      <c r="E80" s="115"/>
      <c r="F80" s="115"/>
      <c r="G80" s="115"/>
      <c r="H80" s="115"/>
      <c r="I80" s="115"/>
      <c r="J80" s="65">
        <f>SUM(J7:J79)</f>
        <v>230</v>
      </c>
      <c r="K80" s="66">
        <f>SUM(K7:K79)</f>
        <v>1806.7811780000002</v>
      </c>
      <c r="L80" s="67"/>
    </row>
    <row r="81" spans="1:12" s="59" customFormat="1" ht="20.100000000000001" customHeight="1" thickTop="1" thickBot="1" x14ac:dyDescent="0.35">
      <c r="A81" s="116" t="s">
        <v>52</v>
      </c>
      <c r="B81" s="117"/>
      <c r="C81" s="68"/>
      <c r="D81" s="118">
        <f>J80</f>
        <v>230</v>
      </c>
      <c r="E81" s="119"/>
      <c r="F81" s="119"/>
      <c r="G81" s="120"/>
      <c r="H81" s="121"/>
      <c r="I81" s="121"/>
      <c r="J81" s="122"/>
      <c r="K81" s="119"/>
      <c r="L81" s="123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71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72"/>
      <c r="F87" s="5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5"/>
      <c r="F88" s="5"/>
      <c r="G88" s="73"/>
      <c r="H88" s="5"/>
      <c r="I88" s="74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70"/>
      <c r="G92" s="5"/>
      <c r="H92" s="72"/>
      <c r="I92" s="72"/>
      <c r="J92" s="5"/>
      <c r="K92" s="5"/>
      <c r="L92" s="5"/>
    </row>
    <row r="93" spans="1:12" ht="20.100000000000001" customHeight="1" x14ac:dyDescent="0.3">
      <c r="A93" s="113"/>
      <c r="B93" s="113"/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H95" s="72"/>
      <c r="I95" s="72"/>
    </row>
    <row r="96" spans="1:12" ht="20.100000000000001" customHeight="1" x14ac:dyDescent="0.3">
      <c r="A96" s="113"/>
      <c r="B96" s="113"/>
      <c r="H96" s="72"/>
      <c r="I96" s="72"/>
    </row>
    <row r="97" spans="1:12" ht="20.100000000000001" customHeight="1" x14ac:dyDescent="0.3">
      <c r="A97" s="113"/>
      <c r="B97" s="113"/>
      <c r="H97" s="72"/>
      <c r="I97" s="72"/>
    </row>
    <row r="98" spans="1:12" ht="20.100000000000001" customHeight="1" x14ac:dyDescent="0.3"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s="72" customFormat="1" ht="20.100000000000001" customHeight="1" x14ac:dyDescent="0.3">
      <c r="A101" s="69"/>
      <c r="B101" s="5"/>
      <c r="C101" s="5"/>
      <c r="D101" s="5"/>
      <c r="E101" s="5"/>
      <c r="F101" s="70"/>
      <c r="G101" s="5"/>
      <c r="J101" s="5"/>
      <c r="K101" s="5"/>
      <c r="L101" s="5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5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5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5" customFormat="1" ht="19.5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ht="19.5" customHeight="1" x14ac:dyDescent="0.3"/>
    <row r="109" spans="1:12" ht="19.5" customHeight="1" x14ac:dyDescent="0.3"/>
    <row r="110" spans="1:12" ht="19.5" customHeight="1" x14ac:dyDescent="0.3"/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6:B8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0:I80"/>
    <mergeCell ref="A81:B81"/>
    <mergeCell ref="D81:G81"/>
    <mergeCell ref="H81:J81"/>
    <mergeCell ref="K81:L81"/>
    <mergeCell ref="A96:B96"/>
    <mergeCell ref="A97:B97"/>
    <mergeCell ref="A87:B87"/>
    <mergeCell ref="A88:B88"/>
    <mergeCell ref="A89:B89"/>
    <mergeCell ref="A91:B91"/>
    <mergeCell ref="A92:B92"/>
    <mergeCell ref="A93:B93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185"/>
  <sheetViews>
    <sheetView view="pageBreakPreview" topLeftCell="A85" zoomScale="85" zoomScaleNormal="100" zoomScaleSheetLayoutView="85" workbookViewId="0">
      <selection activeCell="L90" sqref="L9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46238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93" si="0">(H7/1000*I7/1000)*J7</f>
        <v>0</v>
      </c>
      <c r="L7" s="26">
        <f>SUM(J7:J38)</f>
        <v>112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SUM(K7:K38)</f>
        <v>691.821054</v>
      </c>
    </row>
    <row r="9" spans="1:12" s="27" customFormat="1" ht="19.5" customHeight="1" x14ac:dyDescent="0.3">
      <c r="A9" s="28" t="s">
        <v>7070</v>
      </c>
      <c r="B9" s="16" t="s">
        <v>59</v>
      </c>
      <c r="C9" s="17">
        <v>22</v>
      </c>
      <c r="D9" s="18" t="s">
        <v>17</v>
      </c>
      <c r="E9" s="41">
        <v>2</v>
      </c>
      <c r="F9" s="42">
        <v>3.63</v>
      </c>
      <c r="G9" s="34" t="s">
        <v>18</v>
      </c>
      <c r="H9" s="35">
        <v>1829</v>
      </c>
      <c r="I9" s="36">
        <v>3353</v>
      </c>
      <c r="J9" s="37">
        <v>1</v>
      </c>
      <c r="K9" s="25">
        <f t="shared" si="0"/>
        <v>6.1326369999999999</v>
      </c>
      <c r="L9" s="39"/>
    </row>
    <row r="10" spans="1:12" s="27" customFormat="1" ht="19.5" customHeight="1" x14ac:dyDescent="0.3">
      <c r="A10" s="28"/>
      <c r="B10" s="16"/>
      <c r="C10" s="17">
        <v>27.76</v>
      </c>
      <c r="D10" s="18" t="s">
        <v>744</v>
      </c>
      <c r="E10" s="41">
        <v>8</v>
      </c>
      <c r="F10" s="42">
        <v>8.9600000000000009</v>
      </c>
      <c r="G10" s="34" t="s">
        <v>62</v>
      </c>
      <c r="H10" s="35">
        <v>1981</v>
      </c>
      <c r="I10" s="36">
        <v>3353</v>
      </c>
      <c r="J10" s="37">
        <v>1</v>
      </c>
      <c r="K10" s="85">
        <f t="shared" si="0"/>
        <v>6.6422930000000004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 t="s">
        <v>7071</v>
      </c>
      <c r="B12" s="16" t="s">
        <v>281</v>
      </c>
      <c r="C12" s="17">
        <v>28</v>
      </c>
      <c r="D12" s="18" t="s">
        <v>7072</v>
      </c>
      <c r="E12" s="41">
        <v>1</v>
      </c>
      <c r="F12" s="42">
        <v>0.67</v>
      </c>
      <c r="G12" s="34"/>
      <c r="H12" s="35"/>
      <c r="I12" s="36"/>
      <c r="J12" s="37"/>
      <c r="K12" s="85">
        <f t="shared" si="0"/>
        <v>0</v>
      </c>
      <c r="L12" s="39" t="s">
        <v>31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 t="s">
        <v>7062</v>
      </c>
      <c r="B14" s="16" t="s">
        <v>4209</v>
      </c>
      <c r="C14" s="17">
        <v>12</v>
      </c>
      <c r="D14" s="18" t="s">
        <v>570</v>
      </c>
      <c r="E14" s="41">
        <v>12</v>
      </c>
      <c r="F14" s="42">
        <v>10.82</v>
      </c>
      <c r="G14" s="34" t="s">
        <v>571</v>
      </c>
      <c r="H14" s="35">
        <v>2743</v>
      </c>
      <c r="I14" s="36">
        <v>3048</v>
      </c>
      <c r="J14" s="37">
        <v>2</v>
      </c>
      <c r="K14" s="85">
        <f t="shared" si="0"/>
        <v>16.721327999999996</v>
      </c>
      <c r="L14" s="39"/>
    </row>
    <row r="15" spans="1:12" s="27" customFormat="1" ht="19.5" customHeight="1" x14ac:dyDescent="0.3">
      <c r="A15" s="28"/>
      <c r="B15" s="16"/>
      <c r="C15" s="17">
        <v>24</v>
      </c>
      <c r="D15" s="18" t="s">
        <v>289</v>
      </c>
      <c r="E15" s="41">
        <v>2</v>
      </c>
      <c r="F15" s="42">
        <v>0.8</v>
      </c>
      <c r="G15" s="34"/>
      <c r="H15" s="35"/>
      <c r="I15" s="36"/>
      <c r="J15" s="37"/>
      <c r="K15" s="85">
        <f t="shared" si="0"/>
        <v>0</v>
      </c>
      <c r="L15" s="39" t="s">
        <v>31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 t="s">
        <v>7073</v>
      </c>
      <c r="B17" s="16" t="s">
        <v>306</v>
      </c>
      <c r="C17" s="17">
        <v>22</v>
      </c>
      <c r="D17" s="18" t="s">
        <v>307</v>
      </c>
      <c r="E17" s="41">
        <v>127</v>
      </c>
      <c r="F17" s="42">
        <v>99.48</v>
      </c>
      <c r="G17" s="34" t="s">
        <v>49</v>
      </c>
      <c r="H17" s="35">
        <v>1829</v>
      </c>
      <c r="I17" s="36">
        <v>3353</v>
      </c>
      <c r="J17" s="37">
        <v>18</v>
      </c>
      <c r="K17" s="85">
        <f t="shared" si="0"/>
        <v>110.387466</v>
      </c>
      <c r="L17" s="39" t="s">
        <v>321</v>
      </c>
    </row>
    <row r="18" spans="1:12" s="27" customFormat="1" ht="19.5" customHeight="1" x14ac:dyDescent="0.3">
      <c r="A18" s="28"/>
      <c r="B18" s="16"/>
      <c r="C18" s="17">
        <v>22</v>
      </c>
      <c r="D18" s="18" t="s">
        <v>320</v>
      </c>
      <c r="E18" s="41">
        <v>127</v>
      </c>
      <c r="F18" s="42">
        <v>99.48</v>
      </c>
      <c r="G18" s="34" t="s">
        <v>18</v>
      </c>
      <c r="H18" s="35">
        <v>1829</v>
      </c>
      <c r="I18" s="36">
        <v>3353</v>
      </c>
      <c r="J18" s="37">
        <v>17</v>
      </c>
      <c r="K18" s="85">
        <f t="shared" si="0"/>
        <v>104.254829</v>
      </c>
      <c r="L18" s="39" t="s">
        <v>321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 t="s">
        <v>39</v>
      </c>
      <c r="H19" s="35">
        <v>1829</v>
      </c>
      <c r="I19" s="36">
        <v>3353</v>
      </c>
      <c r="J19" s="37">
        <v>34</v>
      </c>
      <c r="K19" s="85">
        <f t="shared" si="0"/>
        <v>208.509658</v>
      </c>
      <c r="L19" s="39" t="s">
        <v>321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 t="s">
        <v>7074</v>
      </c>
      <c r="B21" s="16" t="s">
        <v>306</v>
      </c>
      <c r="C21" s="17">
        <v>22</v>
      </c>
      <c r="D21" s="18" t="s">
        <v>307</v>
      </c>
      <c r="E21" s="41">
        <v>44</v>
      </c>
      <c r="F21" s="42">
        <v>75.760000000000005</v>
      </c>
      <c r="G21" s="34" t="s">
        <v>49</v>
      </c>
      <c r="H21" s="35">
        <v>1829</v>
      </c>
      <c r="I21" s="36">
        <v>3353</v>
      </c>
      <c r="J21" s="37">
        <v>13</v>
      </c>
      <c r="K21" s="85">
        <f t="shared" si="0"/>
        <v>79.724281000000005</v>
      </c>
      <c r="L21" s="39" t="s">
        <v>7075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/>
      <c r="L22" s="39"/>
    </row>
    <row r="23" spans="1:12" s="27" customFormat="1" ht="19.5" customHeight="1" x14ac:dyDescent="0.3">
      <c r="A23" s="28" t="s">
        <v>7074</v>
      </c>
      <c r="B23" s="16" t="s">
        <v>306</v>
      </c>
      <c r="C23" s="17">
        <v>22</v>
      </c>
      <c r="D23" s="18" t="s">
        <v>320</v>
      </c>
      <c r="E23" s="41">
        <v>41</v>
      </c>
      <c r="F23" s="42">
        <v>70.27</v>
      </c>
      <c r="G23" s="34" t="s">
        <v>18</v>
      </c>
      <c r="H23" s="35">
        <v>1829</v>
      </c>
      <c r="I23" s="36">
        <v>3353</v>
      </c>
      <c r="J23" s="37">
        <v>13</v>
      </c>
      <c r="K23" s="85">
        <f t="shared" si="0"/>
        <v>79.724281000000005</v>
      </c>
      <c r="L23" s="39" t="s">
        <v>7076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39</v>
      </c>
      <c r="H24" s="35">
        <v>1829</v>
      </c>
      <c r="I24" s="36">
        <v>3353</v>
      </c>
      <c r="J24" s="37">
        <v>13</v>
      </c>
      <c r="K24" s="85">
        <f t="shared" si="0"/>
        <v>79.724281000000005</v>
      </c>
      <c r="L24" s="39" t="s">
        <v>7076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/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8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8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8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8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25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7077</v>
      </c>
      <c r="B40" s="45" t="s">
        <v>7088</v>
      </c>
      <c r="C40" s="46">
        <v>24</v>
      </c>
      <c r="D40" s="47" t="s">
        <v>89</v>
      </c>
      <c r="E40" s="48">
        <v>1</v>
      </c>
      <c r="F40" s="49">
        <v>1.51</v>
      </c>
      <c r="G40" s="50"/>
      <c r="H40" s="51"/>
      <c r="I40" s="45"/>
      <c r="J40" s="52"/>
      <c r="K40" s="53">
        <f t="shared" si="0"/>
        <v>0</v>
      </c>
      <c r="L40" s="54" t="s">
        <v>31</v>
      </c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7078</v>
      </c>
      <c r="B42" s="45" t="s">
        <v>6191</v>
      </c>
      <c r="C42" s="46">
        <v>24</v>
      </c>
      <c r="D42" s="47" t="s">
        <v>17</v>
      </c>
      <c r="E42" s="48">
        <v>97</v>
      </c>
      <c r="F42" s="49">
        <v>111.14</v>
      </c>
      <c r="G42" s="50" t="s">
        <v>18</v>
      </c>
      <c r="H42" s="51">
        <v>2286</v>
      </c>
      <c r="I42" s="45">
        <v>3048</v>
      </c>
      <c r="J42" s="52">
        <v>17</v>
      </c>
      <c r="K42" s="53">
        <f t="shared" si="0"/>
        <v>118.451376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 t="s">
        <v>19</v>
      </c>
      <c r="H43" s="51">
        <v>2286</v>
      </c>
      <c r="I43" s="45">
        <v>3048</v>
      </c>
      <c r="J43" s="52">
        <v>17</v>
      </c>
      <c r="K43" s="53">
        <f t="shared" si="0"/>
        <v>118.451376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7032</v>
      </c>
      <c r="B45" s="45" t="s">
        <v>2456</v>
      </c>
      <c r="C45" s="46">
        <v>43</v>
      </c>
      <c r="D45" s="47" t="s">
        <v>791</v>
      </c>
      <c r="E45" s="48">
        <v>4</v>
      </c>
      <c r="F45" s="49">
        <v>4.42</v>
      </c>
      <c r="G45" s="50" t="s">
        <v>170</v>
      </c>
      <c r="H45" s="51">
        <v>2134</v>
      </c>
      <c r="I45" s="45">
        <v>3048</v>
      </c>
      <c r="J45" s="52">
        <v>2</v>
      </c>
      <c r="K45" s="53">
        <f t="shared" si="0"/>
        <v>13.008863999999999</v>
      </c>
      <c r="L45" s="54" t="s">
        <v>7079</v>
      </c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 t="s">
        <v>49</v>
      </c>
      <c r="H46" s="51">
        <v>2134</v>
      </c>
      <c r="I46" s="45">
        <v>3048</v>
      </c>
      <c r="J46" s="52">
        <v>1</v>
      </c>
      <c r="K46" s="53">
        <f t="shared" si="0"/>
        <v>6.5044319999999995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7032</v>
      </c>
      <c r="B48" s="45" t="s">
        <v>2456</v>
      </c>
      <c r="C48" s="46">
        <v>43</v>
      </c>
      <c r="D48" s="47" t="s">
        <v>791</v>
      </c>
      <c r="E48" s="48">
        <v>1</v>
      </c>
      <c r="F48" s="49">
        <v>0.28000000000000003</v>
      </c>
      <c r="G48" s="50" t="s">
        <v>49</v>
      </c>
      <c r="H48" s="51">
        <v>1981</v>
      </c>
      <c r="I48" s="45">
        <v>3353</v>
      </c>
      <c r="J48" s="52">
        <v>1</v>
      </c>
      <c r="K48" s="53">
        <f t="shared" si="0"/>
        <v>6.6422930000000004</v>
      </c>
      <c r="L48" s="54" t="s">
        <v>1415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7016</v>
      </c>
      <c r="B50" s="45" t="s">
        <v>2456</v>
      </c>
      <c r="C50" s="46">
        <v>43</v>
      </c>
      <c r="D50" s="47" t="s">
        <v>791</v>
      </c>
      <c r="E50" s="48">
        <v>1</v>
      </c>
      <c r="F50" s="49">
        <v>0.74</v>
      </c>
      <c r="G50" s="50"/>
      <c r="H50" s="51"/>
      <c r="I50" s="45"/>
      <c r="J50" s="52"/>
      <c r="K50" s="53">
        <f t="shared" si="0"/>
        <v>0</v>
      </c>
      <c r="L50" s="54" t="s">
        <v>7080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7081</v>
      </c>
      <c r="B52" s="45" t="s">
        <v>191</v>
      </c>
      <c r="C52" s="46">
        <v>24</v>
      </c>
      <c r="D52" s="47" t="s">
        <v>307</v>
      </c>
      <c r="E52" s="48">
        <v>1</v>
      </c>
      <c r="F52" s="49">
        <v>3.78</v>
      </c>
      <c r="G52" s="50" t="s">
        <v>49</v>
      </c>
      <c r="H52" s="51">
        <v>1981</v>
      </c>
      <c r="I52" s="45">
        <v>3353</v>
      </c>
      <c r="J52" s="52">
        <v>1</v>
      </c>
      <c r="K52" s="53">
        <f t="shared" si="0"/>
        <v>6.6422930000000004</v>
      </c>
      <c r="L52" s="54" t="s">
        <v>7082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4327</v>
      </c>
      <c r="B54" s="45" t="s">
        <v>1890</v>
      </c>
      <c r="C54" s="46">
        <v>28</v>
      </c>
      <c r="D54" s="47" t="s">
        <v>1891</v>
      </c>
      <c r="E54" s="48">
        <v>1</v>
      </c>
      <c r="F54" s="49">
        <v>1.86</v>
      </c>
      <c r="G54" s="50" t="s">
        <v>1892</v>
      </c>
      <c r="H54" s="51">
        <v>2438</v>
      </c>
      <c r="I54" s="45">
        <v>3353</v>
      </c>
      <c r="J54" s="52">
        <v>1</v>
      </c>
      <c r="K54" s="53">
        <f t="shared" si="0"/>
        <v>8.174614</v>
      </c>
      <c r="L54" s="54" t="s">
        <v>831</v>
      </c>
    </row>
    <row r="55" spans="1:12" s="55" customFormat="1" ht="19.5" customHeight="1" x14ac:dyDescent="0.3">
      <c r="A55" s="44" t="s">
        <v>7010</v>
      </c>
      <c r="B55" s="45" t="s">
        <v>1890</v>
      </c>
      <c r="C55" s="46">
        <v>28</v>
      </c>
      <c r="D55" s="47" t="s">
        <v>1891</v>
      </c>
      <c r="E55" s="48">
        <v>1</v>
      </c>
      <c r="F55" s="49">
        <v>0.89</v>
      </c>
      <c r="G55" s="50"/>
      <c r="H55" s="51"/>
      <c r="I55" s="45"/>
      <c r="J55" s="52"/>
      <c r="K55" s="53">
        <f t="shared" si="0"/>
        <v>0</v>
      </c>
      <c r="L55" s="54" t="s">
        <v>831</v>
      </c>
    </row>
    <row r="56" spans="1:12" s="55" customFormat="1" ht="19.5" customHeight="1" x14ac:dyDescent="0.3">
      <c r="A56" s="44" t="s">
        <v>6388</v>
      </c>
      <c r="B56" s="45" t="s">
        <v>1890</v>
      </c>
      <c r="C56" s="46">
        <v>28</v>
      </c>
      <c r="D56" s="47" t="s">
        <v>6727</v>
      </c>
      <c r="E56" s="48">
        <v>2</v>
      </c>
      <c r="F56" s="49">
        <v>3.8</v>
      </c>
      <c r="G56" s="50"/>
      <c r="H56" s="51"/>
      <c r="I56" s="45"/>
      <c r="J56" s="52"/>
      <c r="K56" s="53">
        <f t="shared" si="0"/>
        <v>0</v>
      </c>
      <c r="L56" s="54" t="s">
        <v>831</v>
      </c>
    </row>
    <row r="57" spans="1:12" s="55" customFormat="1" ht="19.5" customHeight="1" x14ac:dyDescent="0.3">
      <c r="A57" s="44"/>
      <c r="B57" s="45"/>
      <c r="C57" s="46">
        <v>28</v>
      </c>
      <c r="D57" s="47" t="s">
        <v>6436</v>
      </c>
      <c r="E57" s="48">
        <v>1</v>
      </c>
      <c r="F57" s="49">
        <v>0.83</v>
      </c>
      <c r="G57" s="50"/>
      <c r="H57" s="51"/>
      <c r="I57" s="45"/>
      <c r="J57" s="52"/>
      <c r="K57" s="53">
        <f t="shared" si="0"/>
        <v>0</v>
      </c>
      <c r="L57" s="54" t="s">
        <v>831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4327</v>
      </c>
      <c r="B59" s="45" t="s">
        <v>1890</v>
      </c>
      <c r="C59" s="46">
        <v>28</v>
      </c>
      <c r="D59" s="47" t="s">
        <v>1891</v>
      </c>
      <c r="E59" s="48">
        <v>1</v>
      </c>
      <c r="F59" s="49">
        <v>2.44</v>
      </c>
      <c r="G59" s="50" t="s">
        <v>189</v>
      </c>
      <c r="H59" s="51">
        <v>2438</v>
      </c>
      <c r="I59" s="45">
        <v>3353</v>
      </c>
      <c r="J59" s="52">
        <v>2</v>
      </c>
      <c r="K59" s="53">
        <f t="shared" si="0"/>
        <v>16.349228</v>
      </c>
      <c r="L59" s="54" t="s">
        <v>1407</v>
      </c>
    </row>
    <row r="60" spans="1:12" s="55" customFormat="1" ht="19.5" customHeight="1" x14ac:dyDescent="0.3">
      <c r="A60" s="44" t="s">
        <v>7010</v>
      </c>
      <c r="B60" s="45" t="s">
        <v>1890</v>
      </c>
      <c r="C60" s="46">
        <v>28</v>
      </c>
      <c r="D60" s="47" t="s">
        <v>1891</v>
      </c>
      <c r="E60" s="48">
        <v>1</v>
      </c>
      <c r="F60" s="49">
        <v>0.98</v>
      </c>
      <c r="G60" s="50"/>
      <c r="H60" s="51"/>
      <c r="I60" s="45"/>
      <c r="J60" s="52"/>
      <c r="K60" s="53">
        <f t="shared" si="0"/>
        <v>0</v>
      </c>
      <c r="L60" s="54" t="s">
        <v>1407</v>
      </c>
    </row>
    <row r="61" spans="1:12" s="55" customFormat="1" ht="19.5" customHeight="1" x14ac:dyDescent="0.3">
      <c r="A61" s="44" t="s">
        <v>6388</v>
      </c>
      <c r="B61" s="45" t="s">
        <v>1890</v>
      </c>
      <c r="C61" s="46">
        <v>28</v>
      </c>
      <c r="D61" s="47" t="s">
        <v>6727</v>
      </c>
      <c r="E61" s="48">
        <v>5</v>
      </c>
      <c r="F61" s="49">
        <v>10.95</v>
      </c>
      <c r="G61" s="50"/>
      <c r="H61" s="51"/>
      <c r="I61" s="45"/>
      <c r="J61" s="52"/>
      <c r="K61" s="53">
        <f t="shared" si="0"/>
        <v>0</v>
      </c>
      <c r="L61" s="54" t="s">
        <v>1697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3171</v>
      </c>
      <c r="B63" s="45" t="s">
        <v>1890</v>
      </c>
      <c r="C63" s="46">
        <v>28</v>
      </c>
      <c r="D63" s="47" t="s">
        <v>1891</v>
      </c>
      <c r="E63" s="48">
        <v>2</v>
      </c>
      <c r="F63" s="49">
        <v>4.66</v>
      </c>
      <c r="G63" s="50" t="s">
        <v>1892</v>
      </c>
      <c r="H63" s="51">
        <v>2438</v>
      </c>
      <c r="I63" s="45">
        <v>3353</v>
      </c>
      <c r="J63" s="52">
        <v>4</v>
      </c>
      <c r="K63" s="53">
        <f t="shared" si="0"/>
        <v>32.698456</v>
      </c>
      <c r="L63" s="54" t="s">
        <v>831</v>
      </c>
    </row>
    <row r="64" spans="1:12" s="55" customFormat="1" ht="19.5" customHeight="1" x14ac:dyDescent="0.3">
      <c r="A64" s="44" t="s">
        <v>3166</v>
      </c>
      <c r="B64" s="45" t="s">
        <v>1890</v>
      </c>
      <c r="C64" s="46">
        <v>28</v>
      </c>
      <c r="D64" s="47" t="s">
        <v>1891</v>
      </c>
      <c r="E64" s="48">
        <v>3</v>
      </c>
      <c r="F64" s="49">
        <v>6.99</v>
      </c>
      <c r="G64" s="50"/>
      <c r="H64" s="51"/>
      <c r="I64" s="45"/>
      <c r="J64" s="52"/>
      <c r="K64" s="53">
        <f t="shared" si="0"/>
        <v>0</v>
      </c>
      <c r="L64" s="54" t="s">
        <v>831</v>
      </c>
    </row>
    <row r="65" spans="1:12" s="55" customFormat="1" ht="19.5" customHeight="1" x14ac:dyDescent="0.3">
      <c r="A65" s="44" t="s">
        <v>5089</v>
      </c>
      <c r="B65" s="45" t="s">
        <v>1890</v>
      </c>
      <c r="C65" s="46">
        <v>28</v>
      </c>
      <c r="D65" s="47" t="s">
        <v>1891</v>
      </c>
      <c r="E65" s="48">
        <v>1</v>
      </c>
      <c r="F65" s="49">
        <v>2.41</v>
      </c>
      <c r="G65" s="50"/>
      <c r="H65" s="51"/>
      <c r="I65" s="45"/>
      <c r="J65" s="52"/>
      <c r="K65" s="53">
        <f t="shared" si="0"/>
        <v>0</v>
      </c>
      <c r="L65" s="54" t="s">
        <v>831</v>
      </c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3171</v>
      </c>
      <c r="B67" s="45" t="s">
        <v>1890</v>
      </c>
      <c r="C67" s="46">
        <v>28</v>
      </c>
      <c r="D67" s="47" t="s">
        <v>1891</v>
      </c>
      <c r="E67" s="48">
        <v>1</v>
      </c>
      <c r="F67" s="49">
        <v>1.78</v>
      </c>
      <c r="G67" s="50" t="s">
        <v>189</v>
      </c>
      <c r="H67" s="51">
        <v>1981</v>
      </c>
      <c r="I67" s="45">
        <v>3353</v>
      </c>
      <c r="J67" s="52">
        <v>1</v>
      </c>
      <c r="K67" s="53">
        <f t="shared" si="0"/>
        <v>6.6422930000000004</v>
      </c>
      <c r="L67" s="54" t="s">
        <v>1407</v>
      </c>
    </row>
    <row r="68" spans="1:12" s="55" customFormat="1" ht="19.5" customHeight="1" x14ac:dyDescent="0.3">
      <c r="A68" s="44" t="s">
        <v>5089</v>
      </c>
      <c r="B68" s="45" t="s">
        <v>1890</v>
      </c>
      <c r="C68" s="46">
        <v>28</v>
      </c>
      <c r="D68" s="47" t="s">
        <v>1891</v>
      </c>
      <c r="E68" s="48">
        <v>1</v>
      </c>
      <c r="F68" s="49">
        <v>2.27</v>
      </c>
      <c r="G68" s="50"/>
      <c r="H68" s="51"/>
      <c r="I68" s="45"/>
      <c r="J68" s="52"/>
      <c r="K68" s="53">
        <f t="shared" si="0"/>
        <v>0</v>
      </c>
      <c r="L68" s="54" t="s">
        <v>1407</v>
      </c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 t="s">
        <v>7083</v>
      </c>
      <c r="B70" s="45" t="s">
        <v>2456</v>
      </c>
      <c r="C70" s="46">
        <v>24</v>
      </c>
      <c r="D70" s="47" t="s">
        <v>7018</v>
      </c>
      <c r="E70" s="48">
        <v>18</v>
      </c>
      <c r="F70" s="49">
        <v>26.81</v>
      </c>
      <c r="G70" s="50" t="s">
        <v>49</v>
      </c>
      <c r="H70" s="51">
        <v>2134</v>
      </c>
      <c r="I70" s="45">
        <v>3353</v>
      </c>
      <c r="J70" s="52">
        <v>4</v>
      </c>
      <c r="K70" s="53">
        <f t="shared" si="0"/>
        <v>28.621207999999999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 t="s">
        <v>421</v>
      </c>
      <c r="H71" s="51">
        <v>2438</v>
      </c>
      <c r="I71" s="45">
        <v>3353</v>
      </c>
      <c r="J71" s="52">
        <v>4</v>
      </c>
      <c r="K71" s="53">
        <f t="shared" si="0"/>
        <v>32.698456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 t="s">
        <v>7081</v>
      </c>
      <c r="B73" s="45" t="s">
        <v>191</v>
      </c>
      <c r="C73" s="46">
        <v>43</v>
      </c>
      <c r="D73" s="47" t="s">
        <v>988</v>
      </c>
      <c r="E73" s="48">
        <v>1</v>
      </c>
      <c r="F73" s="49">
        <v>1.17</v>
      </c>
      <c r="G73" s="50"/>
      <c r="H73" s="51"/>
      <c r="I73" s="45"/>
      <c r="J73" s="52"/>
      <c r="K73" s="53">
        <f t="shared" si="0"/>
        <v>0</v>
      </c>
      <c r="L73" s="54" t="s">
        <v>31</v>
      </c>
    </row>
    <row r="74" spans="1:12" s="55" customFormat="1" ht="19.5" customHeight="1" x14ac:dyDescent="0.3">
      <c r="A74" s="44"/>
      <c r="B74" s="45"/>
      <c r="C74" s="46">
        <v>24</v>
      </c>
      <c r="D74" s="47" t="s">
        <v>307</v>
      </c>
      <c r="E74" s="48">
        <v>28</v>
      </c>
      <c r="F74" s="49">
        <v>36.04</v>
      </c>
      <c r="G74" s="50" t="s">
        <v>49</v>
      </c>
      <c r="H74" s="51">
        <v>2134</v>
      </c>
      <c r="I74" s="45">
        <v>3353</v>
      </c>
      <c r="J74" s="52">
        <v>4</v>
      </c>
      <c r="K74" s="53">
        <f t="shared" si="0"/>
        <v>28.621207999999999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 t="s">
        <v>49</v>
      </c>
      <c r="H75" s="51">
        <v>1981</v>
      </c>
      <c r="I75" s="45">
        <v>3353</v>
      </c>
      <c r="J75" s="52">
        <v>2</v>
      </c>
      <c r="K75" s="53">
        <f t="shared" si="0"/>
        <v>13.284586000000001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 t="s">
        <v>19</v>
      </c>
      <c r="H76" s="51">
        <v>2134</v>
      </c>
      <c r="I76" s="45">
        <v>3353</v>
      </c>
      <c r="J76" s="52">
        <v>4</v>
      </c>
      <c r="K76" s="53">
        <f t="shared" si="0"/>
        <v>28.621207999999999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 t="s">
        <v>19</v>
      </c>
      <c r="H77" s="51">
        <v>1981</v>
      </c>
      <c r="I77" s="45">
        <v>3353</v>
      </c>
      <c r="J77" s="52">
        <v>2</v>
      </c>
      <c r="K77" s="53">
        <f t="shared" si="0"/>
        <v>13.284586000000001</v>
      </c>
      <c r="L77" s="54"/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 t="s">
        <v>7084</v>
      </c>
      <c r="B79" s="45" t="s">
        <v>191</v>
      </c>
      <c r="C79" s="46">
        <v>24</v>
      </c>
      <c r="D79" s="47" t="s">
        <v>320</v>
      </c>
      <c r="E79" s="48">
        <v>3</v>
      </c>
      <c r="F79" s="49">
        <v>5.51</v>
      </c>
      <c r="G79" s="50" t="s">
        <v>18</v>
      </c>
      <c r="H79" s="51">
        <v>1981</v>
      </c>
      <c r="I79" s="45">
        <v>3353</v>
      </c>
      <c r="J79" s="52">
        <v>3</v>
      </c>
      <c r="K79" s="53">
        <f t="shared" si="0"/>
        <v>19.926879</v>
      </c>
      <c r="L79" s="54"/>
    </row>
    <row r="80" spans="1:12" s="55" customFormat="1" ht="19.5" customHeight="1" x14ac:dyDescent="0.3">
      <c r="A80" s="44"/>
      <c r="B80" s="45"/>
      <c r="C80" s="46">
        <v>22</v>
      </c>
      <c r="D80" s="47" t="s">
        <v>320</v>
      </c>
      <c r="E80" s="48">
        <v>12</v>
      </c>
      <c r="F80" s="49">
        <v>9.58</v>
      </c>
      <c r="G80" s="50" t="s">
        <v>19</v>
      </c>
      <c r="H80" s="51">
        <v>1981</v>
      </c>
      <c r="I80" s="45">
        <v>3353</v>
      </c>
      <c r="J80" s="52">
        <v>2</v>
      </c>
      <c r="K80" s="53">
        <f t="shared" ref="K80:K90" si="1">(H80/1000*I80/1000)*J80</f>
        <v>13.284586000000001</v>
      </c>
      <c r="L80" s="54"/>
    </row>
    <row r="81" spans="1:12" s="55" customFormat="1" ht="19.5" customHeight="1" x14ac:dyDescent="0.3">
      <c r="A81" s="44"/>
      <c r="B81" s="45"/>
      <c r="C81" s="46">
        <v>22</v>
      </c>
      <c r="D81" s="47" t="s">
        <v>3345</v>
      </c>
      <c r="E81" s="48">
        <v>2</v>
      </c>
      <c r="F81" s="49">
        <v>0.56000000000000005</v>
      </c>
      <c r="G81" s="50"/>
      <c r="H81" s="51"/>
      <c r="I81" s="45"/>
      <c r="J81" s="52"/>
      <c r="K81" s="53">
        <f t="shared" si="1"/>
        <v>0</v>
      </c>
      <c r="L81" s="54" t="s">
        <v>4575</v>
      </c>
    </row>
    <row r="82" spans="1:12" s="55" customFormat="1" ht="19.5" customHeight="1" x14ac:dyDescent="0.3">
      <c r="A82" s="44"/>
      <c r="B82" s="45"/>
      <c r="C82" s="46">
        <v>16</v>
      </c>
      <c r="D82" s="47" t="s">
        <v>78</v>
      </c>
      <c r="E82" s="48">
        <v>2</v>
      </c>
      <c r="F82" s="49">
        <v>2.92</v>
      </c>
      <c r="G82" s="50"/>
      <c r="H82" s="51"/>
      <c r="I82" s="45"/>
      <c r="J82" s="52"/>
      <c r="K82" s="53">
        <f t="shared" si="1"/>
        <v>0</v>
      </c>
      <c r="L82" s="54"/>
    </row>
    <row r="83" spans="1:12" s="55" customFormat="1" ht="19.5" customHeight="1" x14ac:dyDescent="0.3">
      <c r="A83" s="44"/>
      <c r="B83" s="45"/>
      <c r="C83" s="46"/>
      <c r="D83" s="47"/>
      <c r="E83" s="48"/>
      <c r="F83" s="49"/>
      <c r="G83" s="50"/>
      <c r="H83" s="51"/>
      <c r="I83" s="45"/>
      <c r="J83" s="52"/>
      <c r="K83" s="53">
        <f t="shared" si="1"/>
        <v>0</v>
      </c>
      <c r="L83" s="54"/>
    </row>
    <row r="84" spans="1:12" s="55" customFormat="1" ht="19.5" customHeight="1" x14ac:dyDescent="0.3">
      <c r="A84" s="44" t="s">
        <v>7085</v>
      </c>
      <c r="B84" s="45" t="s">
        <v>191</v>
      </c>
      <c r="C84" s="46">
        <v>24</v>
      </c>
      <c r="D84" s="47" t="s">
        <v>199</v>
      </c>
      <c r="E84" s="48">
        <v>3</v>
      </c>
      <c r="F84" s="49">
        <v>5.51</v>
      </c>
      <c r="G84" s="50" t="s">
        <v>49</v>
      </c>
      <c r="H84" s="51">
        <v>1981</v>
      </c>
      <c r="I84" s="45">
        <v>3353</v>
      </c>
      <c r="J84" s="52">
        <v>2</v>
      </c>
      <c r="K84" s="53">
        <f t="shared" si="1"/>
        <v>13.284586000000001</v>
      </c>
      <c r="L84" s="54"/>
    </row>
    <row r="85" spans="1:12" s="55" customFormat="1" ht="19.5" customHeight="1" x14ac:dyDescent="0.3">
      <c r="A85" s="44"/>
      <c r="B85" s="45"/>
      <c r="C85" s="46">
        <v>22</v>
      </c>
      <c r="D85" s="47" t="s">
        <v>199</v>
      </c>
      <c r="E85" s="48">
        <v>14</v>
      </c>
      <c r="F85" s="49">
        <v>10.14</v>
      </c>
      <c r="G85" s="50" t="s">
        <v>18</v>
      </c>
      <c r="H85" s="51">
        <v>1981</v>
      </c>
      <c r="I85" s="45">
        <v>3353</v>
      </c>
      <c r="J85" s="52">
        <v>3</v>
      </c>
      <c r="K85" s="53">
        <f t="shared" si="1"/>
        <v>19.926879</v>
      </c>
      <c r="L85" s="54"/>
    </row>
    <row r="86" spans="1:12" s="55" customFormat="1" ht="19.5" customHeight="1" x14ac:dyDescent="0.3">
      <c r="A86" s="44"/>
      <c r="B86" s="45"/>
      <c r="C86" s="46"/>
      <c r="D86" s="47"/>
      <c r="E86" s="48"/>
      <c r="F86" s="49"/>
      <c r="G86" s="50"/>
      <c r="H86" s="51"/>
      <c r="I86" s="45"/>
      <c r="J86" s="52"/>
      <c r="K86" s="53">
        <f t="shared" si="1"/>
        <v>0</v>
      </c>
      <c r="L86" s="54"/>
    </row>
    <row r="87" spans="1:12" s="55" customFormat="1" ht="19.5" customHeight="1" x14ac:dyDescent="0.3">
      <c r="A87" s="44" t="s">
        <v>7086</v>
      </c>
      <c r="B87" s="45" t="s">
        <v>6191</v>
      </c>
      <c r="C87" s="46">
        <v>24</v>
      </c>
      <c r="D87" s="47" t="s">
        <v>17</v>
      </c>
      <c r="E87" s="48">
        <v>137</v>
      </c>
      <c r="F87" s="49">
        <v>114.58</v>
      </c>
      <c r="G87" s="50" t="s">
        <v>18</v>
      </c>
      <c r="H87" s="51">
        <v>1981</v>
      </c>
      <c r="I87" s="45">
        <v>3353</v>
      </c>
      <c r="J87" s="52">
        <v>6</v>
      </c>
      <c r="K87" s="53">
        <f t="shared" si="1"/>
        <v>39.853757999999999</v>
      </c>
      <c r="L87" s="54" t="s">
        <v>7087</v>
      </c>
    </row>
    <row r="88" spans="1:12" s="55" customFormat="1" ht="19.5" customHeight="1" x14ac:dyDescent="0.3">
      <c r="A88" s="44"/>
      <c r="B88" s="45"/>
      <c r="C88" s="46"/>
      <c r="D88" s="47"/>
      <c r="E88" s="48"/>
      <c r="F88" s="49"/>
      <c r="G88" s="50" t="s">
        <v>18</v>
      </c>
      <c r="H88" s="51">
        <v>2286</v>
      </c>
      <c r="I88" s="45">
        <v>3048</v>
      </c>
      <c r="J88" s="52">
        <v>12</v>
      </c>
      <c r="K88" s="53">
        <f t="shared" si="1"/>
        <v>83.612735999999998</v>
      </c>
      <c r="L88" s="54"/>
    </row>
    <row r="89" spans="1:12" s="55" customFormat="1" ht="19.5" customHeight="1" x14ac:dyDescent="0.3">
      <c r="A89" s="44"/>
      <c r="B89" s="45"/>
      <c r="C89" s="46"/>
      <c r="D89" s="47"/>
      <c r="E89" s="48"/>
      <c r="F89" s="49"/>
      <c r="G89" s="50"/>
      <c r="H89" s="51"/>
      <c r="I89" s="45"/>
      <c r="J89" s="52"/>
      <c r="K89" s="53">
        <f t="shared" si="1"/>
        <v>0</v>
      </c>
      <c r="L89" s="54"/>
    </row>
    <row r="90" spans="1:12" s="55" customFormat="1" ht="19.5" customHeight="1" x14ac:dyDescent="0.3">
      <c r="A90" s="44"/>
      <c r="B90" s="45"/>
      <c r="C90" s="46"/>
      <c r="D90" s="47"/>
      <c r="E90" s="48"/>
      <c r="F90" s="49"/>
      <c r="G90" s="50"/>
      <c r="H90" s="51"/>
      <c r="I90" s="45"/>
      <c r="J90" s="52"/>
      <c r="K90" s="53">
        <f t="shared" si="1"/>
        <v>0</v>
      </c>
      <c r="L90" s="54"/>
    </row>
    <row r="91" spans="1:12" s="55" customFormat="1" ht="19.5" customHeight="1" x14ac:dyDescent="0.3">
      <c r="A91" s="44"/>
      <c r="B91" s="45"/>
      <c r="C91" s="46"/>
      <c r="D91" s="47"/>
      <c r="E91" s="48"/>
      <c r="F91" s="49"/>
      <c r="G91" s="50"/>
      <c r="H91" s="51"/>
      <c r="I91" s="45"/>
      <c r="J91" s="52"/>
      <c r="K91" s="53">
        <f t="shared" si="0"/>
        <v>0</v>
      </c>
      <c r="L91" s="54"/>
    </row>
    <row r="92" spans="1:12" s="59" customFormat="1" ht="20.100000000000001" customHeight="1" x14ac:dyDescent="0.3">
      <c r="A92" s="44"/>
      <c r="B92" s="45"/>
      <c r="C92" s="46"/>
      <c r="D92" s="47"/>
      <c r="E92" s="56"/>
      <c r="F92" s="57"/>
      <c r="G92" s="50"/>
      <c r="H92" s="51"/>
      <c r="I92" s="45"/>
      <c r="J92" s="52"/>
      <c r="K92" s="53">
        <f t="shared" si="0"/>
        <v>0</v>
      </c>
      <c r="L92" s="58">
        <f>SUM(J39:J93)</f>
        <v>95</v>
      </c>
    </row>
    <row r="93" spans="1:12" s="59" customFormat="1" ht="20.100000000000001" customHeight="1" x14ac:dyDescent="0.3">
      <c r="A93" s="44"/>
      <c r="B93" s="45"/>
      <c r="C93" s="46"/>
      <c r="D93" s="47"/>
      <c r="E93" s="60"/>
      <c r="F93" s="61"/>
      <c r="G93" s="62"/>
      <c r="H93" s="51"/>
      <c r="I93" s="45"/>
      <c r="J93" s="63"/>
      <c r="K93" s="53">
        <f t="shared" si="0"/>
        <v>0</v>
      </c>
      <c r="L93" s="64">
        <f>SUM(K39:K93)</f>
        <v>668.58590100000004</v>
      </c>
    </row>
    <row r="94" spans="1:12" s="59" customFormat="1" ht="20.100000000000001" customHeight="1" thickBot="1" x14ac:dyDescent="0.35">
      <c r="A94" s="114"/>
      <c r="B94" s="115"/>
      <c r="C94" s="115"/>
      <c r="D94" s="115"/>
      <c r="E94" s="115"/>
      <c r="F94" s="115"/>
      <c r="G94" s="115"/>
      <c r="H94" s="115"/>
      <c r="I94" s="115"/>
      <c r="J94" s="65">
        <f>SUM(J7:J93)</f>
        <v>207</v>
      </c>
      <c r="K94" s="66">
        <f>SUM(K7:K93)</f>
        <v>1360.4069550000004</v>
      </c>
      <c r="L94" s="67"/>
    </row>
    <row r="95" spans="1:12" s="59" customFormat="1" ht="20.100000000000001" customHeight="1" thickTop="1" thickBot="1" x14ac:dyDescent="0.35">
      <c r="A95" s="116" t="s">
        <v>52</v>
      </c>
      <c r="B95" s="117"/>
      <c r="C95" s="68"/>
      <c r="D95" s="118">
        <f>J94</f>
        <v>207</v>
      </c>
      <c r="E95" s="119"/>
      <c r="F95" s="119"/>
      <c r="G95" s="120"/>
      <c r="H95" s="121"/>
      <c r="I95" s="121"/>
      <c r="J95" s="122"/>
      <c r="K95" s="119"/>
      <c r="L95" s="123"/>
    </row>
    <row r="96" spans="1:12" s="59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71"/>
    </row>
    <row r="97" spans="1:12" s="59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113"/>
      <c r="B100" s="113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113"/>
      <c r="B101" s="113"/>
      <c r="C101" s="5"/>
      <c r="D101" s="5"/>
      <c r="E101" s="72"/>
      <c r="F101" s="5"/>
      <c r="G101" s="5"/>
      <c r="H101" s="5"/>
      <c r="I101" s="5"/>
      <c r="J101" s="5"/>
      <c r="K101" s="5"/>
      <c r="L101" s="5"/>
    </row>
    <row r="102" spans="1:12" s="59" customFormat="1" ht="20.100000000000001" customHeight="1" x14ac:dyDescent="0.3">
      <c r="A102" s="113"/>
      <c r="B102" s="113"/>
      <c r="C102" s="5"/>
      <c r="D102" s="5"/>
      <c r="E102" s="5"/>
      <c r="F102" s="5"/>
      <c r="G102" s="73"/>
      <c r="H102" s="5"/>
      <c r="I102" s="74"/>
      <c r="J102" s="5"/>
      <c r="K102" s="5"/>
      <c r="L102" s="5"/>
    </row>
    <row r="103" spans="1:12" s="59" customFormat="1" ht="20.100000000000001" customHeight="1" x14ac:dyDescent="0.3">
      <c r="A103" s="113"/>
      <c r="B103" s="113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59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59" customFormat="1" ht="20.100000000000001" customHeight="1" x14ac:dyDescent="0.3">
      <c r="A105" s="113"/>
      <c r="B105" s="113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59" customFormat="1" ht="20.100000000000001" customHeight="1" x14ac:dyDescent="0.3">
      <c r="A106" s="113"/>
      <c r="B106" s="113"/>
      <c r="C106" s="5"/>
      <c r="D106" s="5"/>
      <c r="E106" s="5"/>
      <c r="F106" s="70"/>
      <c r="G106" s="5"/>
      <c r="H106" s="72"/>
      <c r="I106" s="72"/>
      <c r="J106" s="5"/>
      <c r="K106" s="5"/>
      <c r="L106" s="5"/>
    </row>
    <row r="107" spans="1:12" ht="20.100000000000001" customHeight="1" x14ac:dyDescent="0.3">
      <c r="A107" s="113"/>
      <c r="B107" s="113"/>
      <c r="H107" s="72"/>
      <c r="I107" s="72"/>
    </row>
    <row r="108" spans="1:12" ht="20.100000000000001" customHeight="1" x14ac:dyDescent="0.3">
      <c r="H108" s="72"/>
      <c r="I108" s="72"/>
    </row>
    <row r="109" spans="1:12" ht="20.100000000000001" customHeight="1" x14ac:dyDescent="0.3">
      <c r="H109" s="72"/>
      <c r="I109" s="72"/>
    </row>
    <row r="110" spans="1:12" ht="20.100000000000001" customHeight="1" x14ac:dyDescent="0.3">
      <c r="A110" s="113"/>
      <c r="B110" s="113"/>
      <c r="H110" s="72"/>
      <c r="I110" s="72"/>
    </row>
    <row r="111" spans="1:12" ht="20.100000000000001" customHeight="1" x14ac:dyDescent="0.3">
      <c r="A111" s="113"/>
      <c r="B111" s="113"/>
      <c r="H111" s="72"/>
      <c r="I111" s="72"/>
    </row>
    <row r="112" spans="1:12" ht="20.100000000000001" customHeight="1" x14ac:dyDescent="0.3">
      <c r="H112" s="72"/>
      <c r="I112" s="72"/>
    </row>
    <row r="113" spans="1:12" ht="20.100000000000001" customHeight="1" x14ac:dyDescent="0.3">
      <c r="H113" s="72"/>
      <c r="I113" s="72"/>
    </row>
    <row r="114" spans="1:12" ht="20.100000000000001" customHeight="1" x14ac:dyDescent="0.3">
      <c r="H114" s="72"/>
      <c r="I114" s="72"/>
    </row>
    <row r="115" spans="1:12" s="72" customFormat="1" ht="20.100000000000001" customHeight="1" x14ac:dyDescent="0.3">
      <c r="A115" s="69"/>
      <c r="B115" s="5"/>
      <c r="C115" s="5"/>
      <c r="D115" s="5"/>
      <c r="E115" s="5"/>
      <c r="F115" s="70"/>
      <c r="G115" s="5"/>
      <c r="J115" s="5"/>
      <c r="K115" s="5"/>
      <c r="L115" s="5"/>
    </row>
    <row r="116" spans="1:12" s="72" customFormat="1" ht="20.100000000000001" customHeight="1" x14ac:dyDescent="0.3">
      <c r="A116" s="69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s="75" customFormat="1" ht="20.100000000000001" customHeight="1" x14ac:dyDescent="0.3">
      <c r="A117" s="69"/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75" customFormat="1" ht="20.100000000000001" customHeight="1" x14ac:dyDescent="0.3">
      <c r="A118" s="69"/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75" customFormat="1" ht="19.5" customHeight="1" x14ac:dyDescent="0.3">
      <c r="A119" s="69"/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72" customFormat="1" ht="20.100000000000001" customHeight="1" x14ac:dyDescent="0.3">
      <c r="A120" s="69"/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s="72" customFormat="1" ht="20.100000000000001" customHeight="1" x14ac:dyDescent="0.3">
      <c r="A121" s="69"/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ht="19.5" customHeight="1" x14ac:dyDescent="0.3"/>
    <row r="123" spans="1:12" ht="19.5" customHeight="1" x14ac:dyDescent="0.3"/>
    <row r="124" spans="1:12" ht="19.5" customHeight="1" x14ac:dyDescent="0.3"/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ht="19.5" customHeight="1" x14ac:dyDescent="0.3"/>
    <row r="148" spans="2:12" ht="19.5" customHeight="1" x14ac:dyDescent="0.3"/>
    <row r="149" spans="2:12" ht="19.5" customHeight="1" x14ac:dyDescent="0.3"/>
    <row r="150" spans="2:12" ht="19.5" customHeight="1" x14ac:dyDescent="0.3"/>
    <row r="151" spans="2:12" ht="19.5" customHeight="1" x14ac:dyDescent="0.3"/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  <row r="185" spans="2:12" s="69" customFormat="1" ht="19.5" customHeight="1" x14ac:dyDescent="0.3">
      <c r="B185" s="5"/>
      <c r="C185" s="5"/>
      <c r="D185" s="5"/>
      <c r="E185" s="5"/>
      <c r="F185" s="70"/>
      <c r="G185" s="5"/>
      <c r="H185" s="5"/>
      <c r="I185" s="5"/>
      <c r="J185" s="5"/>
      <c r="K185" s="5"/>
      <c r="L185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100:B10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94:I94"/>
    <mergeCell ref="A95:B95"/>
    <mergeCell ref="D95:G95"/>
    <mergeCell ref="H95:J95"/>
    <mergeCell ref="K95:L95"/>
    <mergeCell ref="A110:B110"/>
    <mergeCell ref="A111:B111"/>
    <mergeCell ref="A101:B101"/>
    <mergeCell ref="A102:B102"/>
    <mergeCell ref="A103:B103"/>
    <mergeCell ref="A105:B105"/>
    <mergeCell ref="A106:B106"/>
    <mergeCell ref="A107:B107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176"/>
  <sheetViews>
    <sheetView view="pageBreakPreview" topLeftCell="A24" zoomScale="85" zoomScaleNormal="100" zoomScaleSheetLayoutView="85" workbookViewId="0">
      <selection activeCell="I53" sqref="I5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46237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4" si="0">(H7/1000*I7/1000)*J7</f>
        <v>0</v>
      </c>
      <c r="L7" s="26">
        <f>SUM(J7:J38)</f>
        <v>120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SUM(K7:K38)</f>
        <v>800.51190199999996</v>
      </c>
    </row>
    <row r="9" spans="1:12" s="27" customFormat="1" ht="19.5" customHeight="1" x14ac:dyDescent="0.3">
      <c r="A9" s="28" t="s">
        <v>7041</v>
      </c>
      <c r="B9" s="16" t="s">
        <v>2662</v>
      </c>
      <c r="C9" s="17">
        <v>22</v>
      </c>
      <c r="D9" s="18" t="s">
        <v>146</v>
      </c>
      <c r="E9" s="41">
        <v>20</v>
      </c>
      <c r="F9" s="42">
        <v>47.2</v>
      </c>
      <c r="G9" s="34" t="s">
        <v>49</v>
      </c>
      <c r="H9" s="35">
        <v>1981</v>
      </c>
      <c r="I9" s="36">
        <v>3353</v>
      </c>
      <c r="J9" s="37">
        <v>13</v>
      </c>
      <c r="K9" s="25">
        <f t="shared" si="0"/>
        <v>86.349809000000008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665</v>
      </c>
      <c r="E10" s="41">
        <v>10</v>
      </c>
      <c r="F10" s="42">
        <v>32.299999999999997</v>
      </c>
      <c r="G10" s="34" t="s">
        <v>216</v>
      </c>
      <c r="H10" s="35">
        <v>1981</v>
      </c>
      <c r="I10" s="36">
        <v>3353</v>
      </c>
      <c r="J10" s="37">
        <v>13</v>
      </c>
      <c r="K10" s="85">
        <f t="shared" si="0"/>
        <v>86.349809000000008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 t="s">
        <v>7061</v>
      </c>
      <c r="B12" s="16" t="s">
        <v>2662</v>
      </c>
      <c r="C12" s="17">
        <v>22</v>
      </c>
      <c r="D12" s="18" t="s">
        <v>146</v>
      </c>
      <c r="E12" s="41">
        <v>20</v>
      </c>
      <c r="F12" s="42">
        <v>47.2</v>
      </c>
      <c r="G12" s="34" t="s">
        <v>49</v>
      </c>
      <c r="H12" s="35">
        <v>1981</v>
      </c>
      <c r="I12" s="36">
        <v>3353</v>
      </c>
      <c r="J12" s="37">
        <v>12</v>
      </c>
      <c r="K12" s="85">
        <f t="shared" si="0"/>
        <v>79.707515999999998</v>
      </c>
      <c r="L12" s="39"/>
    </row>
    <row r="13" spans="1:12" s="27" customFormat="1" ht="19.5" customHeight="1" x14ac:dyDescent="0.3">
      <c r="A13" s="28"/>
      <c r="B13" s="16"/>
      <c r="C13" s="17">
        <v>22</v>
      </c>
      <c r="D13" s="18" t="s">
        <v>665</v>
      </c>
      <c r="E13" s="41">
        <v>10</v>
      </c>
      <c r="F13" s="42">
        <v>32.299999999999997</v>
      </c>
      <c r="G13" s="34" t="s">
        <v>18</v>
      </c>
      <c r="H13" s="35">
        <v>1981</v>
      </c>
      <c r="I13" s="36">
        <v>3353</v>
      </c>
      <c r="J13" s="37">
        <v>34</v>
      </c>
      <c r="K13" s="85">
        <f t="shared" si="0"/>
        <v>225.837962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17</v>
      </c>
      <c r="E14" s="41">
        <v>270</v>
      </c>
      <c r="F14" s="42">
        <v>226.4</v>
      </c>
      <c r="G14" s="34" t="s">
        <v>216</v>
      </c>
      <c r="H14" s="35">
        <v>1981</v>
      </c>
      <c r="I14" s="36">
        <v>3353</v>
      </c>
      <c r="J14" s="37">
        <v>46</v>
      </c>
      <c r="K14" s="85">
        <f t="shared" si="0"/>
        <v>305.545478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85">
        <f t="shared" si="0"/>
        <v>0</v>
      </c>
      <c r="L15" s="39"/>
    </row>
    <row r="16" spans="1:12" s="27" customFormat="1" ht="19.5" customHeight="1" x14ac:dyDescent="0.3">
      <c r="A16" s="28" t="s">
        <v>7062</v>
      </c>
      <c r="B16" s="16" t="s">
        <v>4209</v>
      </c>
      <c r="C16" s="17">
        <v>12</v>
      </c>
      <c r="D16" s="18" t="s">
        <v>570</v>
      </c>
      <c r="E16" s="41">
        <v>12</v>
      </c>
      <c r="F16" s="42">
        <v>10.82</v>
      </c>
      <c r="G16" s="34" t="s">
        <v>571</v>
      </c>
      <c r="H16" s="35">
        <v>2743</v>
      </c>
      <c r="I16" s="36">
        <v>3048</v>
      </c>
      <c r="J16" s="37">
        <v>2</v>
      </c>
      <c r="K16" s="85">
        <f t="shared" si="0"/>
        <v>16.721327999999996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0"/>
        <v>0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85">
        <f t="shared" si="0"/>
        <v>0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/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/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8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8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8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8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25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7063</v>
      </c>
      <c r="B40" s="45" t="s">
        <v>191</v>
      </c>
      <c r="C40" s="46">
        <v>22</v>
      </c>
      <c r="D40" s="47" t="s">
        <v>3345</v>
      </c>
      <c r="E40" s="48">
        <v>4</v>
      </c>
      <c r="F40" s="49">
        <v>1.1200000000000001</v>
      </c>
      <c r="G40" s="50" t="s">
        <v>18</v>
      </c>
      <c r="H40" s="51">
        <v>1981</v>
      </c>
      <c r="I40" s="45">
        <v>3353</v>
      </c>
      <c r="J40" s="52">
        <v>8</v>
      </c>
      <c r="K40" s="53">
        <f t="shared" si="0"/>
        <v>53.138344000000004</v>
      </c>
      <c r="L40" s="54" t="s">
        <v>4575</v>
      </c>
    </row>
    <row r="41" spans="1:12" s="55" customFormat="1" ht="19.5" customHeight="1" x14ac:dyDescent="0.3">
      <c r="A41" s="44"/>
      <c r="B41" s="45"/>
      <c r="C41" s="46">
        <v>22</v>
      </c>
      <c r="D41" s="47" t="s">
        <v>320</v>
      </c>
      <c r="E41" s="48">
        <v>24</v>
      </c>
      <c r="F41" s="49">
        <v>23.06</v>
      </c>
      <c r="G41" s="50" t="s">
        <v>19</v>
      </c>
      <c r="H41" s="51">
        <v>1981</v>
      </c>
      <c r="I41" s="45">
        <v>3353</v>
      </c>
      <c r="J41" s="52">
        <v>4</v>
      </c>
      <c r="K41" s="53">
        <f t="shared" si="0"/>
        <v>26.569172000000002</v>
      </c>
      <c r="L41" s="54"/>
    </row>
    <row r="42" spans="1:12" s="55" customFormat="1" ht="19.5" customHeight="1" x14ac:dyDescent="0.3">
      <c r="A42" s="44"/>
      <c r="B42" s="45"/>
      <c r="C42" s="46">
        <v>16</v>
      </c>
      <c r="D42" s="47" t="s">
        <v>78</v>
      </c>
      <c r="E42" s="48">
        <v>8</v>
      </c>
      <c r="F42" s="49">
        <v>11.92</v>
      </c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7064</v>
      </c>
      <c r="B44" s="45" t="s">
        <v>191</v>
      </c>
      <c r="C44" s="46">
        <v>22</v>
      </c>
      <c r="D44" s="47" t="s">
        <v>307</v>
      </c>
      <c r="E44" s="48">
        <v>4</v>
      </c>
      <c r="F44" s="49">
        <v>1.1200000000000001</v>
      </c>
      <c r="G44" s="50" t="s">
        <v>49</v>
      </c>
      <c r="H44" s="51">
        <v>1981</v>
      </c>
      <c r="I44" s="45">
        <v>3353</v>
      </c>
      <c r="J44" s="52">
        <v>8</v>
      </c>
      <c r="K44" s="53">
        <f t="shared" si="0"/>
        <v>53.138344000000004</v>
      </c>
      <c r="L44" s="54"/>
    </row>
    <row r="45" spans="1:12" s="55" customFormat="1" ht="19.5" customHeight="1" x14ac:dyDescent="0.3">
      <c r="A45" s="44"/>
      <c r="B45" s="45"/>
      <c r="C45" s="46">
        <v>22</v>
      </c>
      <c r="D45" s="47" t="s">
        <v>199</v>
      </c>
      <c r="E45" s="48">
        <v>24</v>
      </c>
      <c r="F45" s="49">
        <v>23.06</v>
      </c>
      <c r="G45" s="50" t="s">
        <v>18</v>
      </c>
      <c r="H45" s="51">
        <v>1981</v>
      </c>
      <c r="I45" s="45">
        <v>3353</v>
      </c>
      <c r="J45" s="52">
        <v>4</v>
      </c>
      <c r="K45" s="53">
        <f t="shared" si="0"/>
        <v>26.569172000000002</v>
      </c>
      <c r="L45" s="54"/>
    </row>
    <row r="46" spans="1:12" s="55" customFormat="1" ht="19.5" customHeight="1" x14ac:dyDescent="0.3">
      <c r="A46" s="44"/>
      <c r="B46" s="45"/>
      <c r="C46" s="46">
        <v>24</v>
      </c>
      <c r="D46" s="47" t="s">
        <v>307</v>
      </c>
      <c r="E46" s="48">
        <v>22</v>
      </c>
      <c r="F46" s="49">
        <v>19.7</v>
      </c>
      <c r="G46" s="50" t="s">
        <v>19</v>
      </c>
      <c r="H46" s="51">
        <v>1981</v>
      </c>
      <c r="I46" s="45">
        <v>3353</v>
      </c>
      <c r="J46" s="52">
        <v>4</v>
      </c>
      <c r="K46" s="53">
        <f t="shared" si="0"/>
        <v>26.569172000000002</v>
      </c>
      <c r="L46" s="54"/>
    </row>
    <row r="47" spans="1:12" s="55" customFormat="1" ht="19.5" customHeight="1" x14ac:dyDescent="0.3">
      <c r="A47" s="44"/>
      <c r="B47" s="45"/>
      <c r="C47" s="46">
        <v>24</v>
      </c>
      <c r="D47" s="47" t="s">
        <v>3345</v>
      </c>
      <c r="E47" s="48">
        <v>12</v>
      </c>
      <c r="F47" s="49">
        <v>3.36</v>
      </c>
      <c r="G47" s="50"/>
      <c r="H47" s="51"/>
      <c r="I47" s="45"/>
      <c r="J47" s="52"/>
      <c r="K47" s="53">
        <f t="shared" si="0"/>
        <v>0</v>
      </c>
      <c r="L47" s="54" t="s">
        <v>4575</v>
      </c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7065</v>
      </c>
      <c r="B49" s="45" t="s">
        <v>5801</v>
      </c>
      <c r="C49" s="46">
        <v>24</v>
      </c>
      <c r="D49" s="47" t="s">
        <v>55</v>
      </c>
      <c r="E49" s="48">
        <v>3</v>
      </c>
      <c r="F49" s="49">
        <v>4.09</v>
      </c>
      <c r="G49" s="50" t="s">
        <v>56</v>
      </c>
      <c r="H49" s="51">
        <v>2438</v>
      </c>
      <c r="I49" s="45">
        <v>3353</v>
      </c>
      <c r="J49" s="52">
        <v>1</v>
      </c>
      <c r="K49" s="53">
        <f t="shared" si="0"/>
        <v>8.174614</v>
      </c>
      <c r="L49" s="54"/>
    </row>
    <row r="50" spans="1:12" s="55" customFormat="1" ht="19.5" customHeight="1" x14ac:dyDescent="0.3">
      <c r="A50" s="44"/>
      <c r="B50" s="45"/>
      <c r="C50" s="46">
        <v>24</v>
      </c>
      <c r="D50" s="47" t="s">
        <v>501</v>
      </c>
      <c r="E50" s="48">
        <v>3</v>
      </c>
      <c r="F50" s="49">
        <v>4.18</v>
      </c>
      <c r="G50" s="50" t="s">
        <v>18</v>
      </c>
      <c r="H50" s="51">
        <v>2438</v>
      </c>
      <c r="I50" s="45">
        <v>3353</v>
      </c>
      <c r="J50" s="52">
        <v>1</v>
      </c>
      <c r="K50" s="53">
        <f t="shared" si="0"/>
        <v>8.174614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7066</v>
      </c>
      <c r="B52" s="45" t="s">
        <v>2505</v>
      </c>
      <c r="C52" s="46">
        <v>29.76</v>
      </c>
      <c r="D52" s="47" t="s">
        <v>7067</v>
      </c>
      <c r="E52" s="48">
        <v>6</v>
      </c>
      <c r="F52" s="49">
        <v>14.78</v>
      </c>
      <c r="G52" s="50" t="s">
        <v>56</v>
      </c>
      <c r="H52" s="51">
        <v>2438</v>
      </c>
      <c r="I52" s="45">
        <v>3353</v>
      </c>
      <c r="J52" s="52">
        <v>1</v>
      </c>
      <c r="K52" s="53">
        <f t="shared" si="0"/>
        <v>8.174614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 t="s">
        <v>56</v>
      </c>
      <c r="H53" s="51">
        <v>3048</v>
      </c>
      <c r="I53" s="45">
        <v>3658</v>
      </c>
      <c r="J53" s="52">
        <v>1</v>
      </c>
      <c r="K53" s="53">
        <f t="shared" si="0"/>
        <v>11.149584000000001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6998</v>
      </c>
      <c r="B55" s="45" t="s">
        <v>1890</v>
      </c>
      <c r="C55" s="46">
        <v>28</v>
      </c>
      <c r="D55" s="47" t="s">
        <v>3001</v>
      </c>
      <c r="E55" s="48">
        <v>2</v>
      </c>
      <c r="F55" s="49">
        <v>4.62</v>
      </c>
      <c r="G55" s="50" t="s">
        <v>3002</v>
      </c>
      <c r="H55" s="51">
        <v>2438</v>
      </c>
      <c r="I55" s="45">
        <v>3048</v>
      </c>
      <c r="J55" s="52">
        <v>1</v>
      </c>
      <c r="K55" s="53">
        <f t="shared" si="0"/>
        <v>7.4310240000000007</v>
      </c>
      <c r="L55" s="54" t="s">
        <v>831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7008</v>
      </c>
      <c r="B57" s="45" t="s">
        <v>1890</v>
      </c>
      <c r="C57" s="46">
        <v>28</v>
      </c>
      <c r="D57" s="47" t="s">
        <v>1894</v>
      </c>
      <c r="E57" s="48">
        <v>2</v>
      </c>
      <c r="F57" s="49">
        <v>2.12</v>
      </c>
      <c r="G57" s="50"/>
      <c r="H57" s="51"/>
      <c r="I57" s="45"/>
      <c r="J57" s="52"/>
      <c r="K57" s="53">
        <f t="shared" si="0"/>
        <v>0</v>
      </c>
      <c r="L57" s="54" t="s">
        <v>5969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5686</v>
      </c>
      <c r="B59" s="45" t="s">
        <v>1890</v>
      </c>
      <c r="C59" s="46">
        <v>28</v>
      </c>
      <c r="D59" s="47" t="s">
        <v>1891</v>
      </c>
      <c r="E59" s="48">
        <v>10</v>
      </c>
      <c r="F59" s="49">
        <v>18.190000000000001</v>
      </c>
      <c r="G59" s="50" t="s">
        <v>1892</v>
      </c>
      <c r="H59" s="51">
        <v>2438</v>
      </c>
      <c r="I59" s="45">
        <v>3353</v>
      </c>
      <c r="J59" s="52">
        <v>6</v>
      </c>
      <c r="K59" s="53">
        <f t="shared" si="0"/>
        <v>49.047684000000004</v>
      </c>
      <c r="L59" s="54" t="s">
        <v>831</v>
      </c>
    </row>
    <row r="60" spans="1:12" s="55" customFormat="1" ht="19.5" customHeight="1" x14ac:dyDescent="0.3">
      <c r="A60" s="44"/>
      <c r="B60" s="45"/>
      <c r="C60" s="46">
        <v>28</v>
      </c>
      <c r="D60" s="47" t="s">
        <v>1894</v>
      </c>
      <c r="E60" s="48">
        <v>1</v>
      </c>
      <c r="F60" s="49">
        <v>2.3199999999999998</v>
      </c>
      <c r="G60" s="50"/>
      <c r="H60" s="51"/>
      <c r="I60" s="45"/>
      <c r="J60" s="52"/>
      <c r="K60" s="53">
        <f t="shared" si="0"/>
        <v>0</v>
      </c>
      <c r="L60" s="54" t="s">
        <v>831</v>
      </c>
    </row>
    <row r="61" spans="1:12" s="55" customFormat="1" ht="19.5" customHeight="1" x14ac:dyDescent="0.3">
      <c r="A61" s="44"/>
      <c r="B61" s="45"/>
      <c r="C61" s="46">
        <v>28</v>
      </c>
      <c r="D61" s="47" t="s">
        <v>1891</v>
      </c>
      <c r="E61" s="48">
        <v>6</v>
      </c>
      <c r="F61" s="49">
        <v>15.1</v>
      </c>
      <c r="G61" s="50"/>
      <c r="H61" s="51"/>
      <c r="I61" s="45"/>
      <c r="J61" s="52"/>
      <c r="K61" s="53">
        <f t="shared" si="0"/>
        <v>0</v>
      </c>
      <c r="L61" s="54" t="s">
        <v>831</v>
      </c>
    </row>
    <row r="62" spans="1:12" s="55" customFormat="1" ht="19.5" customHeight="1" x14ac:dyDescent="0.3">
      <c r="A62" s="44"/>
      <c r="B62" s="45"/>
      <c r="C62" s="46">
        <v>28</v>
      </c>
      <c r="D62" s="47" t="s">
        <v>6727</v>
      </c>
      <c r="E62" s="48">
        <v>1</v>
      </c>
      <c r="F62" s="49">
        <v>2.33</v>
      </c>
      <c r="G62" s="50"/>
      <c r="H62" s="51"/>
      <c r="I62" s="45"/>
      <c r="J62" s="52"/>
      <c r="K62" s="53">
        <f t="shared" si="0"/>
        <v>0</v>
      </c>
      <c r="L62" s="54" t="s">
        <v>831</v>
      </c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5686</v>
      </c>
      <c r="B64" s="45" t="s">
        <v>1890</v>
      </c>
      <c r="C64" s="46">
        <v>28</v>
      </c>
      <c r="D64" s="47" t="s">
        <v>1891</v>
      </c>
      <c r="E64" s="48">
        <v>8</v>
      </c>
      <c r="F64" s="49">
        <v>12.18</v>
      </c>
      <c r="G64" s="50" t="s">
        <v>189</v>
      </c>
      <c r="H64" s="51">
        <v>2438</v>
      </c>
      <c r="I64" s="45">
        <v>3353</v>
      </c>
      <c r="J64" s="52">
        <v>4</v>
      </c>
      <c r="K64" s="53">
        <f t="shared" si="0"/>
        <v>32.698456</v>
      </c>
      <c r="L64" s="54" t="s">
        <v>1407</v>
      </c>
    </row>
    <row r="65" spans="1:12" s="55" customFormat="1" ht="19.5" customHeight="1" x14ac:dyDescent="0.3">
      <c r="A65" s="44"/>
      <c r="B65" s="45"/>
      <c r="C65" s="46">
        <v>28</v>
      </c>
      <c r="D65" s="47" t="s">
        <v>1894</v>
      </c>
      <c r="E65" s="48">
        <v>1</v>
      </c>
      <c r="F65" s="49">
        <v>2.3199999999999998</v>
      </c>
      <c r="G65" s="50"/>
      <c r="H65" s="51"/>
      <c r="I65" s="45"/>
      <c r="J65" s="52"/>
      <c r="K65" s="53">
        <f t="shared" si="0"/>
        <v>0</v>
      </c>
      <c r="L65" s="54" t="s">
        <v>1407</v>
      </c>
    </row>
    <row r="66" spans="1:12" s="55" customFormat="1" ht="19.5" customHeight="1" x14ac:dyDescent="0.3">
      <c r="A66" s="44"/>
      <c r="B66" s="45"/>
      <c r="C66" s="46">
        <v>28</v>
      </c>
      <c r="D66" s="47" t="s">
        <v>1891</v>
      </c>
      <c r="E66" s="48">
        <v>3</v>
      </c>
      <c r="F66" s="49">
        <v>7.55</v>
      </c>
      <c r="G66" s="50"/>
      <c r="H66" s="51"/>
      <c r="I66" s="45"/>
      <c r="J66" s="52"/>
      <c r="K66" s="53">
        <f t="shared" si="0"/>
        <v>0</v>
      </c>
      <c r="L66" s="54" t="s">
        <v>1407</v>
      </c>
    </row>
    <row r="67" spans="1:12" s="55" customFormat="1" ht="19.5" customHeight="1" x14ac:dyDescent="0.3">
      <c r="A67" s="44"/>
      <c r="B67" s="45"/>
      <c r="C67" s="46">
        <v>28</v>
      </c>
      <c r="D67" s="47" t="s">
        <v>6727</v>
      </c>
      <c r="E67" s="48">
        <v>1</v>
      </c>
      <c r="F67" s="49">
        <v>2.33</v>
      </c>
      <c r="G67" s="50"/>
      <c r="H67" s="51"/>
      <c r="I67" s="45"/>
      <c r="J67" s="52"/>
      <c r="K67" s="53">
        <f t="shared" si="0"/>
        <v>0</v>
      </c>
      <c r="L67" s="54" t="s">
        <v>1407</v>
      </c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6466</v>
      </c>
      <c r="B69" s="45" t="s">
        <v>1150</v>
      </c>
      <c r="C69" s="46">
        <v>22</v>
      </c>
      <c r="D69" s="47" t="s">
        <v>5625</v>
      </c>
      <c r="E69" s="48">
        <v>417</v>
      </c>
      <c r="F69" s="49">
        <v>517.08000000000004</v>
      </c>
      <c r="G69" s="50" t="s">
        <v>18</v>
      </c>
      <c r="H69" s="51">
        <v>1981</v>
      </c>
      <c r="I69" s="45">
        <v>3353</v>
      </c>
      <c r="J69" s="52">
        <v>83</v>
      </c>
      <c r="K69" s="53">
        <f t="shared" si="0"/>
        <v>551.31031900000005</v>
      </c>
      <c r="L69" s="54" t="s">
        <v>7068</v>
      </c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4493</v>
      </c>
      <c r="B71" s="45" t="s">
        <v>1890</v>
      </c>
      <c r="C71" s="46">
        <v>24</v>
      </c>
      <c r="D71" s="47" t="s">
        <v>3571</v>
      </c>
      <c r="E71" s="48">
        <v>1</v>
      </c>
      <c r="F71" s="49">
        <v>2.85</v>
      </c>
      <c r="G71" s="50" t="s">
        <v>18</v>
      </c>
      <c r="H71" s="51">
        <v>1981</v>
      </c>
      <c r="I71" s="45">
        <v>3353</v>
      </c>
      <c r="J71" s="52">
        <v>1</v>
      </c>
      <c r="K71" s="53">
        <f t="shared" si="0"/>
        <v>6.6422930000000004</v>
      </c>
      <c r="L71" s="54" t="s">
        <v>7069</v>
      </c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/>
      <c r="B80" s="45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9" customFormat="1" ht="20.100000000000001" customHeight="1" x14ac:dyDescent="0.3">
      <c r="A83" s="44"/>
      <c r="B83" s="45"/>
      <c r="C83" s="46"/>
      <c r="D83" s="47"/>
      <c r="E83" s="56"/>
      <c r="F83" s="57"/>
      <c r="G83" s="50"/>
      <c r="H83" s="51"/>
      <c r="I83" s="45"/>
      <c r="J83" s="52"/>
      <c r="K83" s="53">
        <f t="shared" si="0"/>
        <v>0</v>
      </c>
      <c r="L83" s="58">
        <f>SUM(J39:J84)</f>
        <v>127</v>
      </c>
    </row>
    <row r="84" spans="1:12" s="59" customFormat="1" ht="20.100000000000001" customHeight="1" x14ac:dyDescent="0.3">
      <c r="A84" s="44"/>
      <c r="B84" s="45"/>
      <c r="C84" s="46"/>
      <c r="D84" s="47"/>
      <c r="E84" s="60"/>
      <c r="F84" s="61"/>
      <c r="G84" s="62"/>
      <c r="H84" s="51"/>
      <c r="I84" s="45"/>
      <c r="J84" s="63"/>
      <c r="K84" s="53">
        <f t="shared" si="0"/>
        <v>0</v>
      </c>
      <c r="L84" s="64">
        <f>SUM(K39:K84)</f>
        <v>868.78740600000003</v>
      </c>
    </row>
    <row r="85" spans="1:12" s="59" customFormat="1" ht="20.100000000000001" customHeight="1" thickBot="1" x14ac:dyDescent="0.35">
      <c r="A85" s="114"/>
      <c r="B85" s="115"/>
      <c r="C85" s="115"/>
      <c r="D85" s="115"/>
      <c r="E85" s="115"/>
      <c r="F85" s="115"/>
      <c r="G85" s="115"/>
      <c r="H85" s="115"/>
      <c r="I85" s="115"/>
      <c r="J85" s="65">
        <f>SUM(J7:J84)</f>
        <v>247</v>
      </c>
      <c r="K85" s="66">
        <f>SUM(K7:K84)</f>
        <v>1669.2993080000003</v>
      </c>
      <c r="L85" s="67"/>
    </row>
    <row r="86" spans="1:12" s="59" customFormat="1" ht="20.100000000000001" customHeight="1" thickTop="1" thickBot="1" x14ac:dyDescent="0.35">
      <c r="A86" s="116" t="s">
        <v>52</v>
      </c>
      <c r="B86" s="117"/>
      <c r="C86" s="68"/>
      <c r="D86" s="118">
        <f>J85</f>
        <v>247</v>
      </c>
      <c r="E86" s="119"/>
      <c r="F86" s="119"/>
      <c r="G86" s="120"/>
      <c r="H86" s="121"/>
      <c r="I86" s="121"/>
      <c r="J86" s="122"/>
      <c r="K86" s="119"/>
      <c r="L86" s="123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71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72"/>
      <c r="F92" s="5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5"/>
      <c r="G93" s="73"/>
      <c r="H93" s="5"/>
      <c r="I93" s="74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72"/>
      <c r="I97" s="72"/>
      <c r="J97" s="5"/>
      <c r="K97" s="5"/>
      <c r="L97" s="5"/>
    </row>
    <row r="98" spans="1:12" ht="20.100000000000001" customHeight="1" x14ac:dyDescent="0.3">
      <c r="A98" s="113"/>
      <c r="B98" s="113"/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A101" s="113"/>
      <c r="B101" s="113"/>
      <c r="H101" s="72"/>
      <c r="I101" s="72"/>
    </row>
    <row r="102" spans="1:12" ht="20.100000000000001" customHeight="1" x14ac:dyDescent="0.3">
      <c r="A102" s="113"/>
      <c r="B102" s="113"/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H105" s="72"/>
      <c r="I105" s="72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5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5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5" customFormat="1" ht="19.5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</sheetData>
  <mergeCells count="30">
    <mergeCell ref="A101:B101"/>
    <mergeCell ref="A102:B102"/>
    <mergeCell ref="A92:B92"/>
    <mergeCell ref="A93:B93"/>
    <mergeCell ref="A94:B94"/>
    <mergeCell ref="A96:B96"/>
    <mergeCell ref="A97:B97"/>
    <mergeCell ref="A98:B98"/>
    <mergeCell ref="A91:B9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5:I85"/>
    <mergeCell ref="A86:B86"/>
    <mergeCell ref="D86:G86"/>
    <mergeCell ref="H86:J86"/>
    <mergeCell ref="K86:L86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L176"/>
  <sheetViews>
    <sheetView view="pageBreakPreview" zoomScale="85" zoomScaleNormal="100" zoomScaleSheetLayoutView="85" workbookViewId="0">
      <selection activeCell="L15" sqref="L15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46235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4" si="0">(H7/1000*I7/1000)*J7</f>
        <v>0</v>
      </c>
      <c r="L7" s="26">
        <f>SUM(J7:J38)</f>
        <v>125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SUM(K7:K38)</f>
        <v>831.68108499999994</v>
      </c>
    </row>
    <row r="9" spans="1:12" s="27" customFormat="1" ht="19.5" customHeight="1" x14ac:dyDescent="0.3">
      <c r="A9" s="28" t="s">
        <v>6888</v>
      </c>
      <c r="B9" s="16" t="s">
        <v>7057</v>
      </c>
      <c r="C9" s="17">
        <v>47</v>
      </c>
      <c r="D9" s="18" t="s">
        <v>6891</v>
      </c>
      <c r="E9" s="41">
        <v>3</v>
      </c>
      <c r="F9" s="42">
        <f>0.5+1.33+0.46</f>
        <v>2.29</v>
      </c>
      <c r="G9" s="34" t="s">
        <v>1116</v>
      </c>
      <c r="H9" s="35">
        <v>2438</v>
      </c>
      <c r="I9" s="36">
        <v>3353</v>
      </c>
      <c r="J9" s="37">
        <v>1</v>
      </c>
      <c r="K9" s="25">
        <f t="shared" si="0"/>
        <v>8.174614</v>
      </c>
      <c r="L9" s="39" t="s">
        <v>7058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/>
      <c r="B11" s="16"/>
      <c r="C11" s="17">
        <v>47</v>
      </c>
      <c r="D11" s="18" t="s">
        <v>6891</v>
      </c>
      <c r="E11" s="41">
        <v>2</v>
      </c>
      <c r="F11" s="42">
        <f>1.33+0.37</f>
        <v>1.7000000000000002</v>
      </c>
      <c r="G11" s="34" t="s">
        <v>7059</v>
      </c>
      <c r="H11" s="35">
        <v>2134</v>
      </c>
      <c r="I11" s="36">
        <v>3048</v>
      </c>
      <c r="J11" s="37">
        <v>1</v>
      </c>
      <c r="K11" s="85">
        <f t="shared" si="0"/>
        <v>6.5044319999999995</v>
      </c>
      <c r="L11" s="39" t="s">
        <v>7060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>
        <f t="shared" si="0"/>
        <v>0</v>
      </c>
      <c r="L12" s="39"/>
    </row>
    <row r="13" spans="1:12" s="27" customFormat="1" ht="19.5" customHeight="1" x14ac:dyDescent="0.3">
      <c r="A13" s="28" t="s">
        <v>7041</v>
      </c>
      <c r="B13" s="16" t="s">
        <v>2662</v>
      </c>
      <c r="C13" s="17">
        <v>22</v>
      </c>
      <c r="D13" s="18" t="s">
        <v>45</v>
      </c>
      <c r="E13" s="41">
        <v>100</v>
      </c>
      <c r="F13" s="42">
        <v>55</v>
      </c>
      <c r="G13" s="34" t="s">
        <v>49</v>
      </c>
      <c r="H13" s="35">
        <v>1981</v>
      </c>
      <c r="I13" s="36">
        <v>3353</v>
      </c>
      <c r="J13" s="37">
        <v>9</v>
      </c>
      <c r="K13" s="85">
        <f t="shared" si="0"/>
        <v>59.780637000000006</v>
      </c>
      <c r="L13" s="39" t="s">
        <v>7200</v>
      </c>
    </row>
    <row r="14" spans="1:12" s="27" customFormat="1" ht="19.5" customHeight="1" x14ac:dyDescent="0.3">
      <c r="A14" s="28"/>
      <c r="B14" s="16"/>
      <c r="C14" s="17">
        <v>22</v>
      </c>
      <c r="D14" s="18" t="s">
        <v>45</v>
      </c>
      <c r="E14" s="41">
        <v>60</v>
      </c>
      <c r="F14" s="42">
        <v>16.8</v>
      </c>
      <c r="G14" s="34"/>
      <c r="H14" s="35"/>
      <c r="I14" s="36"/>
      <c r="J14" s="37"/>
      <c r="K14" s="85">
        <f t="shared" si="0"/>
        <v>0</v>
      </c>
      <c r="L14" s="39" t="s">
        <v>202</v>
      </c>
    </row>
    <row r="15" spans="1:12" s="27" customFormat="1" ht="19.5" customHeight="1" x14ac:dyDescent="0.3">
      <c r="A15" s="28"/>
      <c r="B15" s="16"/>
      <c r="C15" s="17">
        <v>22</v>
      </c>
      <c r="D15" s="18" t="s">
        <v>138</v>
      </c>
      <c r="E15" s="41">
        <v>270</v>
      </c>
      <c r="F15" s="42">
        <v>226.4</v>
      </c>
      <c r="G15" s="34" t="s">
        <v>99</v>
      </c>
      <c r="H15" s="35">
        <v>1981</v>
      </c>
      <c r="I15" s="36">
        <v>3353</v>
      </c>
      <c r="J15" s="37">
        <v>34</v>
      </c>
      <c r="K15" s="85">
        <f t="shared" si="0"/>
        <v>225.837962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216</v>
      </c>
      <c r="H16" s="35">
        <v>1981</v>
      </c>
      <c r="I16" s="36">
        <v>3353</v>
      </c>
      <c r="J16" s="37">
        <v>34</v>
      </c>
      <c r="K16" s="85">
        <f t="shared" si="0"/>
        <v>225.837962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0"/>
        <v>0</v>
      </c>
      <c r="L17" s="39"/>
    </row>
    <row r="18" spans="1:12" s="27" customFormat="1" ht="19.5" customHeight="1" x14ac:dyDescent="0.3">
      <c r="A18" s="28" t="s">
        <v>7061</v>
      </c>
      <c r="B18" s="16" t="s">
        <v>2662</v>
      </c>
      <c r="C18" s="17">
        <v>22</v>
      </c>
      <c r="D18" s="18" t="s">
        <v>1214</v>
      </c>
      <c r="E18" s="41">
        <v>240</v>
      </c>
      <c r="F18" s="42">
        <v>146.9</v>
      </c>
      <c r="G18" s="34" t="s">
        <v>49</v>
      </c>
      <c r="H18" s="35">
        <v>1981</v>
      </c>
      <c r="I18" s="36">
        <v>3353</v>
      </c>
      <c r="J18" s="37">
        <v>23</v>
      </c>
      <c r="K18" s="85">
        <f t="shared" si="0"/>
        <v>152.772739</v>
      </c>
      <c r="L18" s="39"/>
    </row>
    <row r="19" spans="1:12" s="27" customFormat="1" ht="19.5" customHeight="1" x14ac:dyDescent="0.3">
      <c r="A19" s="28"/>
      <c r="B19" s="16"/>
      <c r="C19" s="17">
        <v>22</v>
      </c>
      <c r="D19" s="18" t="s">
        <v>1214</v>
      </c>
      <c r="E19" s="41">
        <v>60</v>
      </c>
      <c r="F19" s="42">
        <v>16.8</v>
      </c>
      <c r="G19" s="34" t="s">
        <v>216</v>
      </c>
      <c r="H19" s="35">
        <v>1981</v>
      </c>
      <c r="I19" s="36">
        <v>3353</v>
      </c>
      <c r="J19" s="37">
        <v>23</v>
      </c>
      <c r="K19" s="85">
        <f t="shared" si="0"/>
        <v>152.772739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/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/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8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8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8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8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25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/>
      <c r="B80" s="45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9" customFormat="1" ht="20.100000000000001" customHeight="1" x14ac:dyDescent="0.3">
      <c r="A83" s="44"/>
      <c r="B83" s="45"/>
      <c r="C83" s="46"/>
      <c r="D83" s="47"/>
      <c r="E83" s="56"/>
      <c r="F83" s="57"/>
      <c r="G83" s="50"/>
      <c r="H83" s="51"/>
      <c r="I83" s="45"/>
      <c r="J83" s="52"/>
      <c r="K83" s="53">
        <f t="shared" si="0"/>
        <v>0</v>
      </c>
      <c r="L83" s="58">
        <f>SUM(J39:J84)</f>
        <v>0</v>
      </c>
    </row>
    <row r="84" spans="1:12" s="59" customFormat="1" ht="20.100000000000001" customHeight="1" x14ac:dyDescent="0.3">
      <c r="A84" s="44"/>
      <c r="B84" s="45"/>
      <c r="C84" s="46"/>
      <c r="D84" s="47"/>
      <c r="E84" s="60"/>
      <c r="F84" s="61"/>
      <c r="G84" s="62"/>
      <c r="H84" s="51"/>
      <c r="I84" s="45"/>
      <c r="J84" s="63"/>
      <c r="K84" s="53">
        <f t="shared" si="0"/>
        <v>0</v>
      </c>
      <c r="L84" s="64">
        <f>SUM(K39:K84)</f>
        <v>0</v>
      </c>
    </row>
    <row r="85" spans="1:12" s="59" customFormat="1" ht="20.100000000000001" customHeight="1" thickBot="1" x14ac:dyDescent="0.35">
      <c r="A85" s="114"/>
      <c r="B85" s="115"/>
      <c r="C85" s="115"/>
      <c r="D85" s="115"/>
      <c r="E85" s="115"/>
      <c r="F85" s="115"/>
      <c r="G85" s="115"/>
      <c r="H85" s="115"/>
      <c r="I85" s="115"/>
      <c r="J85" s="65">
        <f>SUM(J7:J84)</f>
        <v>125</v>
      </c>
      <c r="K85" s="66">
        <f>SUM(K7:K84)</f>
        <v>831.68108499999994</v>
      </c>
      <c r="L85" s="67"/>
    </row>
    <row r="86" spans="1:12" s="59" customFormat="1" ht="20.100000000000001" customHeight="1" thickTop="1" thickBot="1" x14ac:dyDescent="0.35">
      <c r="A86" s="116" t="s">
        <v>52</v>
      </c>
      <c r="B86" s="117"/>
      <c r="C86" s="68"/>
      <c r="D86" s="118">
        <f>J85</f>
        <v>125</v>
      </c>
      <c r="E86" s="119"/>
      <c r="F86" s="119"/>
      <c r="G86" s="120"/>
      <c r="H86" s="121"/>
      <c r="I86" s="121"/>
      <c r="J86" s="122"/>
      <c r="K86" s="119"/>
      <c r="L86" s="123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71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72"/>
      <c r="F92" s="5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5"/>
      <c r="G93" s="73"/>
      <c r="H93" s="5"/>
      <c r="I93" s="74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72"/>
      <c r="I97" s="72"/>
      <c r="J97" s="5"/>
      <c r="K97" s="5"/>
      <c r="L97" s="5"/>
    </row>
    <row r="98" spans="1:12" ht="20.100000000000001" customHeight="1" x14ac:dyDescent="0.3">
      <c r="A98" s="113"/>
      <c r="B98" s="113"/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A101" s="113"/>
      <c r="B101" s="113"/>
      <c r="H101" s="72"/>
      <c r="I101" s="72"/>
    </row>
    <row r="102" spans="1:12" ht="20.100000000000001" customHeight="1" x14ac:dyDescent="0.3">
      <c r="A102" s="113"/>
      <c r="B102" s="113"/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H105" s="72"/>
      <c r="I105" s="72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5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5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5" customFormat="1" ht="19.5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1:B9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5:I85"/>
    <mergeCell ref="A86:B86"/>
    <mergeCell ref="D86:G86"/>
    <mergeCell ref="H86:J86"/>
    <mergeCell ref="K86:L86"/>
    <mergeCell ref="A101:B101"/>
    <mergeCell ref="A102:B102"/>
    <mergeCell ref="A92:B92"/>
    <mergeCell ref="A93:B93"/>
    <mergeCell ref="A94:B94"/>
    <mergeCell ref="A96:B96"/>
    <mergeCell ref="A97:B97"/>
    <mergeCell ref="A98:B9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L176"/>
  <sheetViews>
    <sheetView view="pageBreakPreview" topLeftCell="A71" zoomScale="85" zoomScaleNormal="100" zoomScaleSheetLayoutView="85" workbookViewId="0">
      <selection activeCell="L84" sqref="L8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46234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4" si="0">(H7/1000*I7/1000)*J7</f>
        <v>0</v>
      </c>
      <c r="L7" s="26">
        <f>SUM(J7:J38)</f>
        <v>82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SUM(K7:K38)</f>
        <v>522.77451700000006</v>
      </c>
    </row>
    <row r="9" spans="1:12" s="27" customFormat="1" ht="19.5" customHeight="1" x14ac:dyDescent="0.3">
      <c r="A9" s="28" t="s">
        <v>7033</v>
      </c>
      <c r="B9" s="16" t="s">
        <v>7034</v>
      </c>
      <c r="C9" s="17">
        <v>22</v>
      </c>
      <c r="D9" s="18" t="s">
        <v>7035</v>
      </c>
      <c r="E9" s="41">
        <v>2</v>
      </c>
      <c r="F9" s="42">
        <v>3.02</v>
      </c>
      <c r="G9" s="34" t="s">
        <v>18</v>
      </c>
      <c r="H9" s="35">
        <v>2438</v>
      </c>
      <c r="I9" s="36">
        <v>3353</v>
      </c>
      <c r="J9" s="37">
        <v>1</v>
      </c>
      <c r="K9" s="25">
        <f t="shared" si="0"/>
        <v>8.174614</v>
      </c>
      <c r="L9" s="39" t="s">
        <v>100</v>
      </c>
    </row>
    <row r="10" spans="1:12" s="27" customFormat="1" ht="19.5" customHeight="1" x14ac:dyDescent="0.3">
      <c r="A10" s="28"/>
      <c r="B10" s="16"/>
      <c r="C10" s="17">
        <v>47</v>
      </c>
      <c r="D10" s="18" t="s">
        <v>7036</v>
      </c>
      <c r="E10" s="41">
        <v>1</v>
      </c>
      <c r="F10" s="42">
        <v>0.51</v>
      </c>
      <c r="G10" s="34"/>
      <c r="H10" s="35"/>
      <c r="I10" s="36"/>
      <c r="J10" s="37"/>
      <c r="K10" s="85">
        <f t="shared" si="0"/>
        <v>0</v>
      </c>
      <c r="L10" s="39" t="s">
        <v>100</v>
      </c>
    </row>
    <row r="11" spans="1:12" s="27" customFormat="1" ht="19.5" customHeight="1" x14ac:dyDescent="0.3">
      <c r="A11" s="28"/>
      <c r="B11" s="16"/>
      <c r="C11" s="17">
        <v>49.5</v>
      </c>
      <c r="D11" s="18" t="s">
        <v>7037</v>
      </c>
      <c r="E11" s="41">
        <v>2</v>
      </c>
      <c r="F11" s="42">
        <v>2.7</v>
      </c>
      <c r="G11" s="34"/>
      <c r="H11" s="35"/>
      <c r="I11" s="36"/>
      <c r="J11" s="37"/>
      <c r="K11" s="85">
        <f t="shared" si="0"/>
        <v>0</v>
      </c>
      <c r="L11" s="39" t="s">
        <v>100</v>
      </c>
    </row>
    <row r="12" spans="1:12" s="27" customFormat="1" ht="19.5" customHeight="1" x14ac:dyDescent="0.3">
      <c r="A12" s="28"/>
      <c r="B12" s="16"/>
      <c r="C12" s="17">
        <v>22</v>
      </c>
      <c r="D12" s="18" t="s">
        <v>7035</v>
      </c>
      <c r="E12" s="41">
        <v>2</v>
      </c>
      <c r="F12" s="42">
        <v>1.54</v>
      </c>
      <c r="G12" s="34"/>
      <c r="H12" s="35"/>
      <c r="I12" s="36"/>
      <c r="J12" s="37"/>
      <c r="K12" s="85">
        <f t="shared" si="0"/>
        <v>0</v>
      </c>
      <c r="L12" s="39" t="s">
        <v>100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 t="s">
        <v>6808</v>
      </c>
      <c r="B14" s="16" t="s">
        <v>6622</v>
      </c>
      <c r="C14" s="17">
        <v>26.76</v>
      </c>
      <c r="D14" s="18" t="s">
        <v>2352</v>
      </c>
      <c r="E14" s="41">
        <v>1</v>
      </c>
      <c r="F14" s="42">
        <v>2.88</v>
      </c>
      <c r="G14" s="34" t="s">
        <v>822</v>
      </c>
      <c r="H14" s="35">
        <v>2438</v>
      </c>
      <c r="I14" s="36">
        <v>3048</v>
      </c>
      <c r="J14" s="37">
        <v>1</v>
      </c>
      <c r="K14" s="85">
        <f t="shared" si="0"/>
        <v>7.4310240000000007</v>
      </c>
      <c r="L14" s="39" t="s">
        <v>7038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85">
        <f t="shared" si="0"/>
        <v>0</v>
      </c>
      <c r="L15" s="39"/>
    </row>
    <row r="16" spans="1:12" s="27" customFormat="1" ht="19.5" customHeight="1" x14ac:dyDescent="0.3">
      <c r="A16" s="28" t="s">
        <v>6621</v>
      </c>
      <c r="B16" s="16" t="s">
        <v>6622</v>
      </c>
      <c r="C16" s="17">
        <v>26.76</v>
      </c>
      <c r="D16" s="18" t="s">
        <v>2352</v>
      </c>
      <c r="E16" s="41">
        <v>5</v>
      </c>
      <c r="F16" s="42">
        <v>18.600000000000001</v>
      </c>
      <c r="G16" s="34" t="s">
        <v>822</v>
      </c>
      <c r="H16" s="35">
        <v>2438</v>
      </c>
      <c r="I16" s="36">
        <v>3048</v>
      </c>
      <c r="J16" s="37">
        <v>5</v>
      </c>
      <c r="K16" s="85">
        <f t="shared" si="0"/>
        <v>37.155120000000004</v>
      </c>
      <c r="L16" s="39" t="s">
        <v>7038</v>
      </c>
    </row>
    <row r="17" spans="1:12" s="27" customFormat="1" ht="19.5" customHeight="1" x14ac:dyDescent="0.3">
      <c r="A17" s="28"/>
      <c r="B17" s="16"/>
      <c r="C17" s="17">
        <v>24</v>
      </c>
      <c r="D17" s="18" t="s">
        <v>539</v>
      </c>
      <c r="E17" s="41">
        <v>8</v>
      </c>
      <c r="F17" s="42">
        <v>6.53</v>
      </c>
      <c r="G17" s="34"/>
      <c r="H17" s="35"/>
      <c r="I17" s="36"/>
      <c r="J17" s="37"/>
      <c r="K17" s="85">
        <f t="shared" si="0"/>
        <v>0</v>
      </c>
      <c r="L17" s="39" t="s">
        <v>7038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</row>
    <row r="19" spans="1:12" s="27" customFormat="1" ht="19.5" customHeight="1" x14ac:dyDescent="0.3">
      <c r="A19" s="28" t="s">
        <v>6621</v>
      </c>
      <c r="B19" s="16" t="s">
        <v>6622</v>
      </c>
      <c r="C19" s="17">
        <v>24</v>
      </c>
      <c r="D19" s="18" t="s">
        <v>539</v>
      </c>
      <c r="E19" s="41">
        <v>12</v>
      </c>
      <c r="F19" s="42">
        <v>8.39</v>
      </c>
      <c r="G19" s="34" t="s">
        <v>189</v>
      </c>
      <c r="H19" s="35">
        <v>2438</v>
      </c>
      <c r="I19" s="36">
        <v>3353</v>
      </c>
      <c r="J19" s="37">
        <v>3</v>
      </c>
      <c r="K19" s="85">
        <f t="shared" si="0"/>
        <v>24.523842000000002</v>
      </c>
      <c r="L19" s="39" t="s">
        <v>7039</v>
      </c>
    </row>
    <row r="20" spans="1:12" s="27" customFormat="1" ht="19.5" customHeight="1" x14ac:dyDescent="0.3">
      <c r="A20" s="28" t="s">
        <v>6770</v>
      </c>
      <c r="B20" s="16" t="s">
        <v>6622</v>
      </c>
      <c r="C20" s="17">
        <v>24</v>
      </c>
      <c r="D20" s="18" t="s">
        <v>2349</v>
      </c>
      <c r="E20" s="41">
        <v>1</v>
      </c>
      <c r="F20" s="42">
        <v>1.02</v>
      </c>
      <c r="G20" s="34"/>
      <c r="H20" s="35"/>
      <c r="I20" s="36"/>
      <c r="J20" s="37"/>
      <c r="K20" s="25">
        <f t="shared" si="0"/>
        <v>0</v>
      </c>
      <c r="L20" s="39" t="s">
        <v>7039</v>
      </c>
    </row>
    <row r="21" spans="1:12" s="27" customFormat="1" ht="19.5" customHeight="1" x14ac:dyDescent="0.3">
      <c r="A21" s="28" t="s">
        <v>6703</v>
      </c>
      <c r="B21" s="16" t="s">
        <v>6622</v>
      </c>
      <c r="C21" s="17">
        <v>24</v>
      </c>
      <c r="D21" s="18" t="s">
        <v>2349</v>
      </c>
      <c r="E21" s="41">
        <v>1</v>
      </c>
      <c r="F21" s="42">
        <v>1.3</v>
      </c>
      <c r="G21" s="34"/>
      <c r="H21" s="35"/>
      <c r="I21" s="36"/>
      <c r="J21" s="37"/>
      <c r="K21" s="85">
        <f t="shared" si="0"/>
        <v>0</v>
      </c>
      <c r="L21" s="39" t="s">
        <v>7039</v>
      </c>
    </row>
    <row r="22" spans="1:12" s="27" customFormat="1" ht="19.5" customHeight="1" x14ac:dyDescent="0.3">
      <c r="A22" s="28" t="s">
        <v>6690</v>
      </c>
      <c r="B22" s="16" t="s">
        <v>6622</v>
      </c>
      <c r="C22" s="17">
        <v>24</v>
      </c>
      <c r="D22" s="18" t="s">
        <v>2349</v>
      </c>
      <c r="E22" s="41">
        <v>1</v>
      </c>
      <c r="F22" s="42">
        <v>2.85</v>
      </c>
      <c r="G22" s="34"/>
      <c r="H22" s="35"/>
      <c r="I22" s="36"/>
      <c r="J22" s="37"/>
      <c r="K22" s="85"/>
      <c r="L22" s="39" t="s">
        <v>7039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</row>
    <row r="24" spans="1:12" s="27" customFormat="1" ht="19.5" customHeight="1" x14ac:dyDescent="0.3">
      <c r="A24" s="28" t="s">
        <v>6973</v>
      </c>
      <c r="B24" s="16" t="s">
        <v>2662</v>
      </c>
      <c r="C24" s="17">
        <v>22</v>
      </c>
      <c r="D24" s="18" t="s">
        <v>17</v>
      </c>
      <c r="E24" s="41">
        <v>130</v>
      </c>
      <c r="F24" s="42">
        <v>113.8</v>
      </c>
      <c r="G24" s="34" t="s">
        <v>216</v>
      </c>
      <c r="H24" s="35">
        <v>1981</v>
      </c>
      <c r="I24" s="36">
        <v>3353</v>
      </c>
      <c r="J24" s="37">
        <v>18</v>
      </c>
      <c r="K24" s="85">
        <f t="shared" si="0"/>
        <v>119.56127400000001</v>
      </c>
      <c r="L24" s="39" t="s">
        <v>106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 t="s">
        <v>7040</v>
      </c>
      <c r="B26" s="16" t="s">
        <v>1483</v>
      </c>
      <c r="C26" s="17">
        <v>8</v>
      </c>
      <c r="D26" s="18" t="s">
        <v>276</v>
      </c>
      <c r="E26" s="41">
        <v>91</v>
      </c>
      <c r="F26" s="42">
        <v>96.69</v>
      </c>
      <c r="G26" s="34" t="s">
        <v>935</v>
      </c>
      <c r="H26" s="35">
        <v>2438</v>
      </c>
      <c r="I26" s="36">
        <v>3353</v>
      </c>
      <c r="J26" s="37">
        <v>6</v>
      </c>
      <c r="K26" s="85"/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 t="s">
        <v>935</v>
      </c>
      <c r="H27" s="35">
        <v>2438</v>
      </c>
      <c r="I27" s="36">
        <v>3048</v>
      </c>
      <c r="J27" s="37">
        <v>9</v>
      </c>
      <c r="K27" s="85">
        <f t="shared" si="0"/>
        <v>66.879216000000014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 t="s">
        <v>7041</v>
      </c>
      <c r="B29" s="16" t="s">
        <v>2662</v>
      </c>
      <c r="C29" s="17">
        <v>22</v>
      </c>
      <c r="D29" s="18" t="s">
        <v>45</v>
      </c>
      <c r="E29" s="41">
        <v>240</v>
      </c>
      <c r="F29" s="42">
        <v>146.9</v>
      </c>
      <c r="G29" s="34" t="s">
        <v>216</v>
      </c>
      <c r="H29" s="35">
        <v>1981</v>
      </c>
      <c r="I29" s="36">
        <v>3353</v>
      </c>
      <c r="J29" s="37">
        <v>24</v>
      </c>
      <c r="K29" s="85">
        <f t="shared" si="0"/>
        <v>159.415032</v>
      </c>
      <c r="L29" s="39" t="s">
        <v>106</v>
      </c>
    </row>
    <row r="30" spans="1:12" s="27" customFormat="1" ht="19.5" customHeight="1" x14ac:dyDescent="0.3">
      <c r="A30" s="28"/>
      <c r="B30" s="16"/>
      <c r="C30" s="17">
        <v>22</v>
      </c>
      <c r="D30" s="18" t="s">
        <v>45</v>
      </c>
      <c r="E30" s="41">
        <v>60</v>
      </c>
      <c r="F30" s="42">
        <v>16.8</v>
      </c>
      <c r="G30" s="34"/>
      <c r="H30" s="35"/>
      <c r="I30" s="36"/>
      <c r="J30" s="37"/>
      <c r="K30" s="85">
        <f t="shared" si="0"/>
        <v>0</v>
      </c>
      <c r="L30" s="39" t="s">
        <v>106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0"/>
        <v>0</v>
      </c>
      <c r="L31" s="39"/>
    </row>
    <row r="32" spans="1:12" s="27" customFormat="1" ht="19.5" customHeight="1" x14ac:dyDescent="0.3">
      <c r="A32" s="28" t="s">
        <v>7041</v>
      </c>
      <c r="B32" s="16" t="s">
        <v>2662</v>
      </c>
      <c r="C32" s="17">
        <v>22</v>
      </c>
      <c r="D32" s="18" t="s">
        <v>45</v>
      </c>
      <c r="E32" s="41">
        <v>140</v>
      </c>
      <c r="F32" s="42">
        <v>91.9</v>
      </c>
      <c r="G32" s="34" t="s">
        <v>49</v>
      </c>
      <c r="H32" s="35">
        <v>1981</v>
      </c>
      <c r="I32" s="36">
        <v>3353</v>
      </c>
      <c r="J32" s="37">
        <v>15</v>
      </c>
      <c r="K32" s="85">
        <f t="shared" si="0"/>
        <v>99.634395000000012</v>
      </c>
      <c r="L32" s="39" t="s">
        <v>7042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8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8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8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25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7043</v>
      </c>
      <c r="B40" s="45" t="s">
        <v>6090</v>
      </c>
      <c r="C40" s="46">
        <v>24</v>
      </c>
      <c r="D40" s="47" t="s">
        <v>89</v>
      </c>
      <c r="E40" s="48">
        <v>52</v>
      </c>
      <c r="F40" s="49">
        <v>59.58</v>
      </c>
      <c r="G40" s="50" t="s">
        <v>91</v>
      </c>
      <c r="H40" s="51">
        <v>2134</v>
      </c>
      <c r="I40" s="45">
        <v>3353</v>
      </c>
      <c r="J40" s="52">
        <v>9</v>
      </c>
      <c r="K40" s="53">
        <f t="shared" si="0"/>
        <v>64.397717999999998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 t="s">
        <v>18</v>
      </c>
      <c r="H41" s="51">
        <v>2286</v>
      </c>
      <c r="I41" s="45">
        <v>3353</v>
      </c>
      <c r="J41" s="52">
        <v>9</v>
      </c>
      <c r="K41" s="53">
        <f t="shared" si="0"/>
        <v>68.984622000000002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7044</v>
      </c>
      <c r="B43" s="45" t="s">
        <v>6798</v>
      </c>
      <c r="C43" s="46">
        <v>24</v>
      </c>
      <c r="D43" s="47" t="s">
        <v>501</v>
      </c>
      <c r="E43" s="48">
        <v>34</v>
      </c>
      <c r="F43" s="49">
        <v>9.7200000000000006</v>
      </c>
      <c r="G43" s="50" t="s">
        <v>56</v>
      </c>
      <c r="H43" s="51">
        <v>2438</v>
      </c>
      <c r="I43" s="45">
        <v>3353</v>
      </c>
      <c r="J43" s="52">
        <v>1</v>
      </c>
      <c r="K43" s="53">
        <f t="shared" si="0"/>
        <v>8.174614</v>
      </c>
      <c r="L43" s="54"/>
    </row>
    <row r="44" spans="1:12" s="55" customFormat="1" ht="19.5" customHeight="1" x14ac:dyDescent="0.3">
      <c r="A44" s="44"/>
      <c r="B44" s="45"/>
      <c r="C44" s="46">
        <v>24</v>
      </c>
      <c r="D44" s="47" t="s">
        <v>7045</v>
      </c>
      <c r="E44" s="48">
        <v>60</v>
      </c>
      <c r="F44" s="49">
        <v>50.81</v>
      </c>
      <c r="G44" s="50" t="s">
        <v>291</v>
      </c>
      <c r="H44" s="51">
        <v>2438</v>
      </c>
      <c r="I44" s="45">
        <v>3353</v>
      </c>
      <c r="J44" s="52">
        <v>7</v>
      </c>
      <c r="K44" s="53">
        <f t="shared" si="0"/>
        <v>57.222298000000002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18</v>
      </c>
      <c r="H45" s="51">
        <v>1981</v>
      </c>
      <c r="I45" s="45">
        <v>3353</v>
      </c>
      <c r="J45" s="52">
        <v>1</v>
      </c>
      <c r="K45" s="53">
        <f t="shared" si="0"/>
        <v>6.6422930000000004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 t="s">
        <v>18</v>
      </c>
      <c r="H46" s="51">
        <v>2438</v>
      </c>
      <c r="I46" s="45">
        <v>3353</v>
      </c>
      <c r="J46" s="52">
        <v>7</v>
      </c>
      <c r="K46" s="53">
        <f t="shared" si="0"/>
        <v>57.222298000000002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6888</v>
      </c>
      <c r="B48" s="45" t="s">
        <v>363</v>
      </c>
      <c r="C48" s="46">
        <v>43</v>
      </c>
      <c r="D48" s="47" t="s">
        <v>3654</v>
      </c>
      <c r="E48" s="48">
        <v>8</v>
      </c>
      <c r="F48" s="49">
        <v>14.09</v>
      </c>
      <c r="G48" s="50" t="s">
        <v>1116</v>
      </c>
      <c r="H48" s="51">
        <v>2438</v>
      </c>
      <c r="I48" s="45">
        <v>3353</v>
      </c>
      <c r="J48" s="52">
        <v>3</v>
      </c>
      <c r="K48" s="53">
        <f t="shared" si="0"/>
        <v>24.523842000000002</v>
      </c>
      <c r="L48" s="54" t="s">
        <v>7046</v>
      </c>
    </row>
    <row r="49" spans="1:12" s="55" customFormat="1" ht="19.5" customHeight="1" x14ac:dyDescent="0.3">
      <c r="A49" s="44"/>
      <c r="B49" s="45"/>
      <c r="C49" s="46">
        <v>47</v>
      </c>
      <c r="D49" s="47" t="s">
        <v>3654</v>
      </c>
      <c r="E49" s="48">
        <v>8</v>
      </c>
      <c r="F49" s="49">
        <v>4.6100000000000003</v>
      </c>
      <c r="G49" s="50"/>
      <c r="H49" s="51"/>
      <c r="I49" s="45"/>
      <c r="J49" s="52"/>
      <c r="K49" s="53">
        <f t="shared" si="0"/>
        <v>0</v>
      </c>
      <c r="L49" s="54" t="s">
        <v>7046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6888</v>
      </c>
      <c r="B51" s="45" t="s">
        <v>363</v>
      </c>
      <c r="C51" s="46">
        <v>43</v>
      </c>
      <c r="D51" s="47" t="s">
        <v>3654</v>
      </c>
      <c r="E51" s="48">
        <v>3</v>
      </c>
      <c r="F51" s="49">
        <v>4.9400000000000004</v>
      </c>
      <c r="G51" s="50" t="s">
        <v>421</v>
      </c>
      <c r="H51" s="51">
        <v>2438</v>
      </c>
      <c r="I51" s="45">
        <v>3353</v>
      </c>
      <c r="J51" s="52">
        <v>2</v>
      </c>
      <c r="K51" s="53">
        <f t="shared" si="0"/>
        <v>16.349228</v>
      </c>
      <c r="L51" s="54" t="s">
        <v>7047</v>
      </c>
    </row>
    <row r="52" spans="1:12" s="55" customFormat="1" ht="19.5" customHeight="1" x14ac:dyDescent="0.3">
      <c r="A52" s="44"/>
      <c r="B52" s="45"/>
      <c r="C52" s="46">
        <v>47</v>
      </c>
      <c r="D52" s="47" t="s">
        <v>3654</v>
      </c>
      <c r="E52" s="48">
        <v>11</v>
      </c>
      <c r="F52" s="49">
        <v>10.54</v>
      </c>
      <c r="G52" s="50"/>
      <c r="H52" s="51"/>
      <c r="I52" s="45"/>
      <c r="J52" s="52"/>
      <c r="K52" s="53">
        <f t="shared" si="0"/>
        <v>0</v>
      </c>
      <c r="L52" s="54" t="s">
        <v>7047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6888</v>
      </c>
      <c r="B54" s="45" t="s">
        <v>363</v>
      </c>
      <c r="C54" s="46">
        <v>35</v>
      </c>
      <c r="D54" s="47" t="s">
        <v>3654</v>
      </c>
      <c r="E54" s="48">
        <v>1</v>
      </c>
      <c r="F54" s="49">
        <v>1.53</v>
      </c>
      <c r="G54" s="50" t="s">
        <v>18</v>
      </c>
      <c r="H54" s="51">
        <v>2438</v>
      </c>
      <c r="I54" s="45">
        <v>3353</v>
      </c>
      <c r="J54" s="52">
        <v>3</v>
      </c>
      <c r="K54" s="53">
        <f t="shared" si="0"/>
        <v>24.523842000000002</v>
      </c>
      <c r="L54" s="54" t="s">
        <v>7048</v>
      </c>
    </row>
    <row r="55" spans="1:12" s="55" customFormat="1" ht="19.5" customHeight="1" x14ac:dyDescent="0.3">
      <c r="A55" s="44"/>
      <c r="B55" s="45"/>
      <c r="C55" s="46">
        <v>43</v>
      </c>
      <c r="D55" s="47" t="s">
        <v>3654</v>
      </c>
      <c r="E55" s="48">
        <v>6</v>
      </c>
      <c r="F55" s="49">
        <v>10.47</v>
      </c>
      <c r="G55" s="50" t="s">
        <v>18</v>
      </c>
      <c r="H55" s="51">
        <v>1981</v>
      </c>
      <c r="I55" s="45">
        <v>3353</v>
      </c>
      <c r="J55" s="52">
        <v>1</v>
      </c>
      <c r="K55" s="53">
        <f t="shared" si="0"/>
        <v>6.6422930000000004</v>
      </c>
      <c r="L55" s="54" t="s">
        <v>7048</v>
      </c>
    </row>
    <row r="56" spans="1:12" s="55" customFormat="1" ht="19.5" customHeight="1" x14ac:dyDescent="0.3">
      <c r="A56" s="44"/>
      <c r="B56" s="45"/>
      <c r="C56" s="46">
        <v>47</v>
      </c>
      <c r="D56" s="47" t="s">
        <v>3654</v>
      </c>
      <c r="E56" s="48">
        <v>7</v>
      </c>
      <c r="F56" s="49">
        <v>4.93</v>
      </c>
      <c r="G56" s="50"/>
      <c r="H56" s="51"/>
      <c r="I56" s="45"/>
      <c r="J56" s="52"/>
      <c r="K56" s="53">
        <f t="shared" si="0"/>
        <v>0</v>
      </c>
      <c r="L56" s="54" t="s">
        <v>7048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6956</v>
      </c>
      <c r="B58" s="45" t="s">
        <v>3827</v>
      </c>
      <c r="C58" s="46">
        <v>24</v>
      </c>
      <c r="D58" s="47" t="s">
        <v>3828</v>
      </c>
      <c r="E58" s="48">
        <v>1</v>
      </c>
      <c r="F58" s="49">
        <v>2.66</v>
      </c>
      <c r="G58" s="50"/>
      <c r="H58" s="51"/>
      <c r="I58" s="45"/>
      <c r="J58" s="52"/>
      <c r="K58" s="53">
        <f t="shared" si="0"/>
        <v>0</v>
      </c>
      <c r="L58" s="54" t="s">
        <v>7049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7050</v>
      </c>
      <c r="B60" s="45" t="s">
        <v>7051</v>
      </c>
      <c r="C60" s="46">
        <v>28</v>
      </c>
      <c r="D60" s="47" t="s">
        <v>1891</v>
      </c>
      <c r="E60" s="48">
        <v>36</v>
      </c>
      <c r="F60" s="49">
        <v>62.58</v>
      </c>
      <c r="G60" s="50" t="s">
        <v>1892</v>
      </c>
      <c r="H60" s="51">
        <v>2438</v>
      </c>
      <c r="I60" s="45">
        <v>3353</v>
      </c>
      <c r="J60" s="52">
        <v>10</v>
      </c>
      <c r="K60" s="53">
        <f t="shared" si="0"/>
        <v>81.746139999999997</v>
      </c>
      <c r="L60" s="54"/>
    </row>
    <row r="61" spans="1:12" s="55" customFormat="1" ht="19.5" customHeight="1" x14ac:dyDescent="0.3">
      <c r="A61" s="44"/>
      <c r="B61" s="45"/>
      <c r="C61" s="46">
        <v>28</v>
      </c>
      <c r="D61" s="47" t="s">
        <v>6727</v>
      </c>
      <c r="E61" s="48">
        <v>2</v>
      </c>
      <c r="F61" s="49">
        <v>3.73</v>
      </c>
      <c r="G61" s="50" t="s">
        <v>189</v>
      </c>
      <c r="H61" s="51">
        <v>2438</v>
      </c>
      <c r="I61" s="45">
        <v>3353</v>
      </c>
      <c r="J61" s="52">
        <v>10</v>
      </c>
      <c r="K61" s="53">
        <f t="shared" si="0"/>
        <v>81.746139999999997</v>
      </c>
      <c r="L61" s="54"/>
    </row>
    <row r="62" spans="1:12" s="55" customFormat="1" ht="19.5" customHeight="1" x14ac:dyDescent="0.3">
      <c r="A62" s="44"/>
      <c r="B62" s="45"/>
      <c r="C62" s="46">
        <v>28</v>
      </c>
      <c r="D62" s="47" t="s">
        <v>1891</v>
      </c>
      <c r="E62" s="48">
        <v>1</v>
      </c>
      <c r="F62" s="49">
        <v>1.91</v>
      </c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45"/>
      <c r="C63" s="46">
        <v>28</v>
      </c>
      <c r="D63" s="47" t="s">
        <v>1894</v>
      </c>
      <c r="E63" s="48">
        <v>1</v>
      </c>
      <c r="F63" s="49">
        <v>0.54</v>
      </c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7052</v>
      </c>
      <c r="B65" s="45" t="s">
        <v>3370</v>
      </c>
      <c r="C65" s="46">
        <v>22</v>
      </c>
      <c r="D65" s="47" t="s">
        <v>17</v>
      </c>
      <c r="E65" s="48">
        <v>16</v>
      </c>
      <c r="F65" s="49">
        <v>10.8</v>
      </c>
      <c r="G65" s="50" t="s">
        <v>18</v>
      </c>
      <c r="H65" s="51">
        <v>1981</v>
      </c>
      <c r="I65" s="45">
        <v>3353</v>
      </c>
      <c r="J65" s="52">
        <v>2</v>
      </c>
      <c r="K65" s="53">
        <f t="shared" si="0"/>
        <v>13.284586000000001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 t="s">
        <v>19</v>
      </c>
      <c r="H66" s="51">
        <v>1981</v>
      </c>
      <c r="I66" s="45">
        <v>3353</v>
      </c>
      <c r="J66" s="52">
        <v>2</v>
      </c>
      <c r="K66" s="53">
        <f t="shared" si="0"/>
        <v>13.284586000000001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 t="s">
        <v>7053</v>
      </c>
      <c r="B68" s="45" t="s">
        <v>3370</v>
      </c>
      <c r="C68" s="46">
        <v>22</v>
      </c>
      <c r="D68" s="47" t="s">
        <v>146</v>
      </c>
      <c r="E68" s="48">
        <v>1</v>
      </c>
      <c r="F68" s="49">
        <v>2.72</v>
      </c>
      <c r="G68" s="50" t="s">
        <v>49</v>
      </c>
      <c r="H68" s="51">
        <v>2134</v>
      </c>
      <c r="I68" s="45">
        <v>3353</v>
      </c>
      <c r="J68" s="52">
        <v>1</v>
      </c>
      <c r="K68" s="53">
        <f t="shared" si="0"/>
        <v>7.1553019999999998</v>
      </c>
      <c r="L68" s="54"/>
    </row>
    <row r="69" spans="1:12" s="55" customFormat="1" ht="19.5" customHeight="1" x14ac:dyDescent="0.3">
      <c r="A69" s="44"/>
      <c r="B69" s="45"/>
      <c r="C69" s="46">
        <v>22</v>
      </c>
      <c r="D69" s="47" t="s">
        <v>45</v>
      </c>
      <c r="E69" s="48">
        <v>4</v>
      </c>
      <c r="F69" s="49">
        <v>3.38</v>
      </c>
      <c r="G69" s="50" t="s">
        <v>39</v>
      </c>
      <c r="H69" s="51">
        <v>2134</v>
      </c>
      <c r="I69" s="45">
        <v>3353</v>
      </c>
      <c r="J69" s="52">
        <v>1</v>
      </c>
      <c r="K69" s="53">
        <f t="shared" si="0"/>
        <v>7.1553019999999998</v>
      </c>
      <c r="L69" s="54"/>
    </row>
    <row r="70" spans="1:12" s="55" customFormat="1" ht="19.5" customHeight="1" x14ac:dyDescent="0.3">
      <c r="A70" s="44"/>
      <c r="B70" s="45"/>
      <c r="C70" s="46">
        <v>22</v>
      </c>
      <c r="D70" s="47" t="s">
        <v>17</v>
      </c>
      <c r="E70" s="48">
        <v>2</v>
      </c>
      <c r="F70" s="49">
        <v>2.31</v>
      </c>
      <c r="G70" s="50"/>
      <c r="H70" s="51"/>
      <c r="I70" s="45"/>
      <c r="J70" s="52"/>
      <c r="K70" s="53">
        <f t="shared" si="0"/>
        <v>0</v>
      </c>
      <c r="L70" s="54" t="s">
        <v>31</v>
      </c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 t="s">
        <v>4935</v>
      </c>
      <c r="B72" s="45" t="s">
        <v>2005</v>
      </c>
      <c r="C72" s="46">
        <v>28</v>
      </c>
      <c r="D72" s="47" t="s">
        <v>2006</v>
      </c>
      <c r="E72" s="48">
        <v>1</v>
      </c>
      <c r="F72" s="49">
        <v>0.33</v>
      </c>
      <c r="G72" s="50" t="s">
        <v>655</v>
      </c>
      <c r="H72" s="51">
        <v>2134</v>
      </c>
      <c r="I72" s="45">
        <v>3048</v>
      </c>
      <c r="J72" s="52">
        <v>1</v>
      </c>
      <c r="K72" s="53">
        <f t="shared" si="0"/>
        <v>6.5044319999999995</v>
      </c>
      <c r="L72" s="54" t="s">
        <v>7054</v>
      </c>
    </row>
    <row r="73" spans="1:12" s="55" customFormat="1" ht="19.5" customHeight="1" x14ac:dyDescent="0.3">
      <c r="A73" s="44"/>
      <c r="B73" s="45"/>
      <c r="C73" s="46">
        <v>28</v>
      </c>
      <c r="D73" s="47" t="s">
        <v>196</v>
      </c>
      <c r="E73" s="48">
        <v>2</v>
      </c>
      <c r="F73" s="49">
        <v>1.27</v>
      </c>
      <c r="G73" s="50"/>
      <c r="H73" s="51"/>
      <c r="I73" s="45"/>
      <c r="J73" s="52"/>
      <c r="K73" s="53">
        <f t="shared" si="0"/>
        <v>0</v>
      </c>
      <c r="L73" s="54" t="s">
        <v>7054</v>
      </c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 t="s">
        <v>4935</v>
      </c>
      <c r="B75" s="45" t="s">
        <v>2005</v>
      </c>
      <c r="C75" s="46">
        <v>28</v>
      </c>
      <c r="D75" s="47" t="s">
        <v>196</v>
      </c>
      <c r="E75" s="48">
        <v>1</v>
      </c>
      <c r="F75" s="49">
        <v>0.66</v>
      </c>
      <c r="G75" s="50"/>
      <c r="H75" s="51"/>
      <c r="I75" s="45"/>
      <c r="J75" s="52"/>
      <c r="K75" s="53">
        <f t="shared" si="0"/>
        <v>0</v>
      </c>
      <c r="L75" s="54" t="s">
        <v>7055</v>
      </c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 t="s">
        <v>6466</v>
      </c>
      <c r="B77" s="45" t="s">
        <v>1150</v>
      </c>
      <c r="C77" s="46">
        <v>22</v>
      </c>
      <c r="D77" s="47" t="s">
        <v>5625</v>
      </c>
      <c r="E77" s="48">
        <v>98</v>
      </c>
      <c r="F77" s="49">
        <v>121.52</v>
      </c>
      <c r="G77" s="50" t="s">
        <v>18</v>
      </c>
      <c r="H77" s="51">
        <v>1981</v>
      </c>
      <c r="I77" s="45">
        <v>3353</v>
      </c>
      <c r="J77" s="52">
        <v>20</v>
      </c>
      <c r="K77" s="53">
        <f t="shared" si="0"/>
        <v>132.84586000000002</v>
      </c>
      <c r="L77" s="54" t="s">
        <v>7056</v>
      </c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/>
      <c r="B80" s="45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9" customFormat="1" ht="20.100000000000001" customHeight="1" x14ac:dyDescent="0.3">
      <c r="A83" s="44"/>
      <c r="B83" s="45"/>
      <c r="C83" s="46"/>
      <c r="D83" s="47"/>
      <c r="E83" s="56"/>
      <c r="F83" s="57"/>
      <c r="G83" s="50"/>
      <c r="H83" s="51"/>
      <c r="I83" s="45"/>
      <c r="J83" s="52"/>
      <c r="K83" s="53">
        <f t="shared" si="0"/>
        <v>0</v>
      </c>
      <c r="L83" s="58">
        <f>SUM(J39:J84)</f>
        <v>90</v>
      </c>
    </row>
    <row r="84" spans="1:12" s="59" customFormat="1" ht="20.100000000000001" customHeight="1" x14ac:dyDescent="0.3">
      <c r="A84" s="44"/>
      <c r="B84" s="45"/>
      <c r="C84" s="46"/>
      <c r="D84" s="47"/>
      <c r="E84" s="60"/>
      <c r="F84" s="61"/>
      <c r="G84" s="62"/>
      <c r="H84" s="51"/>
      <c r="I84" s="45"/>
      <c r="J84" s="63"/>
      <c r="K84" s="53">
        <f t="shared" si="0"/>
        <v>0</v>
      </c>
      <c r="L84" s="64">
        <f>SUM(K39:K84)</f>
        <v>678.40539599999988</v>
      </c>
    </row>
    <row r="85" spans="1:12" s="59" customFormat="1" ht="20.100000000000001" customHeight="1" thickBot="1" x14ac:dyDescent="0.35">
      <c r="A85" s="114"/>
      <c r="B85" s="115"/>
      <c r="C85" s="115"/>
      <c r="D85" s="115"/>
      <c r="E85" s="115"/>
      <c r="F85" s="115"/>
      <c r="G85" s="115"/>
      <c r="H85" s="115"/>
      <c r="I85" s="115"/>
      <c r="J85" s="65">
        <f>SUM(J7:J84)</f>
        <v>172</v>
      </c>
      <c r="K85" s="66">
        <f>SUM(K7:K84)</f>
        <v>1201.1799129999999</v>
      </c>
      <c r="L85" s="67"/>
    </row>
    <row r="86" spans="1:12" s="59" customFormat="1" ht="20.100000000000001" customHeight="1" thickTop="1" thickBot="1" x14ac:dyDescent="0.35">
      <c r="A86" s="116" t="s">
        <v>52</v>
      </c>
      <c r="B86" s="117"/>
      <c r="C86" s="68"/>
      <c r="D86" s="118">
        <f>J85</f>
        <v>172</v>
      </c>
      <c r="E86" s="119"/>
      <c r="F86" s="119"/>
      <c r="G86" s="120"/>
      <c r="H86" s="121"/>
      <c r="I86" s="121"/>
      <c r="J86" s="122"/>
      <c r="K86" s="119"/>
      <c r="L86" s="123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71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72"/>
      <c r="F92" s="5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5"/>
      <c r="G93" s="73"/>
      <c r="H93" s="5"/>
      <c r="I93" s="74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72"/>
      <c r="I97" s="72"/>
      <c r="J97" s="5"/>
      <c r="K97" s="5"/>
      <c r="L97" s="5"/>
    </row>
    <row r="98" spans="1:12" ht="20.100000000000001" customHeight="1" x14ac:dyDescent="0.3">
      <c r="A98" s="113"/>
      <c r="B98" s="113"/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A101" s="113"/>
      <c r="B101" s="113"/>
      <c r="H101" s="72"/>
      <c r="I101" s="72"/>
    </row>
    <row r="102" spans="1:12" ht="20.100000000000001" customHeight="1" x14ac:dyDescent="0.3">
      <c r="A102" s="113"/>
      <c r="B102" s="113"/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H105" s="72"/>
      <c r="I105" s="72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5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5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5" customFormat="1" ht="19.5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</sheetData>
  <mergeCells count="30">
    <mergeCell ref="A101:B101"/>
    <mergeCell ref="A102:B102"/>
    <mergeCell ref="A92:B92"/>
    <mergeCell ref="A93:B93"/>
    <mergeCell ref="A94:B94"/>
    <mergeCell ref="A96:B96"/>
    <mergeCell ref="A97:B97"/>
    <mergeCell ref="A98:B98"/>
    <mergeCell ref="A91:B9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5:I85"/>
    <mergeCell ref="A86:B86"/>
    <mergeCell ref="D86:G86"/>
    <mergeCell ref="H86:J86"/>
    <mergeCell ref="K86:L86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L176"/>
  <sheetViews>
    <sheetView view="pageBreakPreview" topLeftCell="A70" zoomScale="85" zoomScaleNormal="100" zoomScaleSheetLayoutView="85" workbookViewId="0">
      <selection activeCell="L83" sqref="L83:L8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46233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4" si="0">(H7/1000*I7/1000)*J7</f>
        <v>0</v>
      </c>
      <c r="L7" s="26">
        <f>SUM(J7:J38)</f>
        <v>99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SUM(K7:K38)</f>
        <v>669.37008800000024</v>
      </c>
    </row>
    <row r="9" spans="1:12" s="27" customFormat="1" ht="19.5" customHeight="1" x14ac:dyDescent="0.3">
      <c r="A9" s="28" t="s">
        <v>6969</v>
      </c>
      <c r="B9" s="16" t="s">
        <v>6970</v>
      </c>
      <c r="C9" s="17">
        <v>8</v>
      </c>
      <c r="D9" s="18" t="s">
        <v>6971</v>
      </c>
      <c r="E9" s="41">
        <v>48</v>
      </c>
      <c r="F9" s="42">
        <v>98.88</v>
      </c>
      <c r="G9" s="34" t="s">
        <v>6972</v>
      </c>
      <c r="H9" s="35">
        <v>2438</v>
      </c>
      <c r="I9" s="36">
        <v>3048</v>
      </c>
      <c r="J9" s="37">
        <v>16</v>
      </c>
      <c r="K9" s="25">
        <f t="shared" si="0"/>
        <v>118.89638400000001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6973</v>
      </c>
      <c r="B11" s="16" t="s">
        <v>6974</v>
      </c>
      <c r="C11" s="17">
        <v>22</v>
      </c>
      <c r="D11" s="18" t="s">
        <v>6975</v>
      </c>
      <c r="E11" s="41">
        <v>10</v>
      </c>
      <c r="F11" s="42">
        <v>23.6</v>
      </c>
      <c r="G11" s="34" t="s">
        <v>6979</v>
      </c>
      <c r="H11" s="35">
        <v>1981</v>
      </c>
      <c r="I11" s="36">
        <v>3353</v>
      </c>
      <c r="J11" s="37">
        <v>18</v>
      </c>
      <c r="K11" s="85">
        <f t="shared" si="0"/>
        <v>119.56127400000001</v>
      </c>
      <c r="L11" s="39" t="s">
        <v>6982</v>
      </c>
    </row>
    <row r="12" spans="1:12" s="27" customFormat="1" ht="19.5" customHeight="1" x14ac:dyDescent="0.3">
      <c r="A12" s="28"/>
      <c r="B12" s="16"/>
      <c r="C12" s="17">
        <v>22</v>
      </c>
      <c r="D12" s="18" t="s">
        <v>6976</v>
      </c>
      <c r="E12" s="41">
        <v>5</v>
      </c>
      <c r="F12" s="42">
        <v>16.149999999999999</v>
      </c>
      <c r="G12" s="34" t="s">
        <v>6980</v>
      </c>
      <c r="H12" s="35">
        <v>1981</v>
      </c>
      <c r="I12" s="36">
        <v>3353</v>
      </c>
      <c r="J12" s="37">
        <v>17</v>
      </c>
      <c r="K12" s="85">
        <f t="shared" si="0"/>
        <v>112.918981</v>
      </c>
      <c r="L12" s="39" t="s">
        <v>6982</v>
      </c>
    </row>
    <row r="13" spans="1:12" s="27" customFormat="1" ht="19.5" customHeight="1" x14ac:dyDescent="0.3">
      <c r="A13" s="28"/>
      <c r="B13" s="16"/>
      <c r="C13" s="17">
        <v>22</v>
      </c>
      <c r="D13" s="18" t="s">
        <v>6977</v>
      </c>
      <c r="E13" s="41">
        <v>115</v>
      </c>
      <c r="F13" s="42">
        <v>74.05</v>
      </c>
      <c r="G13" s="34" t="s">
        <v>6981</v>
      </c>
      <c r="H13" s="35">
        <v>1981</v>
      </c>
      <c r="I13" s="36">
        <v>3353</v>
      </c>
      <c r="J13" s="37">
        <v>18</v>
      </c>
      <c r="K13" s="85">
        <f t="shared" si="0"/>
        <v>119.56127400000001</v>
      </c>
      <c r="L13" s="39" t="s">
        <v>6982</v>
      </c>
    </row>
    <row r="14" spans="1:12" s="27" customFormat="1" ht="19.5" customHeight="1" x14ac:dyDescent="0.3">
      <c r="A14" s="28"/>
      <c r="B14" s="16"/>
      <c r="C14" s="17">
        <v>22</v>
      </c>
      <c r="D14" s="18" t="s">
        <v>6978</v>
      </c>
      <c r="E14" s="41">
        <v>130</v>
      </c>
      <c r="F14" s="42">
        <v>113.8</v>
      </c>
      <c r="G14" s="34"/>
      <c r="H14" s="35"/>
      <c r="I14" s="36"/>
      <c r="J14" s="37"/>
      <c r="K14" s="85">
        <f t="shared" si="0"/>
        <v>0</v>
      </c>
      <c r="L14" s="39" t="s">
        <v>6983</v>
      </c>
    </row>
    <row r="15" spans="1:12" s="27" customFormat="1" ht="19.5" customHeight="1" x14ac:dyDescent="0.3">
      <c r="A15" s="28"/>
      <c r="B15" s="16"/>
      <c r="C15" s="17">
        <v>22</v>
      </c>
      <c r="D15" s="18" t="s">
        <v>6977</v>
      </c>
      <c r="E15" s="41">
        <v>30</v>
      </c>
      <c r="F15" s="42">
        <v>8.4</v>
      </c>
      <c r="G15" s="34"/>
      <c r="H15" s="35"/>
      <c r="I15" s="36"/>
      <c r="J15" s="37"/>
      <c r="K15" s="85">
        <f t="shared" si="0"/>
        <v>0</v>
      </c>
      <c r="L15" s="39" t="s">
        <v>6982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 t="s">
        <v>6984</v>
      </c>
      <c r="B17" s="16" t="s">
        <v>6974</v>
      </c>
      <c r="C17" s="17">
        <v>22</v>
      </c>
      <c r="D17" s="18" t="s">
        <v>6975</v>
      </c>
      <c r="E17" s="41">
        <v>20</v>
      </c>
      <c r="F17" s="42">
        <v>47.2</v>
      </c>
      <c r="G17" s="34" t="s">
        <v>6979</v>
      </c>
      <c r="H17" s="35">
        <v>1981</v>
      </c>
      <c r="I17" s="36">
        <v>3353</v>
      </c>
      <c r="J17" s="37">
        <v>10</v>
      </c>
      <c r="K17" s="85">
        <f t="shared" si="0"/>
        <v>66.422930000000008</v>
      </c>
      <c r="L17" s="39"/>
    </row>
    <row r="18" spans="1:12" s="27" customFormat="1" ht="19.5" customHeight="1" x14ac:dyDescent="0.3">
      <c r="A18" s="28"/>
      <c r="B18" s="16"/>
      <c r="C18" s="17">
        <v>22</v>
      </c>
      <c r="D18" s="18" t="s">
        <v>6976</v>
      </c>
      <c r="E18" s="41">
        <v>5</v>
      </c>
      <c r="F18" s="42">
        <v>16.149999999999999</v>
      </c>
      <c r="G18" s="34" t="s">
        <v>6981</v>
      </c>
      <c r="H18" s="35">
        <v>1981</v>
      </c>
      <c r="I18" s="36">
        <v>3353</v>
      </c>
      <c r="J18" s="37">
        <v>10</v>
      </c>
      <c r="K18" s="85">
        <f t="shared" si="0"/>
        <v>66.422930000000008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85">
        <f t="shared" si="0"/>
        <v>0</v>
      </c>
      <c r="L19" s="39"/>
    </row>
    <row r="20" spans="1:12" s="27" customFormat="1" ht="19.5" customHeight="1" x14ac:dyDescent="0.3">
      <c r="A20" s="28" t="s">
        <v>6985</v>
      </c>
      <c r="B20" s="16" t="s">
        <v>6974</v>
      </c>
      <c r="C20" s="17">
        <v>22</v>
      </c>
      <c r="D20" s="18" t="s">
        <v>6975</v>
      </c>
      <c r="E20" s="41">
        <v>5</v>
      </c>
      <c r="F20" s="42">
        <f>32.3/10*5</f>
        <v>16.149999999999999</v>
      </c>
      <c r="G20" s="34" t="s">
        <v>6979</v>
      </c>
      <c r="H20" s="35">
        <v>1981</v>
      </c>
      <c r="I20" s="36">
        <v>3353</v>
      </c>
      <c r="J20" s="37">
        <v>3</v>
      </c>
      <c r="K20" s="25">
        <f t="shared" si="0"/>
        <v>19.926879</v>
      </c>
      <c r="L20" s="39" t="s">
        <v>6986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0"/>
        <v>0</v>
      </c>
      <c r="L21" s="39"/>
    </row>
    <row r="22" spans="1:12" s="27" customFormat="1" ht="19.5" customHeight="1" x14ac:dyDescent="0.3">
      <c r="A22" s="28" t="s">
        <v>6987</v>
      </c>
      <c r="B22" s="16" t="s">
        <v>6974</v>
      </c>
      <c r="C22" s="17">
        <v>22</v>
      </c>
      <c r="D22" s="18" t="s">
        <v>6978</v>
      </c>
      <c r="E22" s="41">
        <v>1</v>
      </c>
      <c r="F22" s="42">
        <v>3.23</v>
      </c>
      <c r="G22" s="34" t="s">
        <v>6980</v>
      </c>
      <c r="H22" s="35">
        <v>1981</v>
      </c>
      <c r="I22" s="36">
        <v>3353</v>
      </c>
      <c r="J22" s="37">
        <v>1</v>
      </c>
      <c r="K22" s="85"/>
      <c r="L22" s="39" t="s">
        <v>6988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 t="s">
        <v>6981</v>
      </c>
      <c r="H23" s="35">
        <v>1981</v>
      </c>
      <c r="I23" s="36">
        <v>3353</v>
      </c>
      <c r="J23" s="37">
        <v>1</v>
      </c>
      <c r="K23" s="85">
        <f t="shared" si="0"/>
        <v>6.6422930000000004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 t="s">
        <v>6989</v>
      </c>
      <c r="B25" s="16" t="s">
        <v>6990</v>
      </c>
      <c r="C25" s="17">
        <v>12</v>
      </c>
      <c r="D25" s="18" t="s">
        <v>6991</v>
      </c>
      <c r="E25" s="41">
        <v>2</v>
      </c>
      <c r="F25" s="42">
        <v>4.08</v>
      </c>
      <c r="G25" s="34" t="s">
        <v>6992</v>
      </c>
      <c r="H25" s="35">
        <v>2743</v>
      </c>
      <c r="I25" s="36">
        <v>3048</v>
      </c>
      <c r="J25" s="37">
        <v>1</v>
      </c>
      <c r="K25" s="85">
        <f t="shared" si="0"/>
        <v>8.3606639999999981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/>
      <c r="L26" s="39"/>
    </row>
    <row r="27" spans="1:12" s="27" customFormat="1" ht="19.5" customHeight="1" x14ac:dyDescent="0.3">
      <c r="A27" s="28" t="s">
        <v>6993</v>
      </c>
      <c r="B27" s="16" t="s">
        <v>6994</v>
      </c>
      <c r="C27" s="17">
        <v>5</v>
      </c>
      <c r="D27" s="18" t="s">
        <v>6995</v>
      </c>
      <c r="E27" s="41">
        <v>24</v>
      </c>
      <c r="F27" s="42">
        <v>15.72</v>
      </c>
      <c r="G27" s="34" t="s">
        <v>6980</v>
      </c>
      <c r="H27" s="35">
        <v>2438</v>
      </c>
      <c r="I27" s="36">
        <v>3353</v>
      </c>
      <c r="J27" s="37">
        <v>2</v>
      </c>
      <c r="K27" s="85">
        <f t="shared" si="0"/>
        <v>16.349228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 t="s">
        <v>6932</v>
      </c>
      <c r="B29" s="16" t="s">
        <v>1890</v>
      </c>
      <c r="C29" s="17">
        <v>24</v>
      </c>
      <c r="D29" s="18" t="s">
        <v>6996</v>
      </c>
      <c r="E29" s="41">
        <v>1</v>
      </c>
      <c r="F29" s="42">
        <v>2.85</v>
      </c>
      <c r="G29" s="34" t="s">
        <v>6997</v>
      </c>
      <c r="H29" s="35">
        <v>2438</v>
      </c>
      <c r="I29" s="36">
        <v>3353</v>
      </c>
      <c r="J29" s="37">
        <v>1</v>
      </c>
      <c r="K29" s="85">
        <f t="shared" si="0"/>
        <v>8.174614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 t="s">
        <v>6980</v>
      </c>
      <c r="H30" s="35">
        <v>1829</v>
      </c>
      <c r="I30" s="36">
        <v>3353</v>
      </c>
      <c r="J30" s="37">
        <v>1</v>
      </c>
      <c r="K30" s="85">
        <f t="shared" si="0"/>
        <v>6.1326369999999999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8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8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8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25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6998</v>
      </c>
      <c r="B40" s="45" t="s">
        <v>6999</v>
      </c>
      <c r="C40" s="46">
        <v>28</v>
      </c>
      <c r="D40" s="47" t="s">
        <v>7000</v>
      </c>
      <c r="E40" s="48">
        <v>5</v>
      </c>
      <c r="F40" s="49">
        <v>7.4</v>
      </c>
      <c r="G40" s="50" t="s">
        <v>7005</v>
      </c>
      <c r="H40" s="51">
        <v>2438</v>
      </c>
      <c r="I40" s="45">
        <v>3353</v>
      </c>
      <c r="J40" s="52">
        <v>2</v>
      </c>
      <c r="K40" s="53">
        <f t="shared" si="0"/>
        <v>16.349228</v>
      </c>
      <c r="L40" s="54"/>
    </row>
    <row r="41" spans="1:12" s="55" customFormat="1" ht="19.5" customHeight="1" x14ac:dyDescent="0.3">
      <c r="A41" s="44"/>
      <c r="B41" s="45"/>
      <c r="C41" s="46">
        <v>28</v>
      </c>
      <c r="D41" s="47" t="s">
        <v>7001</v>
      </c>
      <c r="E41" s="48">
        <v>2</v>
      </c>
      <c r="F41" s="49">
        <v>1.24</v>
      </c>
      <c r="G41" s="50" t="s">
        <v>7007</v>
      </c>
      <c r="H41" s="51">
        <v>2438</v>
      </c>
      <c r="I41" s="45">
        <v>3048</v>
      </c>
      <c r="J41" s="52">
        <v>2</v>
      </c>
      <c r="K41" s="53">
        <f t="shared" si="0"/>
        <v>14.862048000000001</v>
      </c>
      <c r="L41" s="54"/>
    </row>
    <row r="42" spans="1:12" s="55" customFormat="1" ht="19.5" customHeight="1" x14ac:dyDescent="0.3">
      <c r="A42" s="44"/>
      <c r="B42" s="45"/>
      <c r="C42" s="46">
        <v>28</v>
      </c>
      <c r="D42" s="47" t="s">
        <v>7000</v>
      </c>
      <c r="E42" s="48">
        <v>2</v>
      </c>
      <c r="F42" s="49">
        <v>4.3899999999999997</v>
      </c>
      <c r="G42" s="50" t="s">
        <v>7006</v>
      </c>
      <c r="H42" s="51">
        <v>2438</v>
      </c>
      <c r="I42" s="45">
        <v>3353</v>
      </c>
      <c r="J42" s="52">
        <v>4</v>
      </c>
      <c r="K42" s="53">
        <f t="shared" si="0"/>
        <v>32.698456</v>
      </c>
      <c r="L42" s="54"/>
    </row>
    <row r="43" spans="1:12" s="55" customFormat="1" ht="19.5" customHeight="1" x14ac:dyDescent="0.3">
      <c r="A43" s="44"/>
      <c r="B43" s="45"/>
      <c r="C43" s="46">
        <v>28</v>
      </c>
      <c r="D43" s="47" t="s">
        <v>7002</v>
      </c>
      <c r="E43" s="48">
        <v>1</v>
      </c>
      <c r="F43" s="49">
        <v>1.1499999999999999</v>
      </c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/>
      <c r="B44" s="45"/>
      <c r="C44" s="46">
        <v>28</v>
      </c>
      <c r="D44" s="47" t="s">
        <v>7003</v>
      </c>
      <c r="E44" s="48">
        <v>4</v>
      </c>
      <c r="F44" s="49">
        <v>4.2699999999999996</v>
      </c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/>
      <c r="B45" s="45"/>
      <c r="C45" s="46">
        <v>28</v>
      </c>
      <c r="D45" s="47" t="s">
        <v>7004</v>
      </c>
      <c r="E45" s="48">
        <v>3</v>
      </c>
      <c r="F45" s="49">
        <v>3</v>
      </c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46">
        <v>28</v>
      </c>
      <c r="D46" s="47" t="s">
        <v>7003</v>
      </c>
      <c r="E46" s="48">
        <v>3</v>
      </c>
      <c r="F46" s="49">
        <v>6.93</v>
      </c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7008</v>
      </c>
      <c r="B48" s="45" t="s">
        <v>6999</v>
      </c>
      <c r="C48" s="46">
        <v>28</v>
      </c>
      <c r="D48" s="47" t="s">
        <v>7000</v>
      </c>
      <c r="E48" s="48">
        <v>3</v>
      </c>
      <c r="F48" s="49">
        <v>2.87</v>
      </c>
      <c r="G48" s="50" t="s">
        <v>7005</v>
      </c>
      <c r="H48" s="51">
        <v>2438</v>
      </c>
      <c r="I48" s="45">
        <v>3353</v>
      </c>
      <c r="J48" s="52">
        <v>2</v>
      </c>
      <c r="K48" s="53">
        <f t="shared" si="0"/>
        <v>16.349228</v>
      </c>
      <c r="L48" s="54"/>
    </row>
    <row r="49" spans="1:12" s="55" customFormat="1" ht="19.5" customHeight="1" x14ac:dyDescent="0.3">
      <c r="A49" s="44"/>
      <c r="B49" s="45"/>
      <c r="C49" s="46">
        <v>28</v>
      </c>
      <c r="D49" s="47" t="s">
        <v>7002</v>
      </c>
      <c r="E49" s="48">
        <v>2</v>
      </c>
      <c r="F49" s="49">
        <v>2.4</v>
      </c>
      <c r="G49" s="50" t="s">
        <v>7006</v>
      </c>
      <c r="H49" s="51">
        <v>2438</v>
      </c>
      <c r="I49" s="45">
        <v>3353</v>
      </c>
      <c r="J49" s="52">
        <v>2</v>
      </c>
      <c r="K49" s="53">
        <f t="shared" si="0"/>
        <v>16.349228</v>
      </c>
      <c r="L49" s="54"/>
    </row>
    <row r="50" spans="1:12" s="55" customFormat="1" ht="19.5" customHeight="1" x14ac:dyDescent="0.3">
      <c r="A50" s="44"/>
      <c r="B50" s="45"/>
      <c r="C50" s="46">
        <v>28</v>
      </c>
      <c r="D50" s="47" t="s">
        <v>7009</v>
      </c>
      <c r="E50" s="48">
        <v>2</v>
      </c>
      <c r="F50" s="49">
        <v>2.2200000000000002</v>
      </c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>
        <v>28</v>
      </c>
      <c r="D51" s="47" t="s">
        <v>7001</v>
      </c>
      <c r="E51" s="48">
        <v>7</v>
      </c>
      <c r="F51" s="49">
        <v>7.05</v>
      </c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>
        <v>28</v>
      </c>
      <c r="D52" s="47" t="s">
        <v>7000</v>
      </c>
      <c r="E52" s="48">
        <v>1</v>
      </c>
      <c r="F52" s="49">
        <v>1.81</v>
      </c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7010</v>
      </c>
      <c r="B54" s="45" t="s">
        <v>6999</v>
      </c>
      <c r="C54" s="46">
        <v>28</v>
      </c>
      <c r="D54" s="47" t="s">
        <v>7000</v>
      </c>
      <c r="E54" s="48">
        <v>19</v>
      </c>
      <c r="F54" s="49">
        <v>21.38</v>
      </c>
      <c r="G54" s="50" t="s">
        <v>7005</v>
      </c>
      <c r="H54" s="51">
        <v>2438</v>
      </c>
      <c r="I54" s="45">
        <v>3353</v>
      </c>
      <c r="J54" s="52">
        <v>6</v>
      </c>
      <c r="K54" s="53">
        <f t="shared" si="0"/>
        <v>49.047684000000004</v>
      </c>
      <c r="L54" s="54"/>
    </row>
    <row r="55" spans="1:12" s="55" customFormat="1" ht="19.5" customHeight="1" x14ac:dyDescent="0.3">
      <c r="A55" s="44"/>
      <c r="B55" s="45"/>
      <c r="C55" s="46">
        <v>28</v>
      </c>
      <c r="D55" s="47" t="s">
        <v>7001</v>
      </c>
      <c r="E55" s="48">
        <v>3</v>
      </c>
      <c r="F55" s="49">
        <v>1.7</v>
      </c>
      <c r="G55" s="50" t="s">
        <v>7006</v>
      </c>
      <c r="H55" s="51">
        <v>2438</v>
      </c>
      <c r="I55" s="45">
        <v>3353</v>
      </c>
      <c r="J55" s="52">
        <v>6</v>
      </c>
      <c r="K55" s="53">
        <f t="shared" si="0"/>
        <v>49.047684000000004</v>
      </c>
      <c r="L55" s="54"/>
    </row>
    <row r="56" spans="1:12" s="55" customFormat="1" ht="19.5" customHeight="1" x14ac:dyDescent="0.3">
      <c r="A56" s="44"/>
      <c r="B56" s="45"/>
      <c r="C56" s="46">
        <v>28</v>
      </c>
      <c r="D56" s="47" t="s">
        <v>7000</v>
      </c>
      <c r="E56" s="48">
        <v>9</v>
      </c>
      <c r="F56" s="49">
        <v>19.149999999999999</v>
      </c>
      <c r="G56" s="50"/>
      <c r="H56" s="51"/>
      <c r="I56" s="45"/>
      <c r="J56" s="52"/>
      <c r="K56" s="53">
        <f t="shared" ref="K56:K63" si="1">(H56/1000*I56/1000)*J56</f>
        <v>0</v>
      </c>
      <c r="L56" s="54"/>
    </row>
    <row r="57" spans="1:12" s="55" customFormat="1" ht="19.5" customHeight="1" x14ac:dyDescent="0.3">
      <c r="A57" s="44"/>
      <c r="B57" s="45"/>
      <c r="C57" s="46">
        <v>28</v>
      </c>
      <c r="D57" s="47" t="s">
        <v>7002</v>
      </c>
      <c r="E57" s="48">
        <v>1</v>
      </c>
      <c r="F57" s="49">
        <v>1.28</v>
      </c>
      <c r="G57" s="50"/>
      <c r="H57" s="51"/>
      <c r="I57" s="45"/>
      <c r="J57" s="52"/>
      <c r="K57" s="53">
        <f t="shared" si="1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1"/>
        <v>0</v>
      </c>
      <c r="L58" s="54"/>
    </row>
    <row r="59" spans="1:12" s="55" customFormat="1" ht="19.5" customHeight="1" x14ac:dyDescent="0.3">
      <c r="A59" s="44" t="s">
        <v>7011</v>
      </c>
      <c r="B59" s="45" t="s">
        <v>6970</v>
      </c>
      <c r="C59" s="46">
        <v>26</v>
      </c>
      <c r="D59" s="47" t="s">
        <v>7012</v>
      </c>
      <c r="E59" s="48">
        <v>8</v>
      </c>
      <c r="F59" s="49">
        <v>11.92</v>
      </c>
      <c r="G59" s="50" t="s">
        <v>7014</v>
      </c>
      <c r="H59" s="51">
        <v>2438</v>
      </c>
      <c r="I59" s="45">
        <v>3353</v>
      </c>
      <c r="J59" s="52">
        <v>2</v>
      </c>
      <c r="K59" s="53">
        <f t="shared" si="1"/>
        <v>16.349228</v>
      </c>
      <c r="L59" s="54"/>
    </row>
    <row r="60" spans="1:12" s="55" customFormat="1" ht="19.5" customHeight="1" x14ac:dyDescent="0.3">
      <c r="A60" s="44"/>
      <c r="B60" s="45"/>
      <c r="C60" s="46">
        <v>24</v>
      </c>
      <c r="D60" s="47" t="s">
        <v>7013</v>
      </c>
      <c r="E60" s="48">
        <v>16</v>
      </c>
      <c r="F60" s="49">
        <v>21.6</v>
      </c>
      <c r="G60" s="50" t="s">
        <v>6980</v>
      </c>
      <c r="H60" s="51">
        <v>2438</v>
      </c>
      <c r="I60" s="45">
        <v>3353</v>
      </c>
      <c r="J60" s="52">
        <v>2</v>
      </c>
      <c r="K60" s="53">
        <f t="shared" si="1"/>
        <v>16.349228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 t="s">
        <v>7015</v>
      </c>
      <c r="H61" s="51">
        <v>2438</v>
      </c>
      <c r="I61" s="45">
        <v>3048</v>
      </c>
      <c r="J61" s="52">
        <v>4</v>
      </c>
      <c r="K61" s="53">
        <f t="shared" si="1"/>
        <v>29.724096000000003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 t="s">
        <v>7006</v>
      </c>
      <c r="H62" s="51">
        <v>2438</v>
      </c>
      <c r="I62" s="45">
        <v>3353</v>
      </c>
      <c r="J62" s="52">
        <v>3</v>
      </c>
      <c r="K62" s="53">
        <f t="shared" si="1"/>
        <v>24.523842000000002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 t="s">
        <v>7006</v>
      </c>
      <c r="H63" s="51">
        <v>1981</v>
      </c>
      <c r="I63" s="45">
        <v>3353</v>
      </c>
      <c r="J63" s="52">
        <v>1</v>
      </c>
      <c r="K63" s="53">
        <f t="shared" si="1"/>
        <v>6.6422930000000004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7016</v>
      </c>
      <c r="B65" s="45" t="s">
        <v>7017</v>
      </c>
      <c r="C65" s="46">
        <v>24</v>
      </c>
      <c r="D65" s="47" t="s">
        <v>7018</v>
      </c>
      <c r="E65" s="48">
        <v>29</v>
      </c>
      <c r="F65" s="49">
        <v>30.45</v>
      </c>
      <c r="G65" s="50" t="s">
        <v>6979</v>
      </c>
      <c r="H65" s="51">
        <v>2134</v>
      </c>
      <c r="I65" s="45">
        <v>3353</v>
      </c>
      <c r="J65" s="52">
        <v>5</v>
      </c>
      <c r="K65" s="53">
        <f t="shared" ref="K65:K75" si="2">(H65/1000*I65/1000)*J65</f>
        <v>35.776510000000002</v>
      </c>
      <c r="L65" s="54"/>
    </row>
    <row r="66" spans="1:12" s="55" customFormat="1" ht="19.5" customHeight="1" x14ac:dyDescent="0.3">
      <c r="A66" s="44"/>
      <c r="B66" s="45"/>
      <c r="C66" s="46">
        <v>43</v>
      </c>
      <c r="D66" s="47" t="s">
        <v>7019</v>
      </c>
      <c r="E66" s="48">
        <v>4</v>
      </c>
      <c r="F66" s="49">
        <v>3.94</v>
      </c>
      <c r="G66" s="50" t="s">
        <v>7020</v>
      </c>
      <c r="H66" s="51">
        <v>2438</v>
      </c>
      <c r="I66" s="45">
        <v>3353</v>
      </c>
      <c r="J66" s="52">
        <v>4</v>
      </c>
      <c r="K66" s="53">
        <f t="shared" si="2"/>
        <v>32.698456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 t="s">
        <v>7020</v>
      </c>
      <c r="H67" s="51">
        <v>2134</v>
      </c>
      <c r="I67" s="45">
        <v>3048</v>
      </c>
      <c r="J67" s="52">
        <v>1</v>
      </c>
      <c r="K67" s="53">
        <f t="shared" si="2"/>
        <v>6.5044319999999995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 t="s">
        <v>7021</v>
      </c>
      <c r="H68" s="51">
        <v>2438</v>
      </c>
      <c r="I68" s="45">
        <v>3353</v>
      </c>
      <c r="J68" s="52">
        <v>1</v>
      </c>
      <c r="K68" s="53">
        <f t="shared" si="2"/>
        <v>8.174614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2"/>
        <v>0</v>
      </c>
      <c r="L69" s="54"/>
    </row>
    <row r="70" spans="1:12" s="55" customFormat="1" ht="19.5" customHeight="1" x14ac:dyDescent="0.3">
      <c r="A70" s="44" t="s">
        <v>7022</v>
      </c>
      <c r="B70" s="45" t="s">
        <v>1819</v>
      </c>
      <c r="C70" s="46">
        <v>22</v>
      </c>
      <c r="D70" s="47" t="s">
        <v>17</v>
      </c>
      <c r="E70" s="48">
        <v>60</v>
      </c>
      <c r="F70" s="49">
        <v>100.19999999999999</v>
      </c>
      <c r="G70" s="50" t="s">
        <v>19</v>
      </c>
      <c r="H70" s="51">
        <v>2134</v>
      </c>
      <c r="I70" s="45">
        <v>3048</v>
      </c>
      <c r="J70" s="52">
        <v>15</v>
      </c>
      <c r="K70" s="53">
        <f t="shared" si="2"/>
        <v>97.566479999999999</v>
      </c>
      <c r="L70" s="54" t="s">
        <v>7023</v>
      </c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 t="s">
        <v>39</v>
      </c>
      <c r="H71" s="51">
        <v>2134</v>
      </c>
      <c r="I71" s="45">
        <v>3353</v>
      </c>
      <c r="J71" s="52">
        <v>4</v>
      </c>
      <c r="K71" s="53">
        <f t="shared" si="2"/>
        <v>28.621207999999999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2"/>
        <v>0</v>
      </c>
      <c r="L72" s="54"/>
    </row>
    <row r="73" spans="1:12" s="55" customFormat="1" ht="19.5" customHeight="1" x14ac:dyDescent="0.3">
      <c r="A73" s="44" t="s">
        <v>7024</v>
      </c>
      <c r="B73" s="45" t="s">
        <v>7025</v>
      </c>
      <c r="C73" s="46">
        <v>28</v>
      </c>
      <c r="D73" s="47" t="s">
        <v>7027</v>
      </c>
      <c r="E73" s="48">
        <v>4</v>
      </c>
      <c r="F73" s="49">
        <v>2.64</v>
      </c>
      <c r="G73" s="50"/>
      <c r="H73" s="51"/>
      <c r="I73" s="45"/>
      <c r="J73" s="52"/>
      <c r="K73" s="53">
        <f t="shared" si="2"/>
        <v>0</v>
      </c>
      <c r="L73" s="54" t="s">
        <v>7028</v>
      </c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2"/>
        <v>0</v>
      </c>
      <c r="L74" s="54"/>
    </row>
    <row r="75" spans="1:12" s="55" customFormat="1" ht="19.5" customHeight="1" x14ac:dyDescent="0.3">
      <c r="A75" s="44" t="s">
        <v>7024</v>
      </c>
      <c r="B75" s="45" t="s">
        <v>7025</v>
      </c>
      <c r="C75" s="46">
        <v>24</v>
      </c>
      <c r="D75" s="47" t="s">
        <v>7026</v>
      </c>
      <c r="E75" s="48">
        <v>1</v>
      </c>
      <c r="F75" s="49">
        <v>2.09</v>
      </c>
      <c r="G75" s="50"/>
      <c r="H75" s="51"/>
      <c r="I75" s="45"/>
      <c r="J75" s="52"/>
      <c r="K75" s="53">
        <f t="shared" si="2"/>
        <v>0</v>
      </c>
      <c r="L75" s="54" t="s">
        <v>7029</v>
      </c>
    </row>
    <row r="76" spans="1:12" s="55" customFormat="1" ht="19.5" customHeight="1" x14ac:dyDescent="0.3">
      <c r="A76" s="44"/>
      <c r="B76" s="45"/>
      <c r="C76" s="46">
        <v>28</v>
      </c>
      <c r="D76" s="47" t="s">
        <v>7027</v>
      </c>
      <c r="E76" s="48">
        <v>1</v>
      </c>
      <c r="F76" s="49">
        <v>0.66</v>
      </c>
      <c r="G76" s="50"/>
      <c r="H76" s="51"/>
      <c r="I76" s="45"/>
      <c r="J76" s="52"/>
      <c r="K76" s="53">
        <f t="shared" si="0"/>
        <v>0</v>
      </c>
      <c r="L76" s="54" t="s">
        <v>7029</v>
      </c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 t="s">
        <v>7030</v>
      </c>
      <c r="B78" s="45" t="s">
        <v>7025</v>
      </c>
      <c r="C78" s="46">
        <v>24</v>
      </c>
      <c r="D78" s="47" t="s">
        <v>7026</v>
      </c>
      <c r="E78" s="48">
        <v>1</v>
      </c>
      <c r="F78" s="49">
        <v>2.09</v>
      </c>
      <c r="G78" s="50"/>
      <c r="H78" s="51"/>
      <c r="I78" s="45"/>
      <c r="J78" s="52"/>
      <c r="K78" s="53">
        <f t="shared" si="0"/>
        <v>0</v>
      </c>
      <c r="L78" s="54" t="s">
        <v>7031</v>
      </c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 t="s">
        <v>7032</v>
      </c>
      <c r="B80" s="45" t="s">
        <v>7017</v>
      </c>
      <c r="C80" s="46">
        <v>43</v>
      </c>
      <c r="D80" s="47" t="s">
        <v>7019</v>
      </c>
      <c r="E80" s="48">
        <v>53</v>
      </c>
      <c r="F80" s="49">
        <v>22.71</v>
      </c>
      <c r="G80" s="50" t="s">
        <v>7021</v>
      </c>
      <c r="H80" s="51">
        <v>2438</v>
      </c>
      <c r="I80" s="45">
        <v>3353</v>
      </c>
      <c r="J80" s="52">
        <v>5</v>
      </c>
      <c r="K80" s="53">
        <f t="shared" ref="K80:K82" si="3">(H80/1000*I80/1000)*J80</f>
        <v>40.873069999999998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 t="s">
        <v>6979</v>
      </c>
      <c r="H81" s="51">
        <v>2134</v>
      </c>
      <c r="I81" s="45">
        <v>3353</v>
      </c>
      <c r="J81" s="52">
        <v>3</v>
      </c>
      <c r="K81" s="53">
        <f t="shared" si="3"/>
        <v>21.465906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3"/>
        <v>0</v>
      </c>
      <c r="L82" s="54"/>
    </row>
    <row r="83" spans="1:12" s="59" customFormat="1" ht="20.100000000000001" customHeight="1" x14ac:dyDescent="0.3">
      <c r="A83" s="44"/>
      <c r="B83" s="45"/>
      <c r="C83" s="46"/>
      <c r="D83" s="47"/>
      <c r="E83" s="56"/>
      <c r="F83" s="57"/>
      <c r="G83" s="50"/>
      <c r="H83" s="51"/>
      <c r="I83" s="45"/>
      <c r="J83" s="52"/>
      <c r="K83" s="53">
        <f t="shared" si="0"/>
        <v>0</v>
      </c>
      <c r="L83" s="58">
        <f>SUM(J39:J84)</f>
        <v>74</v>
      </c>
    </row>
    <row r="84" spans="1:12" s="59" customFormat="1" ht="20.100000000000001" customHeight="1" x14ac:dyDescent="0.3">
      <c r="A84" s="44"/>
      <c r="B84" s="45"/>
      <c r="C84" s="46"/>
      <c r="D84" s="47"/>
      <c r="E84" s="60"/>
      <c r="F84" s="61"/>
      <c r="G84" s="62"/>
      <c r="H84" s="51"/>
      <c r="I84" s="45"/>
      <c r="J84" s="63"/>
      <c r="K84" s="53">
        <f t="shared" si="0"/>
        <v>0</v>
      </c>
      <c r="L84" s="64">
        <f>SUM(K39:K84)</f>
        <v>559.97291900000016</v>
      </c>
    </row>
    <row r="85" spans="1:12" s="59" customFormat="1" ht="20.100000000000001" customHeight="1" thickBot="1" x14ac:dyDescent="0.35">
      <c r="A85" s="114"/>
      <c r="B85" s="115"/>
      <c r="C85" s="115"/>
      <c r="D85" s="115"/>
      <c r="E85" s="115"/>
      <c r="F85" s="115"/>
      <c r="G85" s="115"/>
      <c r="H85" s="115"/>
      <c r="I85" s="115"/>
      <c r="J85" s="65">
        <f>SUM(J7:J84)</f>
        <v>173</v>
      </c>
      <c r="K85" s="66">
        <f>SUM(K7:K84)</f>
        <v>1229.3430070000004</v>
      </c>
      <c r="L85" s="67"/>
    </row>
    <row r="86" spans="1:12" s="59" customFormat="1" ht="20.100000000000001" customHeight="1" thickTop="1" thickBot="1" x14ac:dyDescent="0.35">
      <c r="A86" s="116" t="s">
        <v>52</v>
      </c>
      <c r="B86" s="117"/>
      <c r="C86" s="68"/>
      <c r="D86" s="118">
        <f>J85</f>
        <v>173</v>
      </c>
      <c r="E86" s="119"/>
      <c r="F86" s="119"/>
      <c r="G86" s="120"/>
      <c r="H86" s="121"/>
      <c r="I86" s="121"/>
      <c r="J86" s="122"/>
      <c r="K86" s="119"/>
      <c r="L86" s="123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71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72"/>
      <c r="F92" s="5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5"/>
      <c r="G93" s="73"/>
      <c r="H93" s="5"/>
      <c r="I93" s="74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72"/>
      <c r="I97" s="72"/>
      <c r="J97" s="5"/>
      <c r="K97" s="5"/>
      <c r="L97" s="5"/>
    </row>
    <row r="98" spans="1:12" ht="20.100000000000001" customHeight="1" x14ac:dyDescent="0.3">
      <c r="A98" s="113"/>
      <c r="B98" s="113"/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A101" s="113"/>
      <c r="B101" s="113"/>
      <c r="H101" s="72"/>
      <c r="I101" s="72"/>
    </row>
    <row r="102" spans="1:12" ht="20.100000000000001" customHeight="1" x14ac:dyDescent="0.3">
      <c r="A102" s="113"/>
      <c r="B102" s="113"/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H105" s="72"/>
      <c r="I105" s="72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5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5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5" customFormat="1" ht="19.5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1:B9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5:I85"/>
    <mergeCell ref="A86:B86"/>
    <mergeCell ref="D86:G86"/>
    <mergeCell ref="H86:J86"/>
    <mergeCell ref="K86:L86"/>
    <mergeCell ref="A101:B101"/>
    <mergeCell ref="A102:B102"/>
    <mergeCell ref="A92:B92"/>
    <mergeCell ref="A93:B93"/>
    <mergeCell ref="A94:B94"/>
    <mergeCell ref="A96:B96"/>
    <mergeCell ref="A97:B97"/>
    <mergeCell ref="A98:B9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L157"/>
  <sheetViews>
    <sheetView view="pageBreakPreview" topLeftCell="A49" zoomScale="85" zoomScaleNormal="100" zoomScaleSheetLayoutView="85" workbookViewId="0">
      <selection activeCell="L64" sqref="L64:L65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46232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5" si="0">(H7/1000*I7/1000)*J7</f>
        <v>0</v>
      </c>
      <c r="L7" s="26">
        <f>SUM(J7:J38)</f>
        <v>119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SUM(K7:K38)</f>
        <v>816.84345200000007</v>
      </c>
    </row>
    <row r="9" spans="1:12" s="27" customFormat="1" ht="19.5" customHeight="1" x14ac:dyDescent="0.3">
      <c r="A9" s="28" t="s">
        <v>6912</v>
      </c>
      <c r="B9" s="16" t="s">
        <v>6913</v>
      </c>
      <c r="C9" s="17">
        <v>16</v>
      </c>
      <c r="D9" s="18" t="s">
        <v>6914</v>
      </c>
      <c r="E9" s="41">
        <v>1</v>
      </c>
      <c r="F9" s="42">
        <v>0.47</v>
      </c>
      <c r="G9" s="34" t="s">
        <v>6915</v>
      </c>
      <c r="H9" s="35">
        <v>2438</v>
      </c>
      <c r="I9" s="36">
        <v>3353</v>
      </c>
      <c r="J9" s="37">
        <v>1</v>
      </c>
      <c r="K9" s="25">
        <f t="shared" si="0"/>
        <v>8.174614</v>
      </c>
      <c r="L9" s="39" t="s">
        <v>6919</v>
      </c>
    </row>
    <row r="10" spans="1:12" s="27" customFormat="1" ht="19.5" customHeight="1" x14ac:dyDescent="0.3">
      <c r="A10" s="28" t="s">
        <v>6916</v>
      </c>
      <c r="B10" s="16" t="s">
        <v>6917</v>
      </c>
      <c r="C10" s="17">
        <v>22</v>
      </c>
      <c r="D10" s="18" t="s">
        <v>6918</v>
      </c>
      <c r="E10" s="41">
        <v>1</v>
      </c>
      <c r="F10" s="42">
        <v>1.51</v>
      </c>
      <c r="G10" s="34"/>
      <c r="H10" s="35"/>
      <c r="I10" s="36"/>
      <c r="J10" s="37"/>
      <c r="K10" s="85">
        <f t="shared" si="0"/>
        <v>0</v>
      </c>
      <c r="L10" s="39" t="s">
        <v>6920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 t="s">
        <v>6921</v>
      </c>
      <c r="B12" s="16" t="s">
        <v>6922</v>
      </c>
      <c r="C12" s="17">
        <v>28</v>
      </c>
      <c r="D12" s="18" t="s">
        <v>6926</v>
      </c>
      <c r="E12" s="41">
        <v>2</v>
      </c>
      <c r="F12" s="42">
        <v>2.0099999999999998</v>
      </c>
      <c r="G12" s="34" t="s">
        <v>6928</v>
      </c>
      <c r="H12" s="35">
        <v>2438</v>
      </c>
      <c r="I12" s="36">
        <v>3048</v>
      </c>
      <c r="J12" s="37">
        <v>16</v>
      </c>
      <c r="K12" s="85">
        <f t="shared" si="0"/>
        <v>118.89638400000001</v>
      </c>
      <c r="L12" s="39" t="s">
        <v>6934</v>
      </c>
    </row>
    <row r="13" spans="1:12" s="27" customFormat="1" ht="19.5" customHeight="1" x14ac:dyDescent="0.3">
      <c r="A13" s="28" t="s">
        <v>6924</v>
      </c>
      <c r="B13" s="16" t="s">
        <v>6922</v>
      </c>
      <c r="C13" s="17">
        <v>28</v>
      </c>
      <c r="D13" s="18" t="s">
        <v>6927</v>
      </c>
      <c r="E13" s="41">
        <f>3+2+1+3</f>
        <v>9</v>
      </c>
      <c r="F13" s="42">
        <v>8.48</v>
      </c>
      <c r="G13" s="34"/>
      <c r="H13" s="35"/>
      <c r="I13" s="36"/>
      <c r="J13" s="37"/>
      <c r="K13" s="85">
        <f t="shared" si="0"/>
        <v>0</v>
      </c>
      <c r="L13" s="39" t="s">
        <v>6934</v>
      </c>
    </row>
    <row r="14" spans="1:12" s="27" customFormat="1" ht="19.5" customHeight="1" x14ac:dyDescent="0.3">
      <c r="A14" s="28"/>
      <c r="B14" s="16"/>
      <c r="C14" s="17">
        <v>28</v>
      </c>
      <c r="D14" s="18" t="s">
        <v>6926</v>
      </c>
      <c r="E14" s="41">
        <f>3+1</f>
        <v>4</v>
      </c>
      <c r="F14" s="42">
        <v>1.36</v>
      </c>
      <c r="G14" s="34"/>
      <c r="H14" s="35"/>
      <c r="I14" s="36"/>
      <c r="J14" s="37"/>
      <c r="K14" s="85">
        <f t="shared" si="0"/>
        <v>0</v>
      </c>
      <c r="L14" s="39" t="s">
        <v>6934</v>
      </c>
    </row>
    <row r="15" spans="1:12" s="27" customFormat="1" ht="19.5" customHeight="1" x14ac:dyDescent="0.3">
      <c r="A15" s="28"/>
      <c r="B15" s="16"/>
      <c r="C15" s="17">
        <v>28</v>
      </c>
      <c r="D15" s="18" t="s">
        <v>6927</v>
      </c>
      <c r="E15" s="41">
        <v>28</v>
      </c>
      <c r="F15" s="42">
        <v>6.67</v>
      </c>
      <c r="G15" s="34"/>
      <c r="H15" s="35"/>
      <c r="I15" s="36"/>
      <c r="J15" s="37"/>
      <c r="K15" s="85">
        <f t="shared" si="0"/>
        <v>0</v>
      </c>
      <c r="L15" s="39" t="s">
        <v>6934</v>
      </c>
    </row>
    <row r="16" spans="1:12" s="27" customFormat="1" ht="19.5" customHeight="1" x14ac:dyDescent="0.3">
      <c r="A16" s="28" t="s">
        <v>6925</v>
      </c>
      <c r="B16" s="16" t="s">
        <v>6922</v>
      </c>
      <c r="C16" s="17">
        <v>28</v>
      </c>
      <c r="D16" s="18" t="s">
        <v>6926</v>
      </c>
      <c r="E16" s="41">
        <v>2</v>
      </c>
      <c r="F16" s="42">
        <v>2.7</v>
      </c>
      <c r="G16" s="34"/>
      <c r="H16" s="35"/>
      <c r="I16" s="36"/>
      <c r="J16" s="37"/>
      <c r="K16" s="85">
        <f t="shared" si="0"/>
        <v>0</v>
      </c>
      <c r="L16" s="39" t="s">
        <v>6934</v>
      </c>
    </row>
    <row r="17" spans="1:12" s="27" customFormat="1" ht="19.5" customHeight="1" x14ac:dyDescent="0.3">
      <c r="A17" s="28" t="s">
        <v>6932</v>
      </c>
      <c r="B17" s="16" t="s">
        <v>6922</v>
      </c>
      <c r="C17" s="17">
        <v>28</v>
      </c>
      <c r="D17" s="18" t="s">
        <v>6926</v>
      </c>
      <c r="E17" s="41">
        <v>2</v>
      </c>
      <c r="F17" s="42">
        <v>1.1399999999999999</v>
      </c>
      <c r="G17" s="34"/>
      <c r="H17" s="35"/>
      <c r="I17" s="36"/>
      <c r="J17" s="37"/>
      <c r="K17" s="85">
        <f t="shared" si="0"/>
        <v>0</v>
      </c>
      <c r="L17" s="39" t="s">
        <v>6933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ref="K18" si="1">(H18/1000*I18/1000)*J18</f>
        <v>0</v>
      </c>
      <c r="L18" s="39"/>
    </row>
    <row r="19" spans="1:12" s="27" customFormat="1" ht="19.5" customHeight="1" x14ac:dyDescent="0.3">
      <c r="A19" s="28" t="s">
        <v>6931</v>
      </c>
      <c r="B19" s="16" t="s">
        <v>6922</v>
      </c>
      <c r="C19" s="17">
        <v>28</v>
      </c>
      <c r="D19" s="18" t="s">
        <v>6927</v>
      </c>
      <c r="E19" s="41">
        <v>2</v>
      </c>
      <c r="F19" s="42">
        <v>4.8899999999999997</v>
      </c>
      <c r="G19" s="34" t="s">
        <v>6930</v>
      </c>
      <c r="H19" s="35">
        <v>2438</v>
      </c>
      <c r="I19" s="36">
        <v>3353</v>
      </c>
      <c r="J19" s="37">
        <v>1</v>
      </c>
      <c r="K19" s="85">
        <f t="shared" si="0"/>
        <v>8.174614</v>
      </c>
      <c r="L19" s="39" t="s">
        <v>6929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 t="s">
        <v>6921</v>
      </c>
      <c r="B21" s="16" t="s">
        <v>6922</v>
      </c>
      <c r="C21" s="17">
        <v>28</v>
      </c>
      <c r="D21" s="18" t="s">
        <v>6927</v>
      </c>
      <c r="E21" s="41">
        <v>2</v>
      </c>
      <c r="F21" s="42">
        <v>2.5299999999999998</v>
      </c>
      <c r="G21" s="34" t="s">
        <v>6935</v>
      </c>
      <c r="H21" s="35">
        <v>2438</v>
      </c>
      <c r="I21" s="36">
        <v>3353</v>
      </c>
      <c r="J21" s="37">
        <v>7</v>
      </c>
      <c r="K21" s="85">
        <f t="shared" si="0"/>
        <v>57.222298000000002</v>
      </c>
      <c r="L21" s="39" t="s">
        <v>6936</v>
      </c>
    </row>
    <row r="22" spans="1:12" s="27" customFormat="1" ht="19.5" customHeight="1" x14ac:dyDescent="0.3">
      <c r="A22" s="28"/>
      <c r="B22" s="16"/>
      <c r="C22" s="17">
        <v>28</v>
      </c>
      <c r="D22" s="18" t="s">
        <v>6927</v>
      </c>
      <c r="E22" s="41">
        <v>2</v>
      </c>
      <c r="F22" s="42">
        <v>2.33</v>
      </c>
      <c r="G22" s="34"/>
      <c r="H22" s="35"/>
      <c r="I22" s="36"/>
      <c r="J22" s="37"/>
      <c r="K22" s="85"/>
      <c r="L22" s="39" t="s">
        <v>6936</v>
      </c>
    </row>
    <row r="23" spans="1:12" s="27" customFormat="1" ht="19.5" customHeight="1" x14ac:dyDescent="0.3">
      <c r="A23" s="28" t="s">
        <v>6923</v>
      </c>
      <c r="B23" s="16" t="s">
        <v>6922</v>
      </c>
      <c r="C23" s="17">
        <v>28</v>
      </c>
      <c r="D23" s="18" t="s">
        <v>6927</v>
      </c>
      <c r="E23" s="41">
        <v>3</v>
      </c>
      <c r="F23" s="42">
        <v>7</v>
      </c>
      <c r="G23" s="34"/>
      <c r="H23" s="35"/>
      <c r="I23" s="36"/>
      <c r="J23" s="37"/>
      <c r="K23" s="85">
        <f t="shared" si="0"/>
        <v>0</v>
      </c>
      <c r="L23" s="39" t="s">
        <v>6936</v>
      </c>
    </row>
    <row r="24" spans="1:12" s="27" customFormat="1" ht="19.5" customHeight="1" x14ac:dyDescent="0.3">
      <c r="A24" s="28" t="s">
        <v>6931</v>
      </c>
      <c r="B24" s="16" t="s">
        <v>6922</v>
      </c>
      <c r="C24" s="17">
        <v>28</v>
      </c>
      <c r="D24" s="18" t="s">
        <v>6927</v>
      </c>
      <c r="E24" s="41">
        <v>3</v>
      </c>
      <c r="F24" s="42">
        <v>6.17</v>
      </c>
      <c r="G24" s="34"/>
      <c r="H24" s="35"/>
      <c r="I24" s="36"/>
      <c r="J24" s="37"/>
      <c r="K24" s="85">
        <f t="shared" si="0"/>
        <v>0</v>
      </c>
      <c r="L24" s="39" t="s">
        <v>6936</v>
      </c>
    </row>
    <row r="25" spans="1:12" s="27" customFormat="1" ht="19.5" customHeight="1" x14ac:dyDescent="0.3">
      <c r="A25" s="28" t="s">
        <v>6924</v>
      </c>
      <c r="B25" s="16" t="s">
        <v>6922</v>
      </c>
      <c r="C25" s="17">
        <v>28</v>
      </c>
      <c r="D25" s="18" t="s">
        <v>6927</v>
      </c>
      <c r="E25" s="41">
        <v>3</v>
      </c>
      <c r="F25" s="42">
        <v>7.22</v>
      </c>
      <c r="G25" s="34"/>
      <c r="H25" s="35"/>
      <c r="I25" s="36"/>
      <c r="J25" s="37"/>
      <c r="K25" s="85">
        <f t="shared" si="0"/>
        <v>0</v>
      </c>
      <c r="L25" s="39" t="s">
        <v>6936</v>
      </c>
    </row>
    <row r="26" spans="1:12" s="27" customFormat="1" ht="19.5" customHeight="1" x14ac:dyDescent="0.3">
      <c r="A26" s="28"/>
      <c r="B26" s="16"/>
      <c r="C26" s="17">
        <v>28</v>
      </c>
      <c r="D26" s="18" t="s">
        <v>6927</v>
      </c>
      <c r="E26" s="41">
        <v>8</v>
      </c>
      <c r="F26" s="42">
        <v>15.34</v>
      </c>
      <c r="G26" s="34"/>
      <c r="H26" s="35"/>
      <c r="I26" s="36"/>
      <c r="J26" s="37"/>
      <c r="K26" s="85"/>
      <c r="L26" s="39" t="s">
        <v>6936</v>
      </c>
    </row>
    <row r="27" spans="1:12" s="27" customFormat="1" ht="19.5" customHeight="1" x14ac:dyDescent="0.3">
      <c r="A27" s="28" t="s">
        <v>6925</v>
      </c>
      <c r="B27" s="16" t="s">
        <v>6922</v>
      </c>
      <c r="C27" s="17">
        <v>28</v>
      </c>
      <c r="D27" s="18" t="s">
        <v>6926</v>
      </c>
      <c r="E27" s="41">
        <v>2</v>
      </c>
      <c r="F27" s="42">
        <v>2.7</v>
      </c>
      <c r="G27" s="34"/>
      <c r="H27" s="35"/>
      <c r="I27" s="36"/>
      <c r="J27" s="37"/>
      <c r="K27" s="85">
        <f t="shared" si="0"/>
        <v>0</v>
      </c>
      <c r="L27" s="39" t="s">
        <v>6937</v>
      </c>
    </row>
    <row r="28" spans="1:12" s="27" customFormat="1" ht="19.5" customHeight="1" x14ac:dyDescent="0.3">
      <c r="A28" s="28" t="s">
        <v>6932</v>
      </c>
      <c r="B28" s="16" t="s">
        <v>6922</v>
      </c>
      <c r="C28" s="17">
        <v>28</v>
      </c>
      <c r="D28" s="18" t="s">
        <v>6926</v>
      </c>
      <c r="E28" s="41">
        <v>2</v>
      </c>
      <c r="F28" s="42">
        <v>1.1399999999999999</v>
      </c>
      <c r="G28" s="34"/>
      <c r="H28" s="35"/>
      <c r="I28" s="36"/>
      <c r="J28" s="37"/>
      <c r="K28" s="85">
        <f t="shared" si="0"/>
        <v>0</v>
      </c>
      <c r="L28" s="39" t="s">
        <v>6937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85">
        <f t="shared" si="0"/>
        <v>0</v>
      </c>
      <c r="L29" s="39"/>
    </row>
    <row r="30" spans="1:12" s="27" customFormat="1" ht="19.5" customHeight="1" x14ac:dyDescent="0.3">
      <c r="A30" s="28" t="s">
        <v>6938</v>
      </c>
      <c r="B30" s="16" t="s">
        <v>6939</v>
      </c>
      <c r="C30" s="17">
        <v>22</v>
      </c>
      <c r="D30" s="18" t="s">
        <v>6940</v>
      </c>
      <c r="E30" s="41">
        <v>195</v>
      </c>
      <c r="F30" s="42">
        <v>120.85</v>
      </c>
      <c r="G30" s="34" t="s">
        <v>6942</v>
      </c>
      <c r="H30" s="35">
        <v>1981</v>
      </c>
      <c r="I30" s="36">
        <v>3353</v>
      </c>
      <c r="J30" s="37">
        <v>19</v>
      </c>
      <c r="K30" s="85">
        <f t="shared" si="0"/>
        <v>126.20356700000001</v>
      </c>
      <c r="L30" s="39"/>
    </row>
    <row r="31" spans="1:12" s="27" customFormat="1" ht="19.5" customHeight="1" x14ac:dyDescent="0.3">
      <c r="A31" s="28"/>
      <c r="B31" s="16"/>
      <c r="C31" s="17">
        <v>22</v>
      </c>
      <c r="D31" s="18" t="s">
        <v>6941</v>
      </c>
      <c r="E31" s="41">
        <v>220</v>
      </c>
      <c r="F31" s="42">
        <v>184.2</v>
      </c>
      <c r="G31" s="34" t="s">
        <v>6915</v>
      </c>
      <c r="H31" s="35">
        <v>1981</v>
      </c>
      <c r="I31" s="36">
        <v>3353</v>
      </c>
      <c r="J31" s="37">
        <v>28</v>
      </c>
      <c r="K31" s="85">
        <f t="shared" si="0"/>
        <v>185.98420400000001</v>
      </c>
      <c r="L31" s="39"/>
    </row>
    <row r="32" spans="1:12" s="27" customFormat="1" ht="19.5" customHeight="1" x14ac:dyDescent="0.3">
      <c r="A32" s="28"/>
      <c r="B32" s="16"/>
      <c r="C32" s="17">
        <v>22</v>
      </c>
      <c r="D32" s="18" t="s">
        <v>6940</v>
      </c>
      <c r="E32" s="41">
        <v>46</v>
      </c>
      <c r="F32" s="42">
        <v>12.88</v>
      </c>
      <c r="G32" s="34" t="s">
        <v>6943</v>
      </c>
      <c r="H32" s="35">
        <v>1981</v>
      </c>
      <c r="I32" s="36">
        <v>3353</v>
      </c>
      <c r="J32" s="37">
        <v>47</v>
      </c>
      <c r="K32" s="85">
        <f t="shared" si="0"/>
        <v>312.187771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8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8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8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25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6944</v>
      </c>
      <c r="B40" s="45" t="s">
        <v>6913</v>
      </c>
      <c r="C40" s="46">
        <v>24</v>
      </c>
      <c r="D40" s="47" t="s">
        <v>6945</v>
      </c>
      <c r="E40" s="48">
        <v>2</v>
      </c>
      <c r="F40" s="49">
        <v>8.4</v>
      </c>
      <c r="G40" s="50" t="s">
        <v>6946</v>
      </c>
      <c r="H40" s="51">
        <v>3048</v>
      </c>
      <c r="I40" s="45">
        <v>3962</v>
      </c>
      <c r="J40" s="52">
        <v>1</v>
      </c>
      <c r="K40" s="53">
        <f t="shared" si="0"/>
        <v>12.076176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 t="s">
        <v>6915</v>
      </c>
      <c r="H41" s="51">
        <v>3048</v>
      </c>
      <c r="I41" s="45">
        <v>3962</v>
      </c>
      <c r="J41" s="52">
        <v>1</v>
      </c>
      <c r="K41" s="53">
        <f t="shared" si="0"/>
        <v>12.076176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6944</v>
      </c>
      <c r="B43" s="45" t="s">
        <v>6913</v>
      </c>
      <c r="C43" s="46">
        <v>24</v>
      </c>
      <c r="D43" s="47" t="s">
        <v>6945</v>
      </c>
      <c r="E43" s="48">
        <v>1</v>
      </c>
      <c r="F43" s="49">
        <v>4.22</v>
      </c>
      <c r="G43" s="50" t="s">
        <v>6915</v>
      </c>
      <c r="H43" s="51">
        <v>1829</v>
      </c>
      <c r="I43" s="45">
        <v>3353</v>
      </c>
      <c r="J43" s="52">
        <v>1</v>
      </c>
      <c r="K43" s="53">
        <f t="shared" si="0"/>
        <v>6.1326369999999999</v>
      </c>
      <c r="L43" s="54" t="s">
        <v>6947</v>
      </c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6948</v>
      </c>
      <c r="B45" s="45" t="s">
        <v>6949</v>
      </c>
      <c r="C45" s="46">
        <v>24</v>
      </c>
      <c r="D45" s="47" t="s">
        <v>6950</v>
      </c>
      <c r="E45" s="48">
        <v>31</v>
      </c>
      <c r="F45" s="49">
        <v>26.63</v>
      </c>
      <c r="G45" s="50" t="s">
        <v>6942</v>
      </c>
      <c r="H45" s="51">
        <v>2134</v>
      </c>
      <c r="I45" s="45">
        <v>3353</v>
      </c>
      <c r="J45" s="52">
        <v>4</v>
      </c>
      <c r="K45" s="53">
        <f t="shared" si="0"/>
        <v>28.621207999999999</v>
      </c>
      <c r="L45" s="54" t="s">
        <v>6951</v>
      </c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 t="s">
        <v>6946</v>
      </c>
      <c r="H46" s="51">
        <v>2134</v>
      </c>
      <c r="I46" s="45">
        <v>3353</v>
      </c>
      <c r="J46" s="52">
        <v>3</v>
      </c>
      <c r="K46" s="53">
        <f t="shared" si="0"/>
        <v>21.465906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 t="s">
        <v>6946</v>
      </c>
      <c r="H47" s="51">
        <v>2134</v>
      </c>
      <c r="I47" s="45">
        <v>3048</v>
      </c>
      <c r="J47" s="52">
        <v>1</v>
      </c>
      <c r="K47" s="53">
        <f t="shared" si="0"/>
        <v>6.5044319999999995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6952</v>
      </c>
      <c r="B49" s="45" t="s">
        <v>6953</v>
      </c>
      <c r="C49" s="46">
        <v>24</v>
      </c>
      <c r="D49" s="47" t="s">
        <v>6954</v>
      </c>
      <c r="E49" s="48">
        <v>1</v>
      </c>
      <c r="F49" s="49">
        <v>1.32</v>
      </c>
      <c r="G49" s="50"/>
      <c r="H49" s="51"/>
      <c r="I49" s="45"/>
      <c r="J49" s="52"/>
      <c r="K49" s="53">
        <f t="shared" si="0"/>
        <v>0</v>
      </c>
      <c r="L49" s="54" t="s">
        <v>6955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6956</v>
      </c>
      <c r="B51" s="45" t="s">
        <v>6957</v>
      </c>
      <c r="C51" s="46">
        <v>24</v>
      </c>
      <c r="D51" s="47" t="s">
        <v>6958</v>
      </c>
      <c r="E51" s="48">
        <v>14</v>
      </c>
      <c r="F51" s="49">
        <v>16.95</v>
      </c>
      <c r="G51" s="50" t="s">
        <v>6915</v>
      </c>
      <c r="H51" s="51">
        <v>2134</v>
      </c>
      <c r="I51" s="45">
        <v>3353</v>
      </c>
      <c r="J51" s="52">
        <v>3</v>
      </c>
      <c r="K51" s="53">
        <f t="shared" si="0"/>
        <v>21.465906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 t="s">
        <v>6946</v>
      </c>
      <c r="H52" s="51">
        <v>2134</v>
      </c>
      <c r="I52" s="45">
        <v>3353</v>
      </c>
      <c r="J52" s="52">
        <v>3</v>
      </c>
      <c r="K52" s="53">
        <f t="shared" si="0"/>
        <v>21.465906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6959</v>
      </c>
      <c r="B54" s="45" t="s">
        <v>6922</v>
      </c>
      <c r="C54" s="46">
        <v>28</v>
      </c>
      <c r="D54" s="47" t="s">
        <v>6960</v>
      </c>
      <c r="E54" s="48">
        <v>1</v>
      </c>
      <c r="F54" s="49">
        <v>2.62</v>
      </c>
      <c r="G54" s="50" t="s">
        <v>6930</v>
      </c>
      <c r="H54" s="51">
        <v>2438</v>
      </c>
      <c r="I54" s="45">
        <v>3353</v>
      </c>
      <c r="J54" s="52">
        <v>1</v>
      </c>
      <c r="K54" s="53">
        <f t="shared" si="0"/>
        <v>8.174614</v>
      </c>
      <c r="L54" s="54" t="s">
        <v>6963</v>
      </c>
    </row>
    <row r="55" spans="1:12" s="55" customFormat="1" ht="19.5" customHeight="1" x14ac:dyDescent="0.3">
      <c r="A55" s="44" t="s">
        <v>6961</v>
      </c>
      <c r="B55" s="45" t="s">
        <v>6922</v>
      </c>
      <c r="C55" s="46">
        <v>28</v>
      </c>
      <c r="D55" s="47" t="s">
        <v>6962</v>
      </c>
      <c r="E55" s="48">
        <v>1</v>
      </c>
      <c r="F55" s="49">
        <v>1.65</v>
      </c>
      <c r="G55" s="50"/>
      <c r="H55" s="51"/>
      <c r="I55" s="45"/>
      <c r="J55" s="52"/>
      <c r="K55" s="53">
        <f t="shared" si="0"/>
        <v>0</v>
      </c>
      <c r="L55" s="54" t="s">
        <v>6963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6964</v>
      </c>
      <c r="B57" s="45" t="s">
        <v>6965</v>
      </c>
      <c r="C57" s="46">
        <v>22</v>
      </c>
      <c r="D57" s="47" t="s">
        <v>6941</v>
      </c>
      <c r="E57" s="48">
        <v>204</v>
      </c>
      <c r="F57" s="49">
        <v>407.56</v>
      </c>
      <c r="G57" s="50" t="s">
        <v>6915</v>
      </c>
      <c r="H57" s="51">
        <v>2286</v>
      </c>
      <c r="I57" s="45">
        <v>3353</v>
      </c>
      <c r="J57" s="52">
        <v>13</v>
      </c>
      <c r="K57" s="53">
        <f t="shared" si="0"/>
        <v>99.64445400000001</v>
      </c>
      <c r="L57" s="54" t="s">
        <v>6966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 t="s">
        <v>6915</v>
      </c>
      <c r="H58" s="51">
        <v>1981</v>
      </c>
      <c r="I58" s="45">
        <v>3353</v>
      </c>
      <c r="J58" s="52">
        <v>52</v>
      </c>
      <c r="K58" s="53">
        <f t="shared" si="0"/>
        <v>345.39923600000003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 t="s">
        <v>6915</v>
      </c>
      <c r="H59" s="51">
        <v>2134</v>
      </c>
      <c r="I59" s="45">
        <v>3353</v>
      </c>
      <c r="J59" s="52">
        <v>2</v>
      </c>
      <c r="K59" s="53">
        <f t="shared" si="0"/>
        <v>14.310604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6964</v>
      </c>
      <c r="B61" s="45" t="s">
        <v>6965</v>
      </c>
      <c r="C61" s="46">
        <v>22</v>
      </c>
      <c r="D61" s="47" t="s">
        <v>6941</v>
      </c>
      <c r="E61" s="48">
        <v>144</v>
      </c>
      <c r="F61" s="49">
        <v>307.35999999999996</v>
      </c>
      <c r="G61" s="50" t="s">
        <v>6967</v>
      </c>
      <c r="H61" s="51">
        <v>1981</v>
      </c>
      <c r="I61" s="45">
        <v>3353</v>
      </c>
      <c r="J61" s="52">
        <v>52</v>
      </c>
      <c r="K61" s="53">
        <f t="shared" si="0"/>
        <v>345.39923600000003</v>
      </c>
      <c r="L61" s="54" t="s">
        <v>6968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9" customFormat="1" ht="20.100000000000001" customHeight="1" x14ac:dyDescent="0.3">
      <c r="A64" s="44"/>
      <c r="B64" s="45"/>
      <c r="C64" s="46"/>
      <c r="D64" s="47"/>
      <c r="E64" s="56"/>
      <c r="F64" s="57"/>
      <c r="G64" s="50"/>
      <c r="H64" s="51"/>
      <c r="I64" s="45"/>
      <c r="J64" s="52"/>
      <c r="K64" s="53">
        <f t="shared" si="0"/>
        <v>0</v>
      </c>
      <c r="L64" s="58">
        <f>SUM(J39:J65)</f>
        <v>137</v>
      </c>
    </row>
    <row r="65" spans="1:12" s="59" customFormat="1" ht="20.100000000000001" customHeight="1" x14ac:dyDescent="0.3">
      <c r="A65" s="44"/>
      <c r="B65" s="45"/>
      <c r="C65" s="46"/>
      <c r="D65" s="47"/>
      <c r="E65" s="60"/>
      <c r="F65" s="61"/>
      <c r="G65" s="62"/>
      <c r="H65" s="51"/>
      <c r="I65" s="45"/>
      <c r="J65" s="63"/>
      <c r="K65" s="53">
        <f t="shared" si="0"/>
        <v>0</v>
      </c>
      <c r="L65" s="64">
        <f>SUM(K39:K65)</f>
        <v>942.73649100000011</v>
      </c>
    </row>
    <row r="66" spans="1:12" s="59" customFormat="1" ht="20.100000000000001" customHeight="1" thickBot="1" x14ac:dyDescent="0.35">
      <c r="A66" s="114"/>
      <c r="B66" s="115"/>
      <c r="C66" s="115"/>
      <c r="D66" s="115"/>
      <c r="E66" s="115"/>
      <c r="F66" s="115"/>
      <c r="G66" s="115"/>
      <c r="H66" s="115"/>
      <c r="I66" s="115"/>
      <c r="J66" s="65">
        <f>SUM(J7:J65)</f>
        <v>256</v>
      </c>
      <c r="K66" s="66">
        <f>SUM(K7:K65)</f>
        <v>1759.5799430000002</v>
      </c>
      <c r="L66" s="67"/>
    </row>
    <row r="67" spans="1:12" s="59" customFormat="1" ht="20.100000000000001" customHeight="1" thickTop="1" thickBot="1" x14ac:dyDescent="0.35">
      <c r="A67" s="116" t="s">
        <v>52</v>
      </c>
      <c r="B67" s="117"/>
      <c r="C67" s="68"/>
      <c r="D67" s="118">
        <f>J66</f>
        <v>256</v>
      </c>
      <c r="E67" s="119"/>
      <c r="F67" s="119"/>
      <c r="G67" s="120"/>
      <c r="H67" s="121"/>
      <c r="I67" s="121"/>
      <c r="J67" s="122"/>
      <c r="K67" s="119"/>
      <c r="L67" s="123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71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72"/>
      <c r="F73" s="5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5"/>
      <c r="G74" s="73"/>
      <c r="H74" s="5"/>
      <c r="I74" s="74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72"/>
      <c r="I78" s="72"/>
      <c r="J78" s="5"/>
      <c r="K78" s="5"/>
      <c r="L78" s="5"/>
    </row>
    <row r="79" spans="1:12" ht="20.100000000000001" customHeight="1" x14ac:dyDescent="0.3">
      <c r="A79" s="113"/>
      <c r="B79" s="113"/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A83" s="113"/>
      <c r="B83" s="113"/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H85" s="72"/>
      <c r="I85" s="72"/>
    </row>
    <row r="86" spans="1:12" ht="20.100000000000001" customHeight="1" x14ac:dyDescent="0.3">
      <c r="H86" s="72"/>
      <c r="I86" s="72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J87" s="5"/>
      <c r="K87" s="5"/>
      <c r="L87" s="5"/>
    </row>
    <row r="88" spans="1:12" s="72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5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5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5" customFormat="1" ht="19.5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2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ht="19.5" customHeight="1" x14ac:dyDescent="0.3"/>
    <row r="95" spans="1:12" ht="19.5" customHeight="1" x14ac:dyDescent="0.3"/>
    <row r="96" spans="1:12" ht="19.5" customHeight="1" x14ac:dyDescent="0.3"/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2:B72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6:I66"/>
    <mergeCell ref="A67:B67"/>
    <mergeCell ref="D67:G67"/>
    <mergeCell ref="H67:J67"/>
    <mergeCell ref="K67:L67"/>
    <mergeCell ref="A82:B82"/>
    <mergeCell ref="A83:B83"/>
    <mergeCell ref="A73:B73"/>
    <mergeCell ref="A74:B74"/>
    <mergeCell ref="A75:B75"/>
    <mergeCell ref="A77:B77"/>
    <mergeCell ref="A78:B78"/>
    <mergeCell ref="A79:B79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L154"/>
  <sheetViews>
    <sheetView view="pageBreakPreview" topLeftCell="A50" zoomScale="85" zoomScaleNormal="100" zoomScaleSheetLayoutView="85" workbookViewId="0">
      <selection activeCell="L61" sqref="L61:L62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46231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2" si="0">(H7/1000*I7/1000)*J7</f>
        <v>0</v>
      </c>
      <c r="L7" s="26">
        <f>SUM(J7:J35)</f>
        <v>106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SUM(K7:K35)</f>
        <v>709.19303000000002</v>
      </c>
    </row>
    <row r="9" spans="1:12" s="27" customFormat="1" ht="19.5" customHeight="1" x14ac:dyDescent="0.3">
      <c r="A9" s="28" t="s">
        <v>6861</v>
      </c>
      <c r="B9" s="16" t="s">
        <v>6862</v>
      </c>
      <c r="C9" s="17">
        <v>22</v>
      </c>
      <c r="D9" s="18" t="s">
        <v>6863</v>
      </c>
      <c r="E9" s="41">
        <v>2</v>
      </c>
      <c r="F9" s="42">
        <v>3.16</v>
      </c>
      <c r="G9" s="34" t="s">
        <v>6865</v>
      </c>
      <c r="H9" s="35">
        <v>1981</v>
      </c>
      <c r="I9" s="36">
        <v>3353</v>
      </c>
      <c r="J9" s="37">
        <v>1</v>
      </c>
      <c r="K9" s="25">
        <f t="shared" si="0"/>
        <v>6.6422930000000004</v>
      </c>
      <c r="L9" s="39" t="s">
        <v>6867</v>
      </c>
    </row>
    <row r="10" spans="1:12" s="27" customFormat="1" ht="19.5" customHeight="1" x14ac:dyDescent="0.3">
      <c r="A10" s="28"/>
      <c r="B10" s="16"/>
      <c r="C10" s="17">
        <v>22</v>
      </c>
      <c r="D10" s="18" t="s">
        <v>6864</v>
      </c>
      <c r="E10" s="41">
        <v>2</v>
      </c>
      <c r="F10" s="42">
        <v>3.16</v>
      </c>
      <c r="G10" s="34" t="s">
        <v>6866</v>
      </c>
      <c r="H10" s="35">
        <v>1981</v>
      </c>
      <c r="I10" s="36">
        <v>3353</v>
      </c>
      <c r="J10" s="37">
        <v>1</v>
      </c>
      <c r="K10" s="85">
        <f t="shared" si="0"/>
        <v>6.6422930000000004</v>
      </c>
      <c r="L10" s="39" t="s">
        <v>6867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 t="s">
        <v>6868</v>
      </c>
      <c r="B12" s="16" t="s">
        <v>6869</v>
      </c>
      <c r="C12" s="17">
        <v>5</v>
      </c>
      <c r="D12" s="18" t="s">
        <v>6870</v>
      </c>
      <c r="E12" s="41">
        <v>28</v>
      </c>
      <c r="F12" s="42">
        <v>17.079999999999998</v>
      </c>
      <c r="G12" s="34" t="s">
        <v>6866</v>
      </c>
      <c r="H12" s="35">
        <v>2438</v>
      </c>
      <c r="I12" s="36">
        <v>3353</v>
      </c>
      <c r="J12" s="37">
        <v>2</v>
      </c>
      <c r="K12" s="85">
        <f t="shared" si="0"/>
        <v>16.349228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 t="s">
        <v>6871</v>
      </c>
      <c r="B14" s="16" t="s">
        <v>6872</v>
      </c>
      <c r="C14" s="17">
        <v>5</v>
      </c>
      <c r="D14" s="18" t="s">
        <v>6870</v>
      </c>
      <c r="E14" s="41">
        <v>12</v>
      </c>
      <c r="F14" s="42">
        <v>4.26</v>
      </c>
      <c r="G14" s="34" t="s">
        <v>6866</v>
      </c>
      <c r="H14" s="35">
        <v>2438</v>
      </c>
      <c r="I14" s="36">
        <v>3353</v>
      </c>
      <c r="J14" s="37">
        <v>1</v>
      </c>
      <c r="K14" s="85">
        <f t="shared" si="0"/>
        <v>8.174614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85">
        <f t="shared" si="0"/>
        <v>0</v>
      </c>
      <c r="L15" s="39"/>
    </row>
    <row r="16" spans="1:12" s="27" customFormat="1" ht="19.5" customHeight="1" x14ac:dyDescent="0.3">
      <c r="A16" s="28" t="s">
        <v>6873</v>
      </c>
      <c r="B16" s="16" t="s">
        <v>6874</v>
      </c>
      <c r="C16" s="17">
        <v>43</v>
      </c>
      <c r="D16" s="18" t="s">
        <v>6875</v>
      </c>
      <c r="E16" s="41">
        <v>3</v>
      </c>
      <c r="F16" s="42">
        <v>0.84</v>
      </c>
      <c r="G16" s="34" t="s">
        <v>6877</v>
      </c>
      <c r="H16" s="35">
        <v>2134</v>
      </c>
      <c r="I16" s="36">
        <v>3353</v>
      </c>
      <c r="J16" s="37">
        <v>1</v>
      </c>
      <c r="K16" s="85">
        <f t="shared" si="0"/>
        <v>7.1553019999999998</v>
      </c>
      <c r="L16" s="39"/>
    </row>
    <row r="17" spans="1:12" s="27" customFormat="1" ht="19.5" customHeight="1" x14ac:dyDescent="0.3">
      <c r="A17" s="28"/>
      <c r="B17" s="16"/>
      <c r="C17" s="17">
        <v>24</v>
      </c>
      <c r="D17" s="18" t="s">
        <v>6876</v>
      </c>
      <c r="E17" s="41">
        <v>1</v>
      </c>
      <c r="F17" s="42">
        <v>2.62</v>
      </c>
      <c r="G17" s="34" t="s">
        <v>6866</v>
      </c>
      <c r="H17" s="35">
        <v>1981</v>
      </c>
      <c r="I17" s="36">
        <v>3353</v>
      </c>
      <c r="J17" s="37">
        <v>1</v>
      </c>
      <c r="K17" s="85">
        <f t="shared" si="0"/>
        <v>6.6422930000000004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</row>
    <row r="19" spans="1:12" s="27" customFormat="1" ht="19.5" customHeight="1" x14ac:dyDescent="0.3">
      <c r="A19" s="28" t="s">
        <v>6824</v>
      </c>
      <c r="B19" s="16" t="s">
        <v>2662</v>
      </c>
      <c r="C19" s="17">
        <v>22</v>
      </c>
      <c r="D19" s="18" t="s">
        <v>45</v>
      </c>
      <c r="E19" s="41">
        <v>80</v>
      </c>
      <c r="F19" s="42">
        <v>46.400000000000006</v>
      </c>
      <c r="G19" s="34" t="s">
        <v>216</v>
      </c>
      <c r="H19" s="35">
        <v>1981</v>
      </c>
      <c r="I19" s="36">
        <v>3353</v>
      </c>
      <c r="J19" s="37">
        <v>41</v>
      </c>
      <c r="K19" s="25">
        <f t="shared" si="0"/>
        <v>272.33401300000003</v>
      </c>
      <c r="L19" s="39" t="s">
        <v>6878</v>
      </c>
    </row>
    <row r="20" spans="1:12" s="27" customFormat="1" ht="19.5" customHeight="1" x14ac:dyDescent="0.3">
      <c r="A20" s="28"/>
      <c r="B20" s="16"/>
      <c r="C20" s="17">
        <v>22</v>
      </c>
      <c r="D20" s="18" t="s">
        <v>6864</v>
      </c>
      <c r="E20" s="41">
        <v>270</v>
      </c>
      <c r="F20" s="42">
        <v>226.4</v>
      </c>
      <c r="G20" s="34"/>
      <c r="H20" s="35"/>
      <c r="I20" s="36"/>
      <c r="J20" s="37"/>
      <c r="K20" s="85">
        <f t="shared" si="0"/>
        <v>0</v>
      </c>
      <c r="L20" s="39" t="s">
        <v>106</v>
      </c>
    </row>
    <row r="21" spans="1:12" s="27" customFormat="1" ht="19.5" customHeight="1" x14ac:dyDescent="0.3">
      <c r="A21" s="28"/>
      <c r="B21" s="16"/>
      <c r="C21" s="17">
        <v>22</v>
      </c>
      <c r="D21" s="18" t="s">
        <v>45</v>
      </c>
      <c r="E21" s="41">
        <v>60</v>
      </c>
      <c r="F21" s="42">
        <v>16.8</v>
      </c>
      <c r="G21" s="34"/>
      <c r="H21" s="35"/>
      <c r="I21" s="36"/>
      <c r="J21" s="37"/>
      <c r="K21" s="85">
        <f t="shared" si="0"/>
        <v>0</v>
      </c>
      <c r="L21" s="39" t="s">
        <v>106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6824</v>
      </c>
      <c r="B23" s="16" t="s">
        <v>2662</v>
      </c>
      <c r="C23" s="17">
        <v>22</v>
      </c>
      <c r="D23" s="18" t="s">
        <v>45</v>
      </c>
      <c r="E23" s="41">
        <v>240</v>
      </c>
      <c r="F23" s="42">
        <v>146.9</v>
      </c>
      <c r="G23" s="34" t="s">
        <v>6865</v>
      </c>
      <c r="H23" s="35">
        <v>1981</v>
      </c>
      <c r="I23" s="36">
        <v>3353</v>
      </c>
      <c r="J23" s="37">
        <v>24</v>
      </c>
      <c r="K23" s="85">
        <f t="shared" ref="K23:K31" si="1">(H23/1000*I23/1000)*J23</f>
        <v>159.415032</v>
      </c>
      <c r="L23" s="39" t="s">
        <v>6879</v>
      </c>
    </row>
    <row r="24" spans="1:12" s="27" customFormat="1" ht="19.5" customHeight="1" x14ac:dyDescent="0.3">
      <c r="A24" s="28"/>
      <c r="B24" s="16"/>
      <c r="C24" s="17">
        <v>22</v>
      </c>
      <c r="D24" s="18" t="s">
        <v>6864</v>
      </c>
      <c r="E24" s="41">
        <v>270</v>
      </c>
      <c r="F24" s="42">
        <v>226.4</v>
      </c>
      <c r="G24" s="34" t="s">
        <v>6866</v>
      </c>
      <c r="H24" s="35">
        <v>1981</v>
      </c>
      <c r="I24" s="36">
        <v>3353</v>
      </c>
      <c r="J24" s="37">
        <v>34</v>
      </c>
      <c r="K24" s="85">
        <f t="shared" si="1"/>
        <v>225.837962</v>
      </c>
      <c r="L24" s="39" t="s">
        <v>6880</v>
      </c>
    </row>
    <row r="25" spans="1:12" s="27" customFormat="1" ht="19.5" customHeight="1" x14ac:dyDescent="0.3">
      <c r="A25" s="28"/>
      <c r="B25" s="16"/>
      <c r="C25" s="17">
        <v>22</v>
      </c>
      <c r="D25" s="18" t="s">
        <v>45</v>
      </c>
      <c r="E25" s="41">
        <v>60</v>
      </c>
      <c r="F25" s="42">
        <v>16.8</v>
      </c>
      <c r="G25" s="34"/>
      <c r="H25" s="35"/>
      <c r="I25" s="36"/>
      <c r="J25" s="37"/>
      <c r="K25" s="85">
        <f t="shared" si="1"/>
        <v>0</v>
      </c>
      <c r="L25" s="39" t="s">
        <v>6879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>
        <f t="shared" si="1"/>
        <v>0</v>
      </c>
      <c r="L26" s="39"/>
    </row>
    <row r="27" spans="1:12" s="27" customFormat="1" ht="19.5" customHeight="1" x14ac:dyDescent="0.3">
      <c r="A27" s="28" t="s">
        <v>6881</v>
      </c>
      <c r="B27" s="16" t="s">
        <v>6882</v>
      </c>
      <c r="C27" s="17">
        <v>22</v>
      </c>
      <c r="D27" s="18" t="s">
        <v>6883</v>
      </c>
      <c r="E27" s="41">
        <v>2</v>
      </c>
      <c r="F27" s="42">
        <v>1.52</v>
      </c>
      <c r="G27" s="34"/>
      <c r="H27" s="35"/>
      <c r="I27" s="36"/>
      <c r="J27" s="37"/>
      <c r="K27" s="85">
        <f t="shared" si="1"/>
        <v>0</v>
      </c>
      <c r="L27" s="39" t="s">
        <v>6884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1"/>
        <v>0</v>
      </c>
      <c r="L28" s="39"/>
    </row>
    <row r="29" spans="1:12" s="27" customFormat="1" ht="19.5" customHeight="1" x14ac:dyDescent="0.3">
      <c r="A29" s="28" t="s">
        <v>6885</v>
      </c>
      <c r="B29" s="16" t="s">
        <v>6886</v>
      </c>
      <c r="C29" s="17">
        <v>42</v>
      </c>
      <c r="D29" s="18" t="s">
        <v>6887</v>
      </c>
      <c r="E29" s="41">
        <v>1</v>
      </c>
      <c r="F29" s="42">
        <v>0.28000000000000003</v>
      </c>
      <c r="G29" s="34"/>
      <c r="H29" s="35"/>
      <c r="I29" s="36"/>
      <c r="J29" s="37"/>
      <c r="K29" s="85">
        <f t="shared" si="1"/>
        <v>0</v>
      </c>
      <c r="L29" s="39" t="s">
        <v>6884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1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1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29"/>
      <c r="C35" s="30"/>
      <c r="D35" s="31"/>
      <c r="E35" s="41"/>
      <c r="F35" s="42"/>
      <c r="G35" s="43"/>
      <c r="H35" s="35"/>
      <c r="I35" s="36"/>
      <c r="J35" s="37"/>
      <c r="K35" s="25">
        <f t="shared" si="0"/>
        <v>0</v>
      </c>
      <c r="L35" s="39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6888</v>
      </c>
      <c r="B37" s="45" t="s">
        <v>6889</v>
      </c>
      <c r="C37" s="46">
        <v>22</v>
      </c>
      <c r="D37" s="47" t="s">
        <v>6890</v>
      </c>
      <c r="E37" s="48">
        <v>2</v>
      </c>
      <c r="F37" s="49">
        <v>1.02</v>
      </c>
      <c r="G37" s="50" t="s">
        <v>6892</v>
      </c>
      <c r="H37" s="51">
        <v>2438</v>
      </c>
      <c r="I37" s="45">
        <v>3353</v>
      </c>
      <c r="J37" s="52">
        <v>17</v>
      </c>
      <c r="K37" s="53">
        <f t="shared" si="0"/>
        <v>138.96843799999999</v>
      </c>
      <c r="L37" s="54"/>
    </row>
    <row r="38" spans="1:12" s="55" customFormat="1" ht="19.5" customHeight="1" x14ac:dyDescent="0.3">
      <c r="A38" s="44"/>
      <c r="B38" s="45"/>
      <c r="C38" s="46">
        <v>35</v>
      </c>
      <c r="D38" s="47" t="s">
        <v>6891</v>
      </c>
      <c r="E38" s="48">
        <v>2</v>
      </c>
      <c r="F38" s="49">
        <v>3.32</v>
      </c>
      <c r="G38" s="50" t="s">
        <v>6893</v>
      </c>
      <c r="H38" s="51">
        <v>2438</v>
      </c>
      <c r="I38" s="45">
        <v>3353</v>
      </c>
      <c r="J38" s="52">
        <v>17</v>
      </c>
      <c r="K38" s="53">
        <f t="shared" si="0"/>
        <v>138.96843799999999</v>
      </c>
      <c r="L38" s="54"/>
    </row>
    <row r="39" spans="1:12" s="55" customFormat="1" ht="19.5" customHeight="1" x14ac:dyDescent="0.3">
      <c r="A39" s="44"/>
      <c r="B39" s="45"/>
      <c r="C39" s="46">
        <v>43</v>
      </c>
      <c r="D39" s="47" t="s">
        <v>6891</v>
      </c>
      <c r="E39" s="48">
        <v>32</v>
      </c>
      <c r="F39" s="49">
        <v>45.65</v>
      </c>
      <c r="G39" s="50" t="s">
        <v>6866</v>
      </c>
      <c r="H39" s="51">
        <v>2438</v>
      </c>
      <c r="I39" s="45">
        <v>3353</v>
      </c>
      <c r="J39" s="52">
        <v>17</v>
      </c>
      <c r="K39" s="53">
        <f t="shared" si="0"/>
        <v>138.96843799999999</v>
      </c>
      <c r="L39" s="54"/>
    </row>
    <row r="40" spans="1:12" s="55" customFormat="1" ht="19.5" customHeight="1" x14ac:dyDescent="0.3">
      <c r="A40" s="44"/>
      <c r="B40" s="45"/>
      <c r="C40" s="46">
        <v>47</v>
      </c>
      <c r="D40" s="47" t="s">
        <v>6891</v>
      </c>
      <c r="E40" s="48">
        <v>113</v>
      </c>
      <c r="F40" s="49">
        <v>73.27</v>
      </c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6894</v>
      </c>
      <c r="B42" s="45" t="s">
        <v>6895</v>
      </c>
      <c r="C42" s="46">
        <v>24</v>
      </c>
      <c r="D42" s="47" t="s">
        <v>6896</v>
      </c>
      <c r="E42" s="48">
        <v>1</v>
      </c>
      <c r="F42" s="49">
        <v>0.59</v>
      </c>
      <c r="G42" s="50" t="s">
        <v>6897</v>
      </c>
      <c r="H42" s="51">
        <v>2438</v>
      </c>
      <c r="I42" s="45">
        <v>3353</v>
      </c>
      <c r="J42" s="52">
        <v>2</v>
      </c>
      <c r="K42" s="53">
        <f t="shared" si="0"/>
        <v>16.349228</v>
      </c>
      <c r="L42" s="54"/>
    </row>
    <row r="43" spans="1:12" s="55" customFormat="1" ht="19.5" customHeight="1" x14ac:dyDescent="0.3">
      <c r="A43" s="44"/>
      <c r="B43" s="45"/>
      <c r="C43" s="46">
        <v>24</v>
      </c>
      <c r="D43" s="47" t="s">
        <v>3075</v>
      </c>
      <c r="E43" s="48">
        <v>11</v>
      </c>
      <c r="F43" s="49">
        <v>11.91</v>
      </c>
      <c r="G43" s="50" t="s">
        <v>6866</v>
      </c>
      <c r="H43" s="51">
        <v>2438</v>
      </c>
      <c r="I43" s="45">
        <v>3353</v>
      </c>
      <c r="J43" s="52">
        <v>2</v>
      </c>
      <c r="K43" s="53">
        <f t="shared" si="0"/>
        <v>16.349228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6898</v>
      </c>
      <c r="B45" s="45" t="s">
        <v>6901</v>
      </c>
      <c r="C45" s="46">
        <v>24</v>
      </c>
      <c r="D45" s="47" t="s">
        <v>6899</v>
      </c>
      <c r="E45" s="48">
        <v>10</v>
      </c>
      <c r="F45" s="49">
        <v>4.5599999999999996</v>
      </c>
      <c r="G45" s="50" t="s">
        <v>6900</v>
      </c>
      <c r="H45" s="51">
        <v>2438</v>
      </c>
      <c r="I45" s="45">
        <v>3353</v>
      </c>
      <c r="J45" s="52">
        <v>1</v>
      </c>
      <c r="K45" s="53">
        <f t="shared" si="0"/>
        <v>8.174614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 t="s">
        <v>6866</v>
      </c>
      <c r="H46" s="51">
        <v>1981</v>
      </c>
      <c r="I46" s="45">
        <v>3353</v>
      </c>
      <c r="J46" s="52">
        <v>1</v>
      </c>
      <c r="K46" s="53">
        <f t="shared" si="0"/>
        <v>6.6422930000000004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6902</v>
      </c>
      <c r="B48" s="45" t="s">
        <v>6903</v>
      </c>
      <c r="C48" s="46">
        <v>28</v>
      </c>
      <c r="D48" s="47" t="s">
        <v>6904</v>
      </c>
      <c r="E48" s="48">
        <v>12</v>
      </c>
      <c r="F48" s="49">
        <v>19.440000000000001</v>
      </c>
      <c r="G48" s="50" t="s">
        <v>6910</v>
      </c>
      <c r="H48" s="51">
        <v>2438</v>
      </c>
      <c r="I48" s="45">
        <v>3353</v>
      </c>
      <c r="J48" s="52">
        <v>6</v>
      </c>
      <c r="K48" s="53">
        <f t="shared" si="0"/>
        <v>49.047684000000004</v>
      </c>
      <c r="L48" s="54"/>
    </row>
    <row r="49" spans="1:12" s="55" customFormat="1" ht="19.5" customHeight="1" x14ac:dyDescent="0.3">
      <c r="A49" s="44"/>
      <c r="B49" s="45"/>
      <c r="C49" s="46">
        <v>28</v>
      </c>
      <c r="D49" s="47" t="s">
        <v>6905</v>
      </c>
      <c r="E49" s="48">
        <v>1</v>
      </c>
      <c r="F49" s="49">
        <v>1.48</v>
      </c>
      <c r="G49" s="50" t="s">
        <v>6911</v>
      </c>
      <c r="H49" s="51">
        <v>2438</v>
      </c>
      <c r="I49" s="45">
        <v>3353</v>
      </c>
      <c r="J49" s="52">
        <v>6</v>
      </c>
      <c r="K49" s="53">
        <f t="shared" si="0"/>
        <v>49.047684000000004</v>
      </c>
      <c r="L49" s="54"/>
    </row>
    <row r="50" spans="1:12" s="55" customFormat="1" ht="19.5" customHeight="1" x14ac:dyDescent="0.3">
      <c r="A50" s="44"/>
      <c r="B50" s="45"/>
      <c r="C50" s="46">
        <v>28</v>
      </c>
      <c r="D50" s="47" t="s">
        <v>6906</v>
      </c>
      <c r="E50" s="48">
        <v>1</v>
      </c>
      <c r="F50" s="49">
        <v>0.59</v>
      </c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>
        <v>28</v>
      </c>
      <c r="D51" s="47" t="s">
        <v>6907</v>
      </c>
      <c r="E51" s="48">
        <v>6</v>
      </c>
      <c r="F51" s="49">
        <v>4.74</v>
      </c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>
        <v>28</v>
      </c>
      <c r="D52" s="47" t="s">
        <v>6908</v>
      </c>
      <c r="E52" s="48">
        <v>2</v>
      </c>
      <c r="F52" s="49">
        <v>0.71</v>
      </c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>
        <v>28</v>
      </c>
      <c r="D53" s="47" t="s">
        <v>6907</v>
      </c>
      <c r="E53" s="48">
        <v>2</v>
      </c>
      <c r="F53" s="49">
        <v>2.4</v>
      </c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>
        <v>28</v>
      </c>
      <c r="D54" s="47" t="s">
        <v>6904</v>
      </c>
      <c r="E54" s="48">
        <v>4</v>
      </c>
      <c r="F54" s="49">
        <v>2.9</v>
      </c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>
        <v>28</v>
      </c>
      <c r="D55" s="47" t="s">
        <v>6909</v>
      </c>
      <c r="E55" s="48">
        <v>4</v>
      </c>
      <c r="F55" s="49">
        <v>9.84</v>
      </c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9" customFormat="1" ht="20.100000000000001" customHeight="1" x14ac:dyDescent="0.3">
      <c r="A61" s="44"/>
      <c r="B61" s="45"/>
      <c r="C61" s="46"/>
      <c r="D61" s="47"/>
      <c r="E61" s="56"/>
      <c r="F61" s="57"/>
      <c r="G61" s="50"/>
      <c r="H61" s="51"/>
      <c r="I61" s="45"/>
      <c r="J61" s="52"/>
      <c r="K61" s="53">
        <f t="shared" si="0"/>
        <v>0</v>
      </c>
      <c r="L61" s="58">
        <f>SUM(J36:J62)</f>
        <v>69</v>
      </c>
    </row>
    <row r="62" spans="1:12" s="59" customFormat="1" ht="20.100000000000001" customHeight="1" x14ac:dyDescent="0.3">
      <c r="A62" s="44"/>
      <c r="B62" s="45"/>
      <c r="C62" s="46"/>
      <c r="D62" s="47"/>
      <c r="E62" s="60"/>
      <c r="F62" s="61"/>
      <c r="G62" s="62"/>
      <c r="H62" s="51"/>
      <c r="I62" s="45"/>
      <c r="J62" s="63"/>
      <c r="K62" s="53">
        <f t="shared" si="0"/>
        <v>0</v>
      </c>
      <c r="L62" s="64">
        <f>SUM(K36:K62)</f>
        <v>562.51604499999996</v>
      </c>
    </row>
    <row r="63" spans="1:12" s="59" customFormat="1" ht="20.100000000000001" customHeight="1" thickBot="1" x14ac:dyDescent="0.35">
      <c r="A63" s="114"/>
      <c r="B63" s="115"/>
      <c r="C63" s="115"/>
      <c r="D63" s="115"/>
      <c r="E63" s="115"/>
      <c r="F63" s="115"/>
      <c r="G63" s="115"/>
      <c r="H63" s="115"/>
      <c r="I63" s="115"/>
      <c r="J63" s="65">
        <f>SUM(J7:J62)</f>
        <v>175</v>
      </c>
      <c r="K63" s="66">
        <f>SUM(K7:K62)</f>
        <v>1271.7090750000002</v>
      </c>
      <c r="L63" s="67"/>
    </row>
    <row r="64" spans="1:12" s="59" customFormat="1" ht="20.100000000000001" customHeight="1" thickTop="1" thickBot="1" x14ac:dyDescent="0.35">
      <c r="A64" s="116" t="s">
        <v>52</v>
      </c>
      <c r="B64" s="117"/>
      <c r="C64" s="68"/>
      <c r="D64" s="118">
        <f>J63</f>
        <v>175</v>
      </c>
      <c r="E64" s="119"/>
      <c r="F64" s="119"/>
      <c r="G64" s="120"/>
      <c r="H64" s="121"/>
      <c r="I64" s="121"/>
      <c r="J64" s="122"/>
      <c r="K64" s="119"/>
      <c r="L64" s="123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71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72"/>
      <c r="F70" s="5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5"/>
      <c r="G71" s="73"/>
      <c r="H71" s="5"/>
      <c r="I71" s="74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72"/>
      <c r="I75" s="72"/>
      <c r="J75" s="5"/>
      <c r="K75" s="5"/>
      <c r="L75" s="5"/>
    </row>
    <row r="76" spans="1:12" ht="20.100000000000001" customHeight="1" x14ac:dyDescent="0.3">
      <c r="A76" s="113"/>
      <c r="B76" s="113"/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A79" s="113"/>
      <c r="B79" s="113"/>
      <c r="H79" s="72"/>
      <c r="I79" s="72"/>
    </row>
    <row r="80" spans="1:12" ht="20.100000000000001" customHeight="1" x14ac:dyDescent="0.3">
      <c r="A80" s="113"/>
      <c r="B80" s="113"/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J84" s="5"/>
      <c r="K84" s="5"/>
      <c r="L84" s="5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5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5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19.5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ht="19.5" customHeight="1" x14ac:dyDescent="0.3"/>
    <row r="92" spans="1:12" ht="19.5" customHeight="1" x14ac:dyDescent="0.3"/>
    <row r="93" spans="1:12" ht="19.5" customHeight="1" x14ac:dyDescent="0.3"/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</sheetData>
  <mergeCells count="30">
    <mergeCell ref="A79:B79"/>
    <mergeCell ref="A80:B80"/>
    <mergeCell ref="A70:B70"/>
    <mergeCell ref="A71:B71"/>
    <mergeCell ref="A72:B72"/>
    <mergeCell ref="A74:B74"/>
    <mergeCell ref="A75:B75"/>
    <mergeCell ref="A76:B76"/>
    <mergeCell ref="A69:B6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3:I63"/>
    <mergeCell ref="A64:B64"/>
    <mergeCell ref="D64:G64"/>
    <mergeCell ref="H64:J64"/>
    <mergeCell ref="K64:L64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L150"/>
  <sheetViews>
    <sheetView view="pageBreakPreview" topLeftCell="A49" zoomScale="85" zoomScaleNormal="100" zoomScaleSheetLayoutView="85" workbookViewId="0">
      <selection activeCell="L57" sqref="L57:L5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46230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8" si="0">(H7/1000*I7/1000)*J7</f>
        <v>0</v>
      </c>
      <c r="L7" s="26">
        <f>SUM(J7:J27)</f>
        <v>133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SUM(K7:K27)</f>
        <v>883.42496900000015</v>
      </c>
    </row>
    <row r="9" spans="1:12" s="27" customFormat="1" ht="19.5" customHeight="1" x14ac:dyDescent="0.3">
      <c r="A9" s="28" t="s">
        <v>6824</v>
      </c>
      <c r="B9" s="16" t="s">
        <v>2662</v>
      </c>
      <c r="C9" s="17">
        <v>22</v>
      </c>
      <c r="D9" s="18" t="s">
        <v>6842</v>
      </c>
      <c r="E9" s="41">
        <v>160</v>
      </c>
      <c r="F9" s="42">
        <v>100.5</v>
      </c>
      <c r="G9" s="34" t="s">
        <v>312</v>
      </c>
      <c r="H9" s="35">
        <v>1981</v>
      </c>
      <c r="I9" s="36">
        <v>3353</v>
      </c>
      <c r="J9" s="37">
        <v>17</v>
      </c>
      <c r="K9" s="25">
        <f t="shared" si="0"/>
        <v>112.918981</v>
      </c>
      <c r="L9" s="39" t="s">
        <v>6860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6843</v>
      </c>
      <c r="B11" s="16" t="s">
        <v>2662</v>
      </c>
      <c r="C11" s="17">
        <v>22</v>
      </c>
      <c r="D11" s="18" t="s">
        <v>6842</v>
      </c>
      <c r="E11" s="41">
        <v>141</v>
      </c>
      <c r="F11" s="42">
        <v>83.67</v>
      </c>
      <c r="G11" s="34" t="s">
        <v>108</v>
      </c>
      <c r="H11" s="35">
        <v>1981</v>
      </c>
      <c r="I11" s="36">
        <v>3353</v>
      </c>
      <c r="J11" s="37">
        <v>13</v>
      </c>
      <c r="K11" s="85">
        <f t="shared" si="0"/>
        <v>86.349809000000008</v>
      </c>
      <c r="L11" s="39"/>
    </row>
    <row r="12" spans="1:12" s="27" customFormat="1" ht="19.5" customHeight="1" x14ac:dyDescent="0.3">
      <c r="A12" s="28"/>
      <c r="B12" s="16"/>
      <c r="C12" s="17">
        <v>22</v>
      </c>
      <c r="D12" s="18" t="s">
        <v>147</v>
      </c>
      <c r="E12" s="41">
        <v>36</v>
      </c>
      <c r="F12" s="42">
        <v>10.08</v>
      </c>
      <c r="G12" s="34" t="s">
        <v>312</v>
      </c>
      <c r="H12" s="35">
        <v>1981</v>
      </c>
      <c r="I12" s="36">
        <v>3353</v>
      </c>
      <c r="J12" s="37">
        <v>13</v>
      </c>
      <c r="K12" s="85">
        <f t="shared" si="0"/>
        <v>86.349809000000008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 t="shared" si="0"/>
        <v>0</v>
      </c>
      <c r="L14" s="39"/>
    </row>
    <row r="15" spans="1:12" s="27" customFormat="1" ht="19.5" customHeight="1" x14ac:dyDescent="0.3">
      <c r="A15" s="28" t="s">
        <v>6843</v>
      </c>
      <c r="B15" s="16" t="s">
        <v>2662</v>
      </c>
      <c r="C15" s="17">
        <v>22</v>
      </c>
      <c r="D15" s="18" t="s">
        <v>6844</v>
      </c>
      <c r="E15" s="41">
        <v>156</v>
      </c>
      <c r="F15" s="42">
        <v>121.68</v>
      </c>
      <c r="G15" s="34" t="s">
        <v>6845</v>
      </c>
      <c r="H15" s="35">
        <v>1981</v>
      </c>
      <c r="I15" s="36">
        <v>3353</v>
      </c>
      <c r="J15" s="37">
        <v>18</v>
      </c>
      <c r="K15" s="85">
        <f t="shared" ref="K15:K20" si="1">(H15/1000*I15/1000)*J15</f>
        <v>119.56127400000001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312</v>
      </c>
      <c r="H16" s="35">
        <v>1981</v>
      </c>
      <c r="I16" s="36">
        <v>3353</v>
      </c>
      <c r="J16" s="37">
        <v>18</v>
      </c>
      <c r="K16" s="85">
        <f t="shared" si="1"/>
        <v>119.56127400000001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1"/>
        <v>0</v>
      </c>
      <c r="L17" s="39"/>
    </row>
    <row r="18" spans="1:12" s="27" customFormat="1" ht="19.5" customHeight="1" x14ac:dyDescent="0.3">
      <c r="A18" s="28" t="s">
        <v>6846</v>
      </c>
      <c r="B18" s="16" t="s">
        <v>2662</v>
      </c>
      <c r="C18" s="17">
        <v>22</v>
      </c>
      <c r="D18" s="18" t="s">
        <v>6842</v>
      </c>
      <c r="E18" s="41">
        <v>144</v>
      </c>
      <c r="F18" s="42">
        <v>88.14</v>
      </c>
      <c r="G18" s="34" t="s">
        <v>108</v>
      </c>
      <c r="H18" s="35">
        <v>1981</v>
      </c>
      <c r="I18" s="36">
        <v>3353</v>
      </c>
      <c r="J18" s="37">
        <v>14</v>
      </c>
      <c r="K18" s="85">
        <f t="shared" si="1"/>
        <v>92.992102000000003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85"/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1"/>
        <v>0</v>
      </c>
      <c r="L20" s="39"/>
    </row>
    <row r="21" spans="1:12" s="27" customFormat="1" ht="19.5" customHeight="1" x14ac:dyDescent="0.3">
      <c r="A21" s="28" t="s">
        <v>6635</v>
      </c>
      <c r="B21" s="16" t="s">
        <v>2662</v>
      </c>
      <c r="C21" s="17">
        <v>22</v>
      </c>
      <c r="D21" s="18" t="s">
        <v>6844</v>
      </c>
      <c r="E21" s="41">
        <v>162</v>
      </c>
      <c r="F21" s="42">
        <v>135.84</v>
      </c>
      <c r="G21" s="34" t="s">
        <v>6845</v>
      </c>
      <c r="H21" s="35">
        <v>1981</v>
      </c>
      <c r="I21" s="36">
        <v>3353</v>
      </c>
      <c r="J21" s="37">
        <v>20</v>
      </c>
      <c r="K21" s="85">
        <f t="shared" ref="K21:K23" si="2">(H21/1000*I21/1000)*J21</f>
        <v>132.84586000000002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 t="s">
        <v>312</v>
      </c>
      <c r="H22" s="35">
        <v>1981</v>
      </c>
      <c r="I22" s="36">
        <v>3353</v>
      </c>
      <c r="J22" s="37">
        <v>20</v>
      </c>
      <c r="K22" s="85">
        <f t="shared" si="2"/>
        <v>132.84586000000002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2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29"/>
      <c r="C27" s="30"/>
      <c r="D27" s="31"/>
      <c r="E27" s="41"/>
      <c r="F27" s="42"/>
      <c r="G27" s="43"/>
      <c r="H27" s="35"/>
      <c r="I27" s="36"/>
      <c r="J27" s="37"/>
      <c r="K27" s="25">
        <f t="shared" si="0"/>
        <v>0</v>
      </c>
      <c r="L27" s="39"/>
    </row>
    <row r="28" spans="1:12" s="55" customFormat="1" ht="19.5" customHeight="1" x14ac:dyDescent="0.3">
      <c r="A28" s="44"/>
      <c r="B28" s="45"/>
      <c r="C28" s="46"/>
      <c r="D28" s="47"/>
      <c r="E28" s="48"/>
      <c r="F28" s="49"/>
      <c r="G28" s="50"/>
      <c r="H28" s="51"/>
      <c r="I28" s="45"/>
      <c r="J28" s="52"/>
      <c r="K28" s="53">
        <f t="shared" si="0"/>
        <v>0</v>
      </c>
      <c r="L28" s="54"/>
    </row>
    <row r="29" spans="1:12" s="55" customFormat="1" ht="19.5" customHeight="1" x14ac:dyDescent="0.3">
      <c r="A29" s="44" t="s">
        <v>6847</v>
      </c>
      <c r="B29" s="45" t="s">
        <v>2998</v>
      </c>
      <c r="C29" s="46">
        <v>28</v>
      </c>
      <c r="D29" s="47" t="s">
        <v>6848</v>
      </c>
      <c r="E29" s="48">
        <v>1</v>
      </c>
      <c r="F29" s="49">
        <v>0.62</v>
      </c>
      <c r="G29" s="50" t="s">
        <v>6849</v>
      </c>
      <c r="H29" s="51">
        <v>2438</v>
      </c>
      <c r="I29" s="45">
        <v>3353</v>
      </c>
      <c r="J29" s="52">
        <v>4</v>
      </c>
      <c r="K29" s="53">
        <f t="shared" si="0"/>
        <v>32.698456</v>
      </c>
      <c r="L29" s="54" t="s">
        <v>6852</v>
      </c>
    </row>
    <row r="30" spans="1:12" s="55" customFormat="1" ht="19.5" customHeight="1" x14ac:dyDescent="0.3">
      <c r="A30" s="44"/>
      <c r="B30" s="45"/>
      <c r="C30" s="46">
        <v>28</v>
      </c>
      <c r="D30" s="47" t="s">
        <v>3770</v>
      </c>
      <c r="E30" s="48">
        <v>25</v>
      </c>
      <c r="F30" s="49">
        <v>25.04</v>
      </c>
      <c r="G30" s="50" t="s">
        <v>540</v>
      </c>
      <c r="H30" s="51">
        <v>2438</v>
      </c>
      <c r="I30" s="45">
        <v>3353</v>
      </c>
      <c r="J30" s="52">
        <v>4</v>
      </c>
      <c r="K30" s="53">
        <f t="shared" si="0"/>
        <v>32.698456</v>
      </c>
      <c r="L30" s="54" t="s">
        <v>6852</v>
      </c>
    </row>
    <row r="31" spans="1:12" s="55" customFormat="1" ht="19.5" customHeight="1" x14ac:dyDescent="0.3">
      <c r="A31" s="44"/>
      <c r="B31" s="45"/>
      <c r="C31" s="46">
        <v>28</v>
      </c>
      <c r="D31" s="47" t="s">
        <v>3770</v>
      </c>
      <c r="E31" s="48">
        <v>4</v>
      </c>
      <c r="F31" s="49">
        <v>4.03</v>
      </c>
      <c r="G31" s="50"/>
      <c r="H31" s="51"/>
      <c r="I31" s="45"/>
      <c r="J31" s="52"/>
      <c r="K31" s="53">
        <f t="shared" si="0"/>
        <v>0</v>
      </c>
      <c r="L31" s="54" t="s">
        <v>6852</v>
      </c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6850</v>
      </c>
      <c r="B33" s="45" t="s">
        <v>6851</v>
      </c>
      <c r="C33" s="46">
        <v>28</v>
      </c>
      <c r="D33" s="47" t="s">
        <v>3771</v>
      </c>
      <c r="E33" s="48">
        <v>7</v>
      </c>
      <c r="F33" s="49">
        <v>4.05</v>
      </c>
      <c r="G33" s="50" t="s">
        <v>6849</v>
      </c>
      <c r="H33" s="51"/>
      <c r="I33" s="45"/>
      <c r="J33" s="52"/>
      <c r="K33" s="53">
        <f t="shared" si="0"/>
        <v>0</v>
      </c>
      <c r="L33" s="54" t="s">
        <v>6487</v>
      </c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 t="s">
        <v>540</v>
      </c>
      <c r="H34" s="51">
        <v>2438</v>
      </c>
      <c r="I34" s="45">
        <v>3353</v>
      </c>
      <c r="J34" s="52">
        <v>1</v>
      </c>
      <c r="K34" s="53">
        <f t="shared" si="0"/>
        <v>8.174614</v>
      </c>
      <c r="L34" s="54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/>
      <c r="L35" s="54"/>
    </row>
    <row r="36" spans="1:12" s="55" customFormat="1" ht="19.5" customHeight="1" x14ac:dyDescent="0.3">
      <c r="A36" s="44" t="s">
        <v>6853</v>
      </c>
      <c r="B36" s="45" t="s">
        <v>2005</v>
      </c>
      <c r="C36" s="46">
        <v>28</v>
      </c>
      <c r="D36" s="47" t="s">
        <v>2006</v>
      </c>
      <c r="E36" s="48">
        <v>257</v>
      </c>
      <c r="F36" s="49">
        <v>274.01</v>
      </c>
      <c r="G36" s="50" t="s">
        <v>655</v>
      </c>
      <c r="H36" s="51">
        <v>2134</v>
      </c>
      <c r="I36" s="45">
        <v>3048</v>
      </c>
      <c r="J36" s="52">
        <v>42</v>
      </c>
      <c r="K36" s="53">
        <f t="shared" ref="K36:K39" si="3">(H36/1000*I36/1000)*J36</f>
        <v>273.18614399999996</v>
      </c>
      <c r="L36" s="54"/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 t="s">
        <v>655</v>
      </c>
      <c r="H37" s="51">
        <v>2134</v>
      </c>
      <c r="I37" s="45">
        <v>3353</v>
      </c>
      <c r="J37" s="52">
        <v>4</v>
      </c>
      <c r="K37" s="53">
        <f t="shared" si="3"/>
        <v>28.621207999999999</v>
      </c>
      <c r="L37" s="54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 t="s">
        <v>540</v>
      </c>
      <c r="H38" s="51">
        <v>2134</v>
      </c>
      <c r="I38" s="45">
        <v>3353</v>
      </c>
      <c r="J38" s="52">
        <v>4</v>
      </c>
      <c r="K38" s="53">
        <f t="shared" si="3"/>
        <v>28.621207999999999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 t="s">
        <v>540</v>
      </c>
      <c r="H39" s="51">
        <v>2134</v>
      </c>
      <c r="I39" s="45">
        <v>3048</v>
      </c>
      <c r="J39" s="52">
        <v>42</v>
      </c>
      <c r="K39" s="53">
        <f t="shared" si="3"/>
        <v>273.18614399999996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/>
      <c r="L40" s="54"/>
    </row>
    <row r="41" spans="1:12" s="55" customFormat="1" ht="19.5" customHeight="1" x14ac:dyDescent="0.3">
      <c r="A41" s="44" t="s">
        <v>6853</v>
      </c>
      <c r="B41" s="45" t="s">
        <v>2005</v>
      </c>
      <c r="C41" s="46">
        <v>28</v>
      </c>
      <c r="D41" s="47" t="s">
        <v>653</v>
      </c>
      <c r="E41" s="48">
        <v>83</v>
      </c>
      <c r="F41" s="49">
        <v>141.09</v>
      </c>
      <c r="G41" s="50" t="s">
        <v>655</v>
      </c>
      <c r="H41" s="51">
        <v>2134</v>
      </c>
      <c r="I41" s="45">
        <v>3353</v>
      </c>
      <c r="J41" s="52">
        <v>22</v>
      </c>
      <c r="K41" s="53">
        <f t="shared" ref="K41:K43" si="4">(H41/1000*I41/1000)*J41</f>
        <v>157.41664399999999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 t="s">
        <v>540</v>
      </c>
      <c r="H42" s="51">
        <v>2134</v>
      </c>
      <c r="I42" s="45">
        <v>3353</v>
      </c>
      <c r="J42" s="52">
        <v>22</v>
      </c>
      <c r="K42" s="53">
        <f t="shared" si="4"/>
        <v>157.41664399999999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4"/>
        <v>0</v>
      </c>
      <c r="L43" s="54"/>
    </row>
    <row r="44" spans="1:12" s="55" customFormat="1" ht="19.5" customHeight="1" x14ac:dyDescent="0.3">
      <c r="A44" s="44" t="s">
        <v>6350</v>
      </c>
      <c r="B44" s="45" t="s">
        <v>6851</v>
      </c>
      <c r="C44" s="46">
        <v>28</v>
      </c>
      <c r="D44" s="47" t="s">
        <v>3770</v>
      </c>
      <c r="E44" s="48">
        <v>1</v>
      </c>
      <c r="F44" s="49">
        <f>6.06/6</f>
        <v>1.01</v>
      </c>
      <c r="G44" s="50" t="s">
        <v>6854</v>
      </c>
      <c r="H44" s="51">
        <v>2438</v>
      </c>
      <c r="I44" s="45">
        <v>3353</v>
      </c>
      <c r="J44" s="52">
        <v>2</v>
      </c>
      <c r="K44" s="53">
        <f t="shared" si="0"/>
        <v>16.349228</v>
      </c>
      <c r="L44" s="54" t="s">
        <v>6855</v>
      </c>
    </row>
    <row r="45" spans="1:12" s="55" customFormat="1" ht="19.5" customHeight="1" x14ac:dyDescent="0.3">
      <c r="A45" s="44" t="s">
        <v>6008</v>
      </c>
      <c r="B45" s="45" t="s">
        <v>6851</v>
      </c>
      <c r="C45" s="46">
        <v>28</v>
      </c>
      <c r="D45" s="47" t="s">
        <v>6857</v>
      </c>
      <c r="E45" s="48">
        <v>3</v>
      </c>
      <c r="F45" s="49">
        <f>68.32/28+79.8/28+18.18/6</f>
        <v>8.32</v>
      </c>
      <c r="G45" s="50"/>
      <c r="H45" s="51"/>
      <c r="I45" s="45"/>
      <c r="J45" s="52"/>
      <c r="K45" s="53">
        <f t="shared" si="0"/>
        <v>0</v>
      </c>
      <c r="L45" s="54" t="s">
        <v>6855</v>
      </c>
    </row>
    <row r="46" spans="1:12" s="55" customFormat="1" ht="19.5" customHeight="1" x14ac:dyDescent="0.3">
      <c r="A46" s="44" t="s">
        <v>6431</v>
      </c>
      <c r="B46" s="45" t="s">
        <v>6851</v>
      </c>
      <c r="C46" s="46">
        <v>28</v>
      </c>
      <c r="D46" s="47" t="s">
        <v>3770</v>
      </c>
      <c r="E46" s="48">
        <v>1</v>
      </c>
      <c r="F46" s="49">
        <v>2.36</v>
      </c>
      <c r="G46" s="50"/>
      <c r="H46" s="51"/>
      <c r="I46" s="45"/>
      <c r="J46" s="52"/>
      <c r="K46" s="53">
        <f t="shared" si="0"/>
        <v>0</v>
      </c>
      <c r="L46" s="54" t="s">
        <v>6855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6856</v>
      </c>
      <c r="B48" s="45" t="s">
        <v>6851</v>
      </c>
      <c r="C48" s="46">
        <v>28</v>
      </c>
      <c r="D48" s="47" t="s">
        <v>6858</v>
      </c>
      <c r="E48" s="48">
        <v>2</v>
      </c>
      <c r="F48" s="49">
        <f>5.06/11+0.39</f>
        <v>0.85</v>
      </c>
      <c r="G48" s="50" t="s">
        <v>6849</v>
      </c>
      <c r="H48" s="51">
        <v>2438</v>
      </c>
      <c r="I48" s="45">
        <v>3353</v>
      </c>
      <c r="J48" s="52">
        <v>2</v>
      </c>
      <c r="K48" s="53">
        <f t="shared" ref="K48:K50" si="5">(H48/1000*I48/1000)*J48</f>
        <v>16.349228</v>
      </c>
      <c r="L48" s="54" t="s">
        <v>6859</v>
      </c>
    </row>
    <row r="49" spans="1:12" s="55" customFormat="1" ht="19.5" customHeight="1" x14ac:dyDescent="0.3">
      <c r="A49" s="44" t="s">
        <v>6008</v>
      </c>
      <c r="B49" s="45" t="s">
        <v>6851</v>
      </c>
      <c r="C49" s="46">
        <v>28</v>
      </c>
      <c r="D49" s="47" t="s">
        <v>6857</v>
      </c>
      <c r="E49" s="48">
        <v>3</v>
      </c>
      <c r="F49" s="49">
        <f>55.02/21+79.8/28+18.18/6</f>
        <v>8.5</v>
      </c>
      <c r="G49" s="50"/>
      <c r="H49" s="51"/>
      <c r="I49" s="45"/>
      <c r="J49" s="52"/>
      <c r="K49" s="53">
        <f t="shared" si="5"/>
        <v>0</v>
      </c>
      <c r="L49" s="54" t="s">
        <v>6859</v>
      </c>
    </row>
    <row r="50" spans="1:12" s="55" customFormat="1" ht="19.5" customHeight="1" x14ac:dyDescent="0.3">
      <c r="A50" s="44" t="s">
        <v>6431</v>
      </c>
      <c r="B50" s="45" t="s">
        <v>6851</v>
      </c>
      <c r="C50" s="46">
        <v>28</v>
      </c>
      <c r="D50" s="47" t="s">
        <v>3770</v>
      </c>
      <c r="E50" s="48">
        <v>1</v>
      </c>
      <c r="F50" s="49">
        <v>0.77</v>
      </c>
      <c r="G50" s="50"/>
      <c r="H50" s="51"/>
      <c r="I50" s="45"/>
      <c r="J50" s="52"/>
      <c r="K50" s="53">
        <f t="shared" si="5"/>
        <v>0</v>
      </c>
      <c r="L50" s="54" t="s">
        <v>6859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9" customFormat="1" ht="20.100000000000001" customHeight="1" x14ac:dyDescent="0.3">
      <c r="A57" s="44"/>
      <c r="B57" s="45"/>
      <c r="C57" s="46"/>
      <c r="D57" s="47"/>
      <c r="E57" s="56"/>
      <c r="F57" s="57"/>
      <c r="G57" s="50"/>
      <c r="H57" s="51"/>
      <c r="I57" s="45"/>
      <c r="J57" s="52"/>
      <c r="K57" s="53">
        <f t="shared" si="0"/>
        <v>0</v>
      </c>
      <c r="L57" s="58">
        <f>SUM(J28:J58)</f>
        <v>149</v>
      </c>
    </row>
    <row r="58" spans="1:12" s="59" customFormat="1" ht="20.100000000000001" customHeight="1" x14ac:dyDescent="0.3">
      <c r="A58" s="44"/>
      <c r="B58" s="45"/>
      <c r="C58" s="46"/>
      <c r="D58" s="47"/>
      <c r="E58" s="60"/>
      <c r="F58" s="61"/>
      <c r="G58" s="62"/>
      <c r="H58" s="51"/>
      <c r="I58" s="45"/>
      <c r="J58" s="63"/>
      <c r="K58" s="53">
        <f t="shared" si="0"/>
        <v>0</v>
      </c>
      <c r="L58" s="64">
        <f>SUM(K28:K58)</f>
        <v>1024.7179740000001</v>
      </c>
    </row>
    <row r="59" spans="1:12" s="59" customFormat="1" ht="20.100000000000001" customHeight="1" thickBot="1" x14ac:dyDescent="0.35">
      <c r="A59" s="114"/>
      <c r="B59" s="115"/>
      <c r="C59" s="115"/>
      <c r="D59" s="115"/>
      <c r="E59" s="115"/>
      <c r="F59" s="115"/>
      <c r="G59" s="115"/>
      <c r="H59" s="115"/>
      <c r="I59" s="115"/>
      <c r="J59" s="65">
        <f>SUM(J7:J58)</f>
        <v>282</v>
      </c>
      <c r="K59" s="66">
        <f>SUM(K7:K58)</f>
        <v>1908.1429430000001</v>
      </c>
      <c r="L59" s="67"/>
    </row>
    <row r="60" spans="1:12" s="59" customFormat="1" ht="20.100000000000001" customHeight="1" thickTop="1" thickBot="1" x14ac:dyDescent="0.35">
      <c r="A60" s="116" t="s">
        <v>52</v>
      </c>
      <c r="B60" s="117"/>
      <c r="C60" s="68"/>
      <c r="D60" s="118">
        <f>J59</f>
        <v>282</v>
      </c>
      <c r="E60" s="119"/>
      <c r="F60" s="119"/>
      <c r="G60" s="120"/>
      <c r="H60" s="121"/>
      <c r="I60" s="121"/>
      <c r="J60" s="122"/>
      <c r="K60" s="119"/>
      <c r="L60" s="123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71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72"/>
      <c r="F66" s="5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5"/>
      <c r="G67" s="73"/>
      <c r="H67" s="5"/>
      <c r="I67" s="74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72"/>
      <c r="I71" s="72"/>
      <c r="J71" s="5"/>
      <c r="K71" s="5"/>
      <c r="L71" s="5"/>
    </row>
    <row r="72" spans="1:12" ht="20.100000000000001" customHeight="1" x14ac:dyDescent="0.3">
      <c r="A72" s="113"/>
      <c r="B72" s="113"/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A75" s="113"/>
      <c r="B75" s="113"/>
      <c r="H75" s="72"/>
      <c r="I75" s="72"/>
    </row>
    <row r="76" spans="1:12" ht="20.100000000000001" customHeight="1" x14ac:dyDescent="0.3">
      <c r="A76" s="113"/>
      <c r="B76" s="113"/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H79" s="72"/>
      <c r="I79" s="72"/>
    </row>
    <row r="80" spans="1:12" s="72" customFormat="1" ht="20.100000000000001" customHeight="1" x14ac:dyDescent="0.3">
      <c r="A80" s="69"/>
      <c r="B80" s="5"/>
      <c r="C80" s="5"/>
      <c r="D80" s="5"/>
      <c r="E80" s="5"/>
      <c r="F80" s="70"/>
      <c r="G80" s="5"/>
      <c r="J80" s="5"/>
      <c r="K80" s="5"/>
      <c r="L80" s="5"/>
    </row>
    <row r="81" spans="1:12" s="72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5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5" customFormat="1" ht="19.5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ht="19.5" customHeight="1" x14ac:dyDescent="0.3"/>
    <row r="88" spans="1:12" ht="19.5" customHeight="1" x14ac:dyDescent="0.3"/>
    <row r="89" spans="1:12" ht="19.5" customHeight="1" x14ac:dyDescent="0.3"/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5:B6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9:I59"/>
    <mergeCell ref="A60:B60"/>
    <mergeCell ref="D60:G60"/>
    <mergeCell ref="H60:J60"/>
    <mergeCell ref="K60:L60"/>
    <mergeCell ref="A75:B75"/>
    <mergeCell ref="A76:B76"/>
    <mergeCell ref="A66:B66"/>
    <mergeCell ref="A67:B67"/>
    <mergeCell ref="A68:B68"/>
    <mergeCell ref="A70:B70"/>
    <mergeCell ref="A71:B71"/>
    <mergeCell ref="A72:B72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L141"/>
  <sheetViews>
    <sheetView view="pageBreakPreview" topLeftCell="A40" zoomScale="85" zoomScaleNormal="100" zoomScaleSheetLayoutView="85" workbookViewId="0">
      <selection activeCell="L48" sqref="L48:L4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46228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49" si="0">(H7/1000*I7/1000)*J7</f>
        <v>0</v>
      </c>
      <c r="L7" s="26">
        <f>SUM(J7:J26)</f>
        <v>153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SUM(K7:K26)</f>
        <v>1016.270829</v>
      </c>
    </row>
    <row r="9" spans="1:12" s="27" customFormat="1" ht="19.5" customHeight="1" x14ac:dyDescent="0.3">
      <c r="A9" s="28" t="s">
        <v>6811</v>
      </c>
      <c r="B9" s="16" t="s">
        <v>6812</v>
      </c>
      <c r="C9" s="17">
        <v>22</v>
      </c>
      <c r="D9" s="18" t="s">
        <v>6813</v>
      </c>
      <c r="E9" s="41">
        <v>18</v>
      </c>
      <c r="F9" s="42">
        <v>47.7</v>
      </c>
      <c r="G9" s="34" t="s">
        <v>6817</v>
      </c>
      <c r="H9" s="35">
        <v>1981</v>
      </c>
      <c r="I9" s="36">
        <v>3353</v>
      </c>
      <c r="J9" s="37">
        <v>22</v>
      </c>
      <c r="K9" s="25">
        <f t="shared" si="0"/>
        <v>146.13044600000001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6815</v>
      </c>
      <c r="E10" s="41">
        <v>144</v>
      </c>
      <c r="F10" s="42">
        <v>88.14</v>
      </c>
      <c r="G10" s="34" t="s">
        <v>6818</v>
      </c>
      <c r="H10" s="35">
        <v>1981</v>
      </c>
      <c r="I10" s="36">
        <v>3353</v>
      </c>
      <c r="J10" s="37">
        <v>21</v>
      </c>
      <c r="K10" s="25">
        <f t="shared" si="0"/>
        <v>139.48815300000001</v>
      </c>
      <c r="L10" s="39"/>
    </row>
    <row r="11" spans="1:12" s="27" customFormat="1" ht="19.5" customHeight="1" x14ac:dyDescent="0.3">
      <c r="A11" s="28"/>
      <c r="B11" s="16"/>
      <c r="C11" s="17">
        <v>22</v>
      </c>
      <c r="D11" s="18" t="s">
        <v>6816</v>
      </c>
      <c r="E11" s="41">
        <v>162</v>
      </c>
      <c r="F11" s="42">
        <v>135.84</v>
      </c>
      <c r="G11" s="34" t="s">
        <v>6819</v>
      </c>
      <c r="H11" s="35">
        <v>1981</v>
      </c>
      <c r="I11" s="36">
        <v>3353</v>
      </c>
      <c r="J11" s="37">
        <v>43</v>
      </c>
      <c r="K11" s="85">
        <f>(H11/1000*I11/1000)*J11</f>
        <v>285.61859900000002</v>
      </c>
      <c r="L11" s="39"/>
    </row>
    <row r="12" spans="1:12" s="27" customFormat="1" ht="19.5" customHeight="1" x14ac:dyDescent="0.3">
      <c r="A12" s="28"/>
      <c r="B12" s="16"/>
      <c r="C12" s="17">
        <v>22</v>
      </c>
      <c r="D12" s="18" t="s">
        <v>6815</v>
      </c>
      <c r="E12" s="41">
        <v>36</v>
      </c>
      <c r="F12" s="42">
        <v>10.08</v>
      </c>
      <c r="G12" s="34"/>
      <c r="H12" s="35"/>
      <c r="I12" s="36"/>
      <c r="J12" s="37"/>
      <c r="K12" s="85">
        <f t="shared" si="0"/>
        <v>0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 t="s">
        <v>6820</v>
      </c>
      <c r="B14" s="16" t="s">
        <v>6812</v>
      </c>
      <c r="C14" s="17">
        <v>22</v>
      </c>
      <c r="D14" s="18" t="s">
        <v>6813</v>
      </c>
      <c r="E14" s="41">
        <v>18</v>
      </c>
      <c r="F14" s="42">
        <v>47.7</v>
      </c>
      <c r="G14" s="34" t="s">
        <v>6817</v>
      </c>
      <c r="H14" s="35">
        <v>1981</v>
      </c>
      <c r="I14" s="36">
        <v>3353</v>
      </c>
      <c r="J14" s="37">
        <v>7</v>
      </c>
      <c r="K14" s="85">
        <f t="shared" si="0"/>
        <v>46.496051000000001</v>
      </c>
      <c r="L14" s="39" t="s">
        <v>6821</v>
      </c>
    </row>
    <row r="15" spans="1:12" s="27" customFormat="1" ht="19.5" customHeight="1" x14ac:dyDescent="0.3">
      <c r="A15" s="28"/>
      <c r="B15" s="16"/>
      <c r="C15" s="17">
        <v>22</v>
      </c>
      <c r="D15" s="18" t="s">
        <v>6815</v>
      </c>
      <c r="E15" s="41">
        <v>144</v>
      </c>
      <c r="F15" s="42">
        <v>88.14</v>
      </c>
      <c r="G15" s="34" t="s">
        <v>6819</v>
      </c>
      <c r="H15" s="35">
        <v>1981</v>
      </c>
      <c r="I15" s="36">
        <v>3353</v>
      </c>
      <c r="J15" s="37">
        <v>22</v>
      </c>
      <c r="K15" s="85">
        <f t="shared" si="0"/>
        <v>146.13044600000001</v>
      </c>
      <c r="L15" s="39" t="s">
        <v>6822</v>
      </c>
    </row>
    <row r="16" spans="1:12" s="27" customFormat="1" ht="19.5" customHeight="1" x14ac:dyDescent="0.3">
      <c r="A16" s="28"/>
      <c r="B16" s="16"/>
      <c r="C16" s="17">
        <v>22</v>
      </c>
      <c r="D16" s="18" t="s">
        <v>6815</v>
      </c>
      <c r="E16" s="41">
        <v>36</v>
      </c>
      <c r="F16" s="42">
        <v>10.08</v>
      </c>
      <c r="G16" s="34"/>
      <c r="H16" s="35"/>
      <c r="I16" s="36"/>
      <c r="J16" s="37"/>
      <c r="K16" s="85">
        <f t="shared" si="0"/>
        <v>0</v>
      </c>
      <c r="L16" s="39" t="s">
        <v>6822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0"/>
        <v>0</v>
      </c>
      <c r="L17" s="39"/>
    </row>
    <row r="18" spans="1:12" s="27" customFormat="1" ht="19.5" customHeight="1" x14ac:dyDescent="0.3">
      <c r="A18" s="28" t="s">
        <v>6823</v>
      </c>
      <c r="B18" s="16" t="s">
        <v>6812</v>
      </c>
      <c r="C18" s="17">
        <v>22</v>
      </c>
      <c r="D18" s="18" t="s">
        <v>6813</v>
      </c>
      <c r="E18" s="41">
        <v>15</v>
      </c>
      <c r="F18" s="42">
        <v>38.1</v>
      </c>
      <c r="G18" s="34" t="s">
        <v>6817</v>
      </c>
      <c r="H18" s="35">
        <v>1981</v>
      </c>
      <c r="I18" s="36">
        <v>3353</v>
      </c>
      <c r="J18" s="37">
        <v>6</v>
      </c>
      <c r="K18" s="85">
        <f t="shared" si="0"/>
        <v>39.853757999999999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 t="s">
        <v>6819</v>
      </c>
      <c r="H19" s="35">
        <v>1981</v>
      </c>
      <c r="I19" s="36">
        <v>3353</v>
      </c>
      <c r="J19" s="37">
        <v>6</v>
      </c>
      <c r="K19" s="85">
        <f t="shared" si="0"/>
        <v>39.853757999999999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6824</v>
      </c>
      <c r="B21" s="16" t="s">
        <v>6812</v>
      </c>
      <c r="C21" s="17">
        <v>22</v>
      </c>
      <c r="D21" s="18" t="s">
        <v>6813</v>
      </c>
      <c r="E21" s="41">
        <v>20</v>
      </c>
      <c r="F21" s="42">
        <v>47.2</v>
      </c>
      <c r="G21" s="34" t="s">
        <v>6817</v>
      </c>
      <c r="H21" s="35">
        <v>1981</v>
      </c>
      <c r="I21" s="36">
        <v>3353</v>
      </c>
      <c r="J21" s="37">
        <v>13</v>
      </c>
      <c r="K21" s="85">
        <f t="shared" si="0"/>
        <v>86.349809000000008</v>
      </c>
      <c r="L21" s="39"/>
    </row>
    <row r="22" spans="1:12" s="27" customFormat="1" ht="19.5" customHeight="1" x14ac:dyDescent="0.3">
      <c r="A22" s="28"/>
      <c r="B22" s="16"/>
      <c r="C22" s="17">
        <v>22</v>
      </c>
      <c r="D22" s="18" t="s">
        <v>6814</v>
      </c>
      <c r="E22" s="41">
        <v>10</v>
      </c>
      <c r="F22" s="42">
        <v>32.299999999999997</v>
      </c>
      <c r="G22" s="34" t="s">
        <v>6819</v>
      </c>
      <c r="H22" s="35">
        <v>1981</v>
      </c>
      <c r="I22" s="36">
        <v>3353</v>
      </c>
      <c r="J22" s="37">
        <v>13</v>
      </c>
      <c r="K22" s="85">
        <f t="shared" si="0"/>
        <v>86.349809000000008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29"/>
      <c r="C26" s="30"/>
      <c r="D26" s="31"/>
      <c r="E26" s="41"/>
      <c r="F26" s="42"/>
      <c r="G26" s="43"/>
      <c r="H26" s="35"/>
      <c r="I26" s="36"/>
      <c r="J26" s="37"/>
      <c r="K26" s="25">
        <f t="shared" si="0"/>
        <v>0</v>
      </c>
      <c r="L26" s="39"/>
    </row>
    <row r="27" spans="1:12" s="55" customFormat="1" ht="19.5" customHeight="1" x14ac:dyDescent="0.3">
      <c r="A27" s="44"/>
      <c r="B27" s="45"/>
      <c r="C27" s="46"/>
      <c r="D27" s="47"/>
      <c r="E27" s="48"/>
      <c r="F27" s="49"/>
      <c r="G27" s="50"/>
      <c r="H27" s="51"/>
      <c r="I27" s="45"/>
      <c r="J27" s="52"/>
      <c r="K27" s="53">
        <f t="shared" si="0"/>
        <v>0</v>
      </c>
      <c r="L27" s="54"/>
    </row>
    <row r="28" spans="1:12" s="55" customFormat="1" ht="19.5" customHeight="1" x14ac:dyDescent="0.3">
      <c r="A28" s="44" t="s">
        <v>6825</v>
      </c>
      <c r="B28" s="45" t="s">
        <v>6826</v>
      </c>
      <c r="C28" s="46">
        <v>16</v>
      </c>
      <c r="D28" s="47" t="s">
        <v>6827</v>
      </c>
      <c r="E28" s="48">
        <v>1</v>
      </c>
      <c r="F28" s="49">
        <v>0.85</v>
      </c>
      <c r="G28" s="50"/>
      <c r="H28" s="51"/>
      <c r="I28" s="45"/>
      <c r="J28" s="52"/>
      <c r="K28" s="53">
        <f t="shared" si="0"/>
        <v>0</v>
      </c>
      <c r="L28" s="54" t="s">
        <v>6828</v>
      </c>
    </row>
    <row r="29" spans="1:12" s="55" customFormat="1" ht="19.5" customHeight="1" x14ac:dyDescent="0.3">
      <c r="A29" s="44"/>
      <c r="B29" s="45"/>
      <c r="C29" s="46"/>
      <c r="D29" s="47"/>
      <c r="E29" s="48"/>
      <c r="F29" s="49"/>
      <c r="G29" s="50"/>
      <c r="H29" s="51"/>
      <c r="I29" s="45"/>
      <c r="J29" s="52"/>
      <c r="K29" s="53">
        <f t="shared" si="0"/>
        <v>0</v>
      </c>
      <c r="L29" s="54"/>
    </row>
    <row r="30" spans="1:12" s="55" customFormat="1" ht="19.5" customHeight="1" x14ac:dyDescent="0.3">
      <c r="A30" s="44" t="s">
        <v>6829</v>
      </c>
      <c r="B30" s="45" t="s">
        <v>6830</v>
      </c>
      <c r="C30" s="46">
        <v>39</v>
      </c>
      <c r="D30" s="47" t="s">
        <v>6831</v>
      </c>
      <c r="E30" s="48">
        <v>2</v>
      </c>
      <c r="F30" s="49">
        <v>1.46</v>
      </c>
      <c r="G30" s="50"/>
      <c r="H30" s="51"/>
      <c r="I30" s="45"/>
      <c r="J30" s="52"/>
      <c r="K30" s="53">
        <f t="shared" si="0"/>
        <v>0</v>
      </c>
      <c r="L30" s="54" t="s">
        <v>6835</v>
      </c>
    </row>
    <row r="31" spans="1:12" s="55" customFormat="1" ht="19.5" customHeight="1" x14ac:dyDescent="0.3">
      <c r="A31" s="44"/>
      <c r="B31" s="45"/>
      <c r="C31" s="46">
        <v>24</v>
      </c>
      <c r="D31" s="47" t="s">
        <v>6832</v>
      </c>
      <c r="E31" s="48">
        <v>5</v>
      </c>
      <c r="F31" s="49">
        <v>13.81</v>
      </c>
      <c r="G31" s="50" t="s">
        <v>6834</v>
      </c>
      <c r="H31" s="51">
        <v>2438</v>
      </c>
      <c r="I31" s="45">
        <v>3353</v>
      </c>
      <c r="J31" s="52">
        <v>2</v>
      </c>
      <c r="K31" s="53">
        <f t="shared" si="0"/>
        <v>16.349228</v>
      </c>
      <c r="L31" s="54"/>
    </row>
    <row r="32" spans="1:12" s="55" customFormat="1" ht="19.5" customHeight="1" x14ac:dyDescent="0.3">
      <c r="A32" s="44"/>
      <c r="B32" s="45"/>
      <c r="C32" s="46">
        <v>24</v>
      </c>
      <c r="D32" s="47" t="s">
        <v>6833</v>
      </c>
      <c r="E32" s="48">
        <v>1</v>
      </c>
      <c r="F32" s="49">
        <v>0.42</v>
      </c>
      <c r="G32" s="50" t="s">
        <v>6818</v>
      </c>
      <c r="H32" s="51">
        <v>1829</v>
      </c>
      <c r="I32" s="45">
        <v>3353</v>
      </c>
      <c r="J32" s="52">
        <v>3</v>
      </c>
      <c r="K32" s="53">
        <f t="shared" si="0"/>
        <v>18.397911000000001</v>
      </c>
      <c r="L32" s="54"/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6836</v>
      </c>
      <c r="B34" s="45" t="s">
        <v>6837</v>
      </c>
      <c r="C34" s="46">
        <v>28</v>
      </c>
      <c r="D34" s="47" t="s">
        <v>6838</v>
      </c>
      <c r="E34" s="48">
        <v>232</v>
      </c>
      <c r="F34" s="49">
        <v>246.52</v>
      </c>
      <c r="G34" s="50" t="s">
        <v>6840</v>
      </c>
      <c r="H34" s="51">
        <v>2134</v>
      </c>
      <c r="I34" s="45">
        <v>3048</v>
      </c>
      <c r="J34" s="52">
        <v>21</v>
      </c>
      <c r="K34" s="53">
        <f t="shared" si="0"/>
        <v>136.59307199999998</v>
      </c>
      <c r="L34" s="54"/>
    </row>
    <row r="35" spans="1:12" s="55" customFormat="1" ht="19.5" customHeight="1" x14ac:dyDescent="0.3">
      <c r="A35" s="44"/>
      <c r="B35" s="45"/>
      <c r="C35" s="46">
        <v>28</v>
      </c>
      <c r="D35" s="47" t="s">
        <v>6839</v>
      </c>
      <c r="E35" s="48">
        <v>75</v>
      </c>
      <c r="F35" s="49">
        <v>118.72</v>
      </c>
      <c r="G35" s="50" t="s">
        <v>6840</v>
      </c>
      <c r="H35" s="51">
        <v>2134</v>
      </c>
      <c r="I35" s="45">
        <v>3353</v>
      </c>
      <c r="J35" s="52">
        <v>36</v>
      </c>
      <c r="K35" s="53">
        <f t="shared" si="0"/>
        <v>257.59087199999999</v>
      </c>
      <c r="L35" s="54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 t="s">
        <v>6841</v>
      </c>
      <c r="H36" s="51">
        <v>2134</v>
      </c>
      <c r="I36" s="45">
        <v>3353</v>
      </c>
      <c r="J36" s="52">
        <v>35</v>
      </c>
      <c r="K36" s="53">
        <f t="shared" si="0"/>
        <v>250.43556999999998</v>
      </c>
      <c r="L36" s="54"/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 t="s">
        <v>6841</v>
      </c>
      <c r="H37" s="51">
        <v>2134</v>
      </c>
      <c r="I37" s="45">
        <v>3048</v>
      </c>
      <c r="J37" s="52">
        <v>22</v>
      </c>
      <c r="K37" s="53">
        <f t="shared" si="0"/>
        <v>143.09750399999999</v>
      </c>
      <c r="L37" s="54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9" customFormat="1" ht="20.100000000000001" customHeight="1" x14ac:dyDescent="0.3">
      <c r="A48" s="44"/>
      <c r="B48" s="45"/>
      <c r="C48" s="46"/>
      <c r="D48" s="47"/>
      <c r="E48" s="56"/>
      <c r="F48" s="57"/>
      <c r="G48" s="50"/>
      <c r="H48" s="51"/>
      <c r="I48" s="45"/>
      <c r="J48" s="52"/>
      <c r="K48" s="53">
        <f t="shared" si="0"/>
        <v>0</v>
      </c>
      <c r="L48" s="58">
        <f>SUM(J27:J49)</f>
        <v>119</v>
      </c>
    </row>
    <row r="49" spans="1:12" s="59" customFormat="1" ht="20.100000000000001" customHeight="1" x14ac:dyDescent="0.3">
      <c r="A49" s="44"/>
      <c r="B49" s="45"/>
      <c r="C49" s="46"/>
      <c r="D49" s="47"/>
      <c r="E49" s="60"/>
      <c r="F49" s="61"/>
      <c r="G49" s="62"/>
      <c r="H49" s="51"/>
      <c r="I49" s="45"/>
      <c r="J49" s="63"/>
      <c r="K49" s="53">
        <f t="shared" si="0"/>
        <v>0</v>
      </c>
      <c r="L49" s="64">
        <f>SUM(K27:K49)</f>
        <v>822.46415699999989</v>
      </c>
    </row>
    <row r="50" spans="1:12" s="59" customFormat="1" ht="20.100000000000001" customHeight="1" thickBot="1" x14ac:dyDescent="0.35">
      <c r="A50" s="114"/>
      <c r="B50" s="115"/>
      <c r="C50" s="115"/>
      <c r="D50" s="115"/>
      <c r="E50" s="115"/>
      <c r="F50" s="115"/>
      <c r="G50" s="115"/>
      <c r="H50" s="115"/>
      <c r="I50" s="115"/>
      <c r="J50" s="65">
        <f>SUM(J7:J49)</f>
        <v>272</v>
      </c>
      <c r="K50" s="66">
        <f>SUM(K7:K49)</f>
        <v>1838.7349860000002</v>
      </c>
      <c r="L50" s="67"/>
    </row>
    <row r="51" spans="1:12" s="59" customFormat="1" ht="20.100000000000001" customHeight="1" thickTop="1" thickBot="1" x14ac:dyDescent="0.35">
      <c r="A51" s="116" t="s">
        <v>52</v>
      </c>
      <c r="B51" s="117"/>
      <c r="C51" s="68"/>
      <c r="D51" s="118">
        <f>J50</f>
        <v>272</v>
      </c>
      <c r="E51" s="119"/>
      <c r="F51" s="119"/>
      <c r="G51" s="120"/>
      <c r="H51" s="121"/>
      <c r="I51" s="121"/>
      <c r="J51" s="122"/>
      <c r="K51" s="119"/>
      <c r="L51" s="123"/>
    </row>
    <row r="52" spans="1:12" s="59" customFormat="1" ht="20.100000000000001" customHeight="1" x14ac:dyDescent="0.3">
      <c r="A52" s="69"/>
      <c r="B52" s="5"/>
      <c r="C52" s="5"/>
      <c r="D52" s="5"/>
      <c r="E52" s="5"/>
      <c r="F52" s="70"/>
      <c r="G52" s="5"/>
      <c r="H52" s="5"/>
      <c r="I52" s="5"/>
      <c r="J52" s="5"/>
      <c r="K52" s="5"/>
      <c r="L52" s="71"/>
    </row>
    <row r="53" spans="1:12" s="59" customFormat="1" ht="20.100000000000001" customHeight="1" x14ac:dyDescent="0.3">
      <c r="A53" s="69"/>
      <c r="B53" s="5"/>
      <c r="C53" s="5"/>
      <c r="D53" s="5"/>
      <c r="E53" s="5"/>
      <c r="F53" s="70"/>
      <c r="G53" s="5"/>
      <c r="H53" s="5"/>
      <c r="I53" s="5"/>
      <c r="J53" s="5"/>
      <c r="K53" s="5"/>
      <c r="L53" s="5"/>
    </row>
    <row r="54" spans="1:12" s="59" customFormat="1" ht="20.100000000000001" customHeight="1" x14ac:dyDescent="0.3">
      <c r="A54" s="69"/>
      <c r="B54" s="5"/>
      <c r="C54" s="5"/>
      <c r="D54" s="5"/>
      <c r="E54" s="5"/>
      <c r="F54" s="70"/>
      <c r="G54" s="5"/>
      <c r="H54" s="5"/>
      <c r="I54" s="5"/>
      <c r="J54" s="5"/>
      <c r="K54" s="5"/>
      <c r="L54" s="5"/>
    </row>
    <row r="55" spans="1:12" s="59" customFormat="1" ht="20.100000000000001" customHeight="1" x14ac:dyDescent="0.3">
      <c r="A55" s="69"/>
      <c r="B55" s="5"/>
      <c r="C55" s="5"/>
      <c r="D55" s="5"/>
      <c r="E55" s="5"/>
      <c r="F55" s="70"/>
      <c r="G55" s="5"/>
      <c r="H55" s="5"/>
      <c r="I55" s="5"/>
      <c r="J55" s="5"/>
      <c r="K55" s="5"/>
      <c r="L55" s="5"/>
    </row>
    <row r="56" spans="1:12" s="59" customFormat="1" ht="20.100000000000001" customHeight="1" x14ac:dyDescent="0.3">
      <c r="A56" s="113"/>
      <c r="B56" s="113"/>
      <c r="C56" s="5"/>
      <c r="D56" s="5"/>
      <c r="E56" s="5"/>
      <c r="F56" s="70"/>
      <c r="G56" s="5"/>
      <c r="H56" s="5"/>
      <c r="I56" s="5"/>
      <c r="J56" s="5"/>
      <c r="K56" s="5"/>
      <c r="L56" s="5"/>
    </row>
    <row r="57" spans="1:12" s="59" customFormat="1" ht="20.100000000000001" customHeight="1" x14ac:dyDescent="0.3">
      <c r="A57" s="113"/>
      <c r="B57" s="113"/>
      <c r="C57" s="5"/>
      <c r="D57" s="5"/>
      <c r="E57" s="72"/>
      <c r="F57" s="5"/>
      <c r="G57" s="5"/>
      <c r="H57" s="5"/>
      <c r="I57" s="5"/>
      <c r="J57" s="5"/>
      <c r="K57" s="5"/>
      <c r="L57" s="5"/>
    </row>
    <row r="58" spans="1:12" s="59" customFormat="1" ht="20.100000000000001" customHeight="1" x14ac:dyDescent="0.3">
      <c r="A58" s="113"/>
      <c r="B58" s="113"/>
      <c r="C58" s="5"/>
      <c r="D58" s="5"/>
      <c r="E58" s="5"/>
      <c r="F58" s="5"/>
      <c r="G58" s="73"/>
      <c r="H58" s="5"/>
      <c r="I58" s="74"/>
      <c r="J58" s="5"/>
      <c r="K58" s="5"/>
      <c r="L58" s="5"/>
    </row>
    <row r="59" spans="1:12" s="59" customFormat="1" ht="20.100000000000001" customHeight="1" x14ac:dyDescent="0.3">
      <c r="A59" s="113"/>
      <c r="B59" s="113"/>
      <c r="C59" s="5"/>
      <c r="D59" s="5"/>
      <c r="E59" s="5"/>
      <c r="F59" s="70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113"/>
      <c r="B62" s="113"/>
      <c r="C62" s="5"/>
      <c r="D62" s="5"/>
      <c r="E62" s="5"/>
      <c r="F62" s="70"/>
      <c r="G62" s="5"/>
      <c r="H62" s="72"/>
      <c r="I62" s="72"/>
      <c r="J62" s="5"/>
      <c r="K62" s="5"/>
      <c r="L62" s="5"/>
    </row>
    <row r="63" spans="1:12" ht="20.100000000000001" customHeight="1" x14ac:dyDescent="0.3">
      <c r="A63" s="113"/>
      <c r="B63" s="113"/>
      <c r="H63" s="72"/>
      <c r="I63" s="72"/>
    </row>
    <row r="64" spans="1:12" ht="20.100000000000001" customHeight="1" x14ac:dyDescent="0.3">
      <c r="H64" s="72"/>
      <c r="I64" s="72"/>
    </row>
    <row r="65" spans="1:12" ht="20.100000000000001" customHeight="1" x14ac:dyDescent="0.3">
      <c r="H65" s="72"/>
      <c r="I65" s="72"/>
    </row>
    <row r="66" spans="1:12" ht="20.100000000000001" customHeight="1" x14ac:dyDescent="0.3">
      <c r="A66" s="113"/>
      <c r="B66" s="113"/>
      <c r="H66" s="72"/>
      <c r="I66" s="72"/>
    </row>
    <row r="67" spans="1:12" ht="20.100000000000001" customHeight="1" x14ac:dyDescent="0.3">
      <c r="A67" s="113"/>
      <c r="B67" s="113"/>
      <c r="H67" s="72"/>
      <c r="I67" s="72"/>
    </row>
    <row r="68" spans="1:12" ht="20.100000000000001" customHeight="1" x14ac:dyDescent="0.3">
      <c r="H68" s="72"/>
      <c r="I68" s="72"/>
    </row>
    <row r="69" spans="1:12" ht="20.100000000000001" customHeight="1" x14ac:dyDescent="0.3">
      <c r="H69" s="72"/>
      <c r="I69" s="72"/>
    </row>
    <row r="70" spans="1:12" ht="20.100000000000001" customHeight="1" x14ac:dyDescent="0.3">
      <c r="H70" s="72"/>
      <c r="I70" s="72"/>
    </row>
    <row r="71" spans="1:12" s="72" customFormat="1" ht="20.100000000000001" customHeight="1" x14ac:dyDescent="0.3">
      <c r="A71" s="69"/>
      <c r="B71" s="5"/>
      <c r="C71" s="5"/>
      <c r="D71" s="5"/>
      <c r="E71" s="5"/>
      <c r="F71" s="70"/>
      <c r="G71" s="5"/>
      <c r="J71" s="5"/>
      <c r="K71" s="5"/>
      <c r="L71" s="5"/>
    </row>
    <row r="72" spans="1:12" s="72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75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75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75" customFormat="1" ht="19.5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72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72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ht="19.5" customHeight="1" x14ac:dyDescent="0.3"/>
    <row r="79" spans="1:12" ht="19.5" customHeight="1" x14ac:dyDescent="0.3"/>
    <row r="80" spans="1:12" ht="19.5" customHeight="1" x14ac:dyDescent="0.3"/>
    <row r="81" spans="2:12" s="69" customFormat="1" ht="19.5" customHeight="1" x14ac:dyDescent="0.3"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2:12" s="69" customFormat="1" ht="19.5" customHeight="1" x14ac:dyDescent="0.3"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2:12" s="69" customFormat="1" ht="19.5" customHeight="1" x14ac:dyDescent="0.3"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2:12" s="69" customFormat="1" ht="19.5" customHeight="1" x14ac:dyDescent="0.3"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2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2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2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2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2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2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2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2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2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2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2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2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ht="19.5" customHeight="1" x14ac:dyDescent="0.3"/>
    <row r="98" spans="2:12" ht="19.5" customHeight="1" x14ac:dyDescent="0.3"/>
    <row r="99" spans="2:12" ht="19.5" customHeight="1" x14ac:dyDescent="0.3"/>
    <row r="100" spans="2:12" ht="19.5" customHeight="1" x14ac:dyDescent="0.3"/>
    <row r="101" spans="2:12" ht="19.5" customHeight="1" x14ac:dyDescent="0.3"/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</sheetData>
  <mergeCells count="30">
    <mergeCell ref="A66:B66"/>
    <mergeCell ref="A67:B67"/>
    <mergeCell ref="A57:B57"/>
    <mergeCell ref="A58:B58"/>
    <mergeCell ref="A59:B59"/>
    <mergeCell ref="A61:B61"/>
    <mergeCell ref="A62:B62"/>
    <mergeCell ref="A63:B63"/>
    <mergeCell ref="A56:B5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0:I50"/>
    <mergeCell ref="A51:B51"/>
    <mergeCell ref="D51:G51"/>
    <mergeCell ref="H51:J51"/>
    <mergeCell ref="K51:L51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L145"/>
  <sheetViews>
    <sheetView view="pageBreakPreview" topLeftCell="A43" zoomScale="85" zoomScaleNormal="100" zoomScaleSheetLayoutView="85" workbookViewId="0">
      <selection activeCell="L52" sqref="L52:L5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46227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3" si="0">(H7/1000*I7/1000)*J7</f>
        <v>0</v>
      </c>
      <c r="L7" s="26">
        <f>SUM(J7:J28)</f>
        <v>155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SUM(K7:K28)</f>
        <v>1250.7061900000001</v>
      </c>
    </row>
    <row r="9" spans="1:12" s="27" customFormat="1" ht="19.5" customHeight="1" x14ac:dyDescent="0.3">
      <c r="A9" s="28" t="s">
        <v>6767</v>
      </c>
      <c r="B9" s="16" t="s">
        <v>6622</v>
      </c>
      <c r="C9" s="17">
        <v>24</v>
      </c>
      <c r="D9" s="18" t="s">
        <v>2349</v>
      </c>
      <c r="E9" s="41">
        <v>42</v>
      </c>
      <c r="F9" s="42">
        <v>57.61</v>
      </c>
      <c r="G9" s="34" t="s">
        <v>189</v>
      </c>
      <c r="H9" s="35">
        <v>2438</v>
      </c>
      <c r="I9" s="36">
        <v>3353</v>
      </c>
      <c r="J9" s="37">
        <v>34</v>
      </c>
      <c r="K9" s="25">
        <f t="shared" si="0"/>
        <v>277.93687599999998</v>
      </c>
      <c r="L9" s="39" t="s">
        <v>6773</v>
      </c>
    </row>
    <row r="10" spans="1:12" s="27" customFormat="1" ht="19.5" customHeight="1" x14ac:dyDescent="0.3">
      <c r="A10" s="28" t="s">
        <v>6770</v>
      </c>
      <c r="B10" s="16" t="s">
        <v>6622</v>
      </c>
      <c r="C10" s="17">
        <v>24</v>
      </c>
      <c r="D10" s="18" t="s">
        <v>2349</v>
      </c>
      <c r="E10" s="41">
        <v>60</v>
      </c>
      <c r="F10" s="42">
        <v>84.41</v>
      </c>
      <c r="G10" s="34"/>
      <c r="H10" s="35"/>
      <c r="I10" s="36"/>
      <c r="J10" s="37"/>
      <c r="K10" s="25">
        <f t="shared" si="0"/>
        <v>0</v>
      </c>
      <c r="L10" s="39" t="s">
        <v>6773</v>
      </c>
    </row>
    <row r="11" spans="1:12" s="27" customFormat="1" ht="19.5" customHeight="1" x14ac:dyDescent="0.3">
      <c r="A11" s="28" t="s">
        <v>6772</v>
      </c>
      <c r="B11" s="16" t="s">
        <v>6622</v>
      </c>
      <c r="C11" s="17">
        <v>24</v>
      </c>
      <c r="D11" s="18" t="s">
        <v>2349</v>
      </c>
      <c r="E11" s="41">
        <v>72</v>
      </c>
      <c r="F11" s="42">
        <v>22.68</v>
      </c>
      <c r="G11" s="34"/>
      <c r="H11" s="35"/>
      <c r="I11" s="36"/>
      <c r="J11" s="37"/>
      <c r="K11" s="85">
        <f>(H11/1000*I11/1000)*J11</f>
        <v>0</v>
      </c>
      <c r="L11" s="39" t="s">
        <v>6774</v>
      </c>
    </row>
    <row r="12" spans="1:12" s="27" customFormat="1" ht="19.5" customHeight="1" x14ac:dyDescent="0.3">
      <c r="A12" s="28"/>
      <c r="B12" s="16"/>
      <c r="C12" s="17">
        <v>24</v>
      </c>
      <c r="D12" s="18" t="s">
        <v>539</v>
      </c>
      <c r="E12" s="41">
        <v>137</v>
      </c>
      <c r="F12" s="42">
        <v>93.37</v>
      </c>
      <c r="G12" s="34"/>
      <c r="H12" s="35"/>
      <c r="I12" s="36"/>
      <c r="J12" s="37"/>
      <c r="K12" s="85">
        <f t="shared" si="0"/>
        <v>0</v>
      </c>
      <c r="L12" s="39" t="s">
        <v>6775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 t="s">
        <v>6772</v>
      </c>
      <c r="B14" s="16" t="s">
        <v>6622</v>
      </c>
      <c r="C14" s="17">
        <v>26.76</v>
      </c>
      <c r="D14" s="18" t="s">
        <v>6776</v>
      </c>
      <c r="E14" s="41">
        <v>65</v>
      </c>
      <c r="F14" s="42">
        <v>99.13</v>
      </c>
      <c r="G14" s="34" t="s">
        <v>6777</v>
      </c>
      <c r="H14" s="35">
        <v>2438</v>
      </c>
      <c r="I14" s="36">
        <v>3048</v>
      </c>
      <c r="J14" s="37">
        <v>22</v>
      </c>
      <c r="K14" s="85">
        <f t="shared" si="0"/>
        <v>163.482528</v>
      </c>
      <c r="L14" s="39" t="s">
        <v>6782</v>
      </c>
    </row>
    <row r="15" spans="1:12" s="27" customFormat="1" ht="19.5" customHeight="1" x14ac:dyDescent="0.3">
      <c r="A15" s="28"/>
      <c r="B15" s="16"/>
      <c r="C15" s="17">
        <v>24</v>
      </c>
      <c r="D15" s="18" t="s">
        <v>539</v>
      </c>
      <c r="E15" s="41">
        <v>137</v>
      </c>
      <c r="F15" s="42">
        <v>93.37</v>
      </c>
      <c r="G15" s="34" t="s">
        <v>6777</v>
      </c>
      <c r="H15" s="35">
        <v>2438</v>
      </c>
      <c r="I15" s="36">
        <v>3353</v>
      </c>
      <c r="J15" s="37">
        <v>7</v>
      </c>
      <c r="K15" s="85">
        <f t="shared" si="0"/>
        <v>57.222298000000002</v>
      </c>
      <c r="L15" s="39" t="s">
        <v>6781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 t="s">
        <v>6778</v>
      </c>
      <c r="B17" s="16" t="s">
        <v>6622</v>
      </c>
      <c r="C17" s="17">
        <v>24</v>
      </c>
      <c r="D17" s="18" t="s">
        <v>2349</v>
      </c>
      <c r="E17" s="41">
        <v>62</v>
      </c>
      <c r="F17" s="42">
        <v>86.45</v>
      </c>
      <c r="G17" s="34" t="s">
        <v>6780</v>
      </c>
      <c r="H17" s="35">
        <v>2438</v>
      </c>
      <c r="I17" s="36">
        <v>3353</v>
      </c>
      <c r="J17" s="37">
        <v>40</v>
      </c>
      <c r="K17" s="85">
        <f t="shared" si="0"/>
        <v>326.98455999999999</v>
      </c>
      <c r="L17" s="39" t="s">
        <v>6782</v>
      </c>
    </row>
    <row r="18" spans="1:12" s="27" customFormat="1" ht="19.5" customHeight="1" x14ac:dyDescent="0.3">
      <c r="A18" s="28" t="s">
        <v>6779</v>
      </c>
      <c r="B18" s="16" t="s">
        <v>6622</v>
      </c>
      <c r="C18" s="17">
        <v>24</v>
      </c>
      <c r="D18" s="18" t="s">
        <v>2349</v>
      </c>
      <c r="E18" s="41">
        <v>65</v>
      </c>
      <c r="F18" s="42">
        <v>87.68</v>
      </c>
      <c r="G18" s="34"/>
      <c r="H18" s="35"/>
      <c r="I18" s="36"/>
      <c r="J18" s="37"/>
      <c r="K18" s="85">
        <f t="shared" si="0"/>
        <v>0</v>
      </c>
      <c r="L18" s="39" t="s">
        <v>6782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85">
        <f t="shared" si="0"/>
        <v>0</v>
      </c>
      <c r="L19" s="39"/>
    </row>
    <row r="20" spans="1:12" s="27" customFormat="1" ht="19.5" customHeight="1" x14ac:dyDescent="0.3">
      <c r="A20" s="28" t="s">
        <v>6783</v>
      </c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6808</v>
      </c>
      <c r="B21" s="16" t="s">
        <v>6622</v>
      </c>
      <c r="C21" s="17">
        <v>26.76</v>
      </c>
      <c r="D21" s="18" t="s">
        <v>2352</v>
      </c>
      <c r="E21" s="41">
        <v>70</v>
      </c>
      <c r="F21" s="42">
        <v>108.3</v>
      </c>
      <c r="G21" s="34" t="s">
        <v>6809</v>
      </c>
      <c r="H21" s="35">
        <v>2438</v>
      </c>
      <c r="I21" s="36">
        <v>3353</v>
      </c>
      <c r="J21" s="37">
        <v>26</v>
      </c>
      <c r="K21" s="85">
        <f t="shared" si="0"/>
        <v>212.539964</v>
      </c>
      <c r="L21" s="39" t="s">
        <v>6782</v>
      </c>
    </row>
    <row r="22" spans="1:12" s="27" customFormat="1" ht="19.5" customHeight="1" x14ac:dyDescent="0.3">
      <c r="A22" s="28"/>
      <c r="B22" s="16"/>
      <c r="C22" s="17">
        <v>24</v>
      </c>
      <c r="D22" s="18" t="s">
        <v>2349</v>
      </c>
      <c r="E22" s="41">
        <v>80</v>
      </c>
      <c r="F22" s="42">
        <v>25.2</v>
      </c>
      <c r="G22" s="34" t="s">
        <v>6810</v>
      </c>
      <c r="H22" s="35">
        <v>2438</v>
      </c>
      <c r="I22" s="36">
        <v>3353</v>
      </c>
      <c r="J22" s="37">
        <v>26</v>
      </c>
      <c r="K22" s="85">
        <f t="shared" si="0"/>
        <v>212.539964</v>
      </c>
      <c r="L22" s="39" t="s">
        <v>6782</v>
      </c>
    </row>
    <row r="23" spans="1:12" s="27" customFormat="1" ht="19.5" customHeight="1" x14ac:dyDescent="0.3">
      <c r="A23" s="28"/>
      <c r="B23" s="16"/>
      <c r="C23" s="17">
        <v>24</v>
      </c>
      <c r="D23" s="18" t="s">
        <v>539</v>
      </c>
      <c r="E23" s="41">
        <v>150</v>
      </c>
      <c r="F23" s="42">
        <v>101.9</v>
      </c>
      <c r="G23" s="34"/>
      <c r="H23" s="35"/>
      <c r="I23" s="36"/>
      <c r="J23" s="37"/>
      <c r="K23" s="85">
        <f t="shared" si="0"/>
        <v>0</v>
      </c>
      <c r="L23" s="39" t="s">
        <v>6782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43"/>
      <c r="H28" s="35"/>
      <c r="I28" s="36"/>
      <c r="J28" s="37"/>
      <c r="K28" s="25">
        <f t="shared" si="0"/>
        <v>0</v>
      </c>
      <c r="L28" s="39"/>
    </row>
    <row r="29" spans="1:12" s="55" customFormat="1" ht="19.5" customHeight="1" x14ac:dyDescent="0.3">
      <c r="A29" s="44"/>
      <c r="B29" s="45"/>
      <c r="C29" s="46"/>
      <c r="D29" s="47"/>
      <c r="E29" s="48"/>
      <c r="F29" s="49"/>
      <c r="G29" s="50"/>
      <c r="H29" s="51"/>
      <c r="I29" s="45"/>
      <c r="J29" s="52"/>
      <c r="K29" s="53">
        <f t="shared" si="0"/>
        <v>0</v>
      </c>
      <c r="L29" s="54"/>
    </row>
    <row r="30" spans="1:12" s="55" customFormat="1" ht="19.5" customHeight="1" x14ac:dyDescent="0.3">
      <c r="A30" s="44" t="s">
        <v>6784</v>
      </c>
      <c r="B30" s="45" t="s">
        <v>6785</v>
      </c>
      <c r="C30" s="46">
        <v>22</v>
      </c>
      <c r="D30" s="47" t="s">
        <v>6786</v>
      </c>
      <c r="E30" s="48">
        <v>276</v>
      </c>
      <c r="F30" s="49">
        <v>322.92</v>
      </c>
      <c r="G30" s="50" t="s">
        <v>6787</v>
      </c>
      <c r="H30" s="51">
        <v>1981</v>
      </c>
      <c r="I30" s="45">
        <v>3353</v>
      </c>
      <c r="J30" s="52">
        <v>55</v>
      </c>
      <c r="K30" s="53">
        <f t="shared" si="0"/>
        <v>365.32611500000002</v>
      </c>
      <c r="L30" s="54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 t="s">
        <v>6788</v>
      </c>
      <c r="H31" s="51">
        <v>1981</v>
      </c>
      <c r="I31" s="45">
        <v>3353</v>
      </c>
      <c r="J31" s="52">
        <v>1</v>
      </c>
      <c r="K31" s="53">
        <f t="shared" si="0"/>
        <v>6.6422930000000004</v>
      </c>
      <c r="L31" s="54"/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 t="s">
        <v>6789</v>
      </c>
      <c r="H32" s="51">
        <v>1981</v>
      </c>
      <c r="I32" s="45">
        <v>3353</v>
      </c>
      <c r="J32" s="52">
        <v>54</v>
      </c>
      <c r="K32" s="53">
        <f t="shared" si="0"/>
        <v>358.68382200000002</v>
      </c>
      <c r="L32" s="54"/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6790</v>
      </c>
      <c r="B34" s="45" t="s">
        <v>6791</v>
      </c>
      <c r="C34" s="46">
        <v>43</v>
      </c>
      <c r="D34" s="47" t="s">
        <v>6792</v>
      </c>
      <c r="E34" s="48">
        <v>1</v>
      </c>
      <c r="F34" s="49">
        <v>4.01</v>
      </c>
      <c r="G34" s="50" t="s">
        <v>6788</v>
      </c>
      <c r="H34" s="51">
        <v>1981</v>
      </c>
      <c r="I34" s="45">
        <v>3353</v>
      </c>
      <c r="J34" s="52">
        <v>1</v>
      </c>
      <c r="K34" s="53">
        <f t="shared" si="0"/>
        <v>6.6422930000000004</v>
      </c>
      <c r="L34" s="54" t="s">
        <v>6793</v>
      </c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6794</v>
      </c>
      <c r="B36" s="45" t="s">
        <v>6791</v>
      </c>
      <c r="C36" s="46">
        <v>24</v>
      </c>
      <c r="D36" s="47" t="s">
        <v>6795</v>
      </c>
      <c r="E36" s="48">
        <v>1</v>
      </c>
      <c r="F36" s="49">
        <v>0.91</v>
      </c>
      <c r="G36" s="50"/>
      <c r="H36" s="51"/>
      <c r="I36" s="45"/>
      <c r="J36" s="52"/>
      <c r="K36" s="53">
        <f t="shared" si="0"/>
        <v>0</v>
      </c>
      <c r="L36" s="54" t="s">
        <v>6796</v>
      </c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6797</v>
      </c>
      <c r="B38" s="45" t="s">
        <v>6798</v>
      </c>
      <c r="C38" s="46">
        <v>24</v>
      </c>
      <c r="D38" s="47" t="s">
        <v>6799</v>
      </c>
      <c r="E38" s="48">
        <v>3</v>
      </c>
      <c r="F38" s="49">
        <v>1.0900000000000001</v>
      </c>
      <c r="G38" s="50"/>
      <c r="H38" s="51"/>
      <c r="I38" s="45"/>
      <c r="J38" s="52"/>
      <c r="K38" s="53">
        <f t="shared" si="0"/>
        <v>0</v>
      </c>
      <c r="L38" s="54" t="s">
        <v>6801</v>
      </c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6797</v>
      </c>
      <c r="B40" s="45" t="s">
        <v>6798</v>
      </c>
      <c r="C40" s="46">
        <v>24</v>
      </c>
      <c r="D40" s="47" t="s">
        <v>6799</v>
      </c>
      <c r="E40" s="48">
        <v>2</v>
      </c>
      <c r="F40" s="49">
        <v>0.56000000000000005</v>
      </c>
      <c r="G40" s="50"/>
      <c r="H40" s="51"/>
      <c r="I40" s="45"/>
      <c r="J40" s="52"/>
      <c r="K40" s="53">
        <f t="shared" si="0"/>
        <v>0</v>
      </c>
      <c r="L40" s="54" t="s">
        <v>6800</v>
      </c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6802</v>
      </c>
      <c r="B42" s="45" t="s">
        <v>6803</v>
      </c>
      <c r="C42" s="46">
        <v>43</v>
      </c>
      <c r="D42" s="47" t="s">
        <v>6804</v>
      </c>
      <c r="E42" s="48">
        <v>1</v>
      </c>
      <c r="F42" s="49">
        <v>3.15</v>
      </c>
      <c r="G42" s="50" t="s">
        <v>6805</v>
      </c>
      <c r="H42" s="51">
        <v>1981</v>
      </c>
      <c r="I42" s="45">
        <v>3353</v>
      </c>
      <c r="J42" s="52">
        <v>1</v>
      </c>
      <c r="K42" s="53">
        <f t="shared" si="0"/>
        <v>6.6422930000000004</v>
      </c>
      <c r="L42" s="54" t="s">
        <v>6806</v>
      </c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5933</v>
      </c>
      <c r="B44" s="45" t="s">
        <v>59</v>
      </c>
      <c r="C44" s="46">
        <v>22</v>
      </c>
      <c r="D44" s="47" t="s">
        <v>5625</v>
      </c>
      <c r="E44" s="48">
        <v>132</v>
      </c>
      <c r="F44" s="49">
        <v>163.67999999999995</v>
      </c>
      <c r="G44" s="50" t="s">
        <v>18</v>
      </c>
      <c r="H44" s="51">
        <v>1981</v>
      </c>
      <c r="I44" s="45">
        <v>3353</v>
      </c>
      <c r="J44" s="52">
        <v>26</v>
      </c>
      <c r="K44" s="53">
        <f t="shared" si="0"/>
        <v>172.69961800000002</v>
      </c>
      <c r="L44" s="54" t="s">
        <v>6807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9" customFormat="1" ht="20.100000000000001" customHeight="1" x14ac:dyDescent="0.3">
      <c r="A52" s="44"/>
      <c r="B52" s="45"/>
      <c r="C52" s="46"/>
      <c r="D52" s="47"/>
      <c r="E52" s="56"/>
      <c r="F52" s="57"/>
      <c r="G52" s="50"/>
      <c r="H52" s="51"/>
      <c r="I52" s="45"/>
      <c r="J52" s="52"/>
      <c r="K52" s="53">
        <f t="shared" si="0"/>
        <v>0</v>
      </c>
      <c r="L52" s="58">
        <f>SUM(J29:J53)</f>
        <v>138</v>
      </c>
    </row>
    <row r="53" spans="1:12" s="59" customFormat="1" ht="20.100000000000001" customHeight="1" x14ac:dyDescent="0.3">
      <c r="A53" s="44"/>
      <c r="B53" s="45"/>
      <c r="C53" s="46"/>
      <c r="D53" s="47"/>
      <c r="E53" s="60"/>
      <c r="F53" s="61"/>
      <c r="G53" s="62"/>
      <c r="H53" s="51"/>
      <c r="I53" s="45"/>
      <c r="J53" s="63"/>
      <c r="K53" s="53">
        <f t="shared" si="0"/>
        <v>0</v>
      </c>
      <c r="L53" s="64">
        <f>SUM(K29:K53)</f>
        <v>916.63643400000001</v>
      </c>
    </row>
    <row r="54" spans="1:12" s="59" customFormat="1" ht="20.100000000000001" customHeight="1" thickBot="1" x14ac:dyDescent="0.35">
      <c r="A54" s="114"/>
      <c r="B54" s="115"/>
      <c r="C54" s="115"/>
      <c r="D54" s="115"/>
      <c r="E54" s="115"/>
      <c r="F54" s="115"/>
      <c r="G54" s="115"/>
      <c r="H54" s="115"/>
      <c r="I54" s="115"/>
      <c r="J54" s="65">
        <f>SUM(J7:J53)</f>
        <v>293</v>
      </c>
      <c r="K54" s="66">
        <f>SUM(K7:K53)</f>
        <v>2167.3426240000003</v>
      </c>
      <c r="L54" s="67"/>
    </row>
    <row r="55" spans="1:12" s="59" customFormat="1" ht="20.100000000000001" customHeight="1" thickTop="1" thickBot="1" x14ac:dyDescent="0.35">
      <c r="A55" s="116" t="s">
        <v>52</v>
      </c>
      <c r="B55" s="117"/>
      <c r="C55" s="68"/>
      <c r="D55" s="118">
        <f>J54</f>
        <v>293</v>
      </c>
      <c r="E55" s="119"/>
      <c r="F55" s="119"/>
      <c r="G55" s="120"/>
      <c r="H55" s="121"/>
      <c r="I55" s="121"/>
      <c r="J55" s="122"/>
      <c r="K55" s="119"/>
      <c r="L55" s="123"/>
    </row>
    <row r="56" spans="1:12" s="59" customFormat="1" ht="20.100000000000001" customHeight="1" x14ac:dyDescent="0.3">
      <c r="A56" s="69"/>
      <c r="B56" s="5"/>
      <c r="C56" s="5"/>
      <c r="D56" s="5"/>
      <c r="E56" s="5"/>
      <c r="F56" s="70"/>
      <c r="G56" s="5"/>
      <c r="H56" s="5"/>
      <c r="I56" s="5"/>
      <c r="J56" s="5"/>
      <c r="K56" s="5"/>
      <c r="L56" s="71"/>
    </row>
    <row r="57" spans="1:12" s="59" customFormat="1" ht="20.100000000000001" customHeight="1" x14ac:dyDescent="0.3">
      <c r="A57" s="69"/>
      <c r="B57" s="5"/>
      <c r="C57" s="5"/>
      <c r="D57" s="5"/>
      <c r="E57" s="5"/>
      <c r="F57" s="70"/>
      <c r="G57" s="5"/>
      <c r="H57" s="5"/>
      <c r="I57" s="5"/>
      <c r="J57" s="5"/>
      <c r="K57" s="5"/>
      <c r="L57" s="5"/>
    </row>
    <row r="58" spans="1:12" s="59" customFormat="1" ht="20.100000000000001" customHeight="1" x14ac:dyDescent="0.3">
      <c r="A58" s="69"/>
      <c r="B58" s="5"/>
      <c r="C58" s="5"/>
      <c r="D58" s="5"/>
      <c r="E58" s="5"/>
      <c r="F58" s="70"/>
      <c r="G58" s="5"/>
      <c r="H58" s="5"/>
      <c r="I58" s="5"/>
      <c r="J58" s="5"/>
      <c r="K58" s="5"/>
      <c r="L58" s="5"/>
    </row>
    <row r="59" spans="1:12" s="59" customFormat="1" ht="20.100000000000001" customHeight="1" x14ac:dyDescent="0.3">
      <c r="A59" s="69"/>
      <c r="B59" s="5"/>
      <c r="C59" s="5"/>
      <c r="D59" s="5"/>
      <c r="E59" s="5"/>
      <c r="F59" s="70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113"/>
      <c r="B60" s="113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72"/>
      <c r="F61" s="5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113"/>
      <c r="B62" s="113"/>
      <c r="C62" s="5"/>
      <c r="D62" s="5"/>
      <c r="E62" s="5"/>
      <c r="F62" s="5"/>
      <c r="G62" s="73"/>
      <c r="H62" s="5"/>
      <c r="I62" s="74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72"/>
      <c r="I66" s="72"/>
      <c r="J66" s="5"/>
      <c r="K66" s="5"/>
      <c r="L66" s="5"/>
    </row>
    <row r="67" spans="1:12" ht="20.100000000000001" customHeight="1" x14ac:dyDescent="0.3">
      <c r="A67" s="113"/>
      <c r="B67" s="113"/>
      <c r="H67" s="72"/>
      <c r="I67" s="72"/>
    </row>
    <row r="68" spans="1:12" ht="20.100000000000001" customHeight="1" x14ac:dyDescent="0.3">
      <c r="H68" s="72"/>
      <c r="I68" s="72"/>
    </row>
    <row r="69" spans="1:12" ht="20.100000000000001" customHeight="1" x14ac:dyDescent="0.3">
      <c r="H69" s="72"/>
      <c r="I69" s="72"/>
    </row>
    <row r="70" spans="1:12" ht="20.100000000000001" customHeight="1" x14ac:dyDescent="0.3">
      <c r="A70" s="113"/>
      <c r="B70" s="113"/>
      <c r="H70" s="72"/>
      <c r="I70" s="72"/>
    </row>
    <row r="71" spans="1:12" ht="20.100000000000001" customHeight="1" x14ac:dyDescent="0.3">
      <c r="A71" s="113"/>
      <c r="B71" s="113"/>
      <c r="H71" s="72"/>
      <c r="I71" s="72"/>
    </row>
    <row r="72" spans="1:12" ht="20.100000000000001" customHeight="1" x14ac:dyDescent="0.3"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H74" s="72"/>
      <c r="I74" s="72"/>
    </row>
    <row r="75" spans="1:12" s="72" customFormat="1" ht="20.100000000000001" customHeight="1" x14ac:dyDescent="0.3">
      <c r="A75" s="69"/>
      <c r="B75" s="5"/>
      <c r="C75" s="5"/>
      <c r="D75" s="5"/>
      <c r="E75" s="5"/>
      <c r="F75" s="70"/>
      <c r="G75" s="5"/>
      <c r="J75" s="5"/>
      <c r="K75" s="5"/>
      <c r="L75" s="5"/>
    </row>
    <row r="76" spans="1:12" s="72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75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75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75" customFormat="1" ht="19.5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72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2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ht="19.5" customHeight="1" x14ac:dyDescent="0.3"/>
    <row r="83" spans="1:12" ht="19.5" customHeight="1" x14ac:dyDescent="0.3"/>
    <row r="84" spans="1:12" ht="19.5" customHeight="1" x14ac:dyDescent="0.3"/>
    <row r="85" spans="1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ht="19.5" customHeight="1" x14ac:dyDescent="0.3"/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0:B6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4:I54"/>
    <mergeCell ref="A55:B55"/>
    <mergeCell ref="D55:G55"/>
    <mergeCell ref="H55:J55"/>
    <mergeCell ref="K55:L55"/>
    <mergeCell ref="A70:B70"/>
    <mergeCell ref="A71:B71"/>
    <mergeCell ref="A61:B61"/>
    <mergeCell ref="A62:B62"/>
    <mergeCell ref="A63:B63"/>
    <mergeCell ref="A65:B65"/>
    <mergeCell ref="A66:B66"/>
    <mergeCell ref="A67:B67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L184"/>
  <sheetViews>
    <sheetView view="pageBreakPreview" topLeftCell="A13" zoomScale="85" zoomScaleNormal="100" zoomScaleSheetLayoutView="85" workbookViewId="0">
      <selection activeCell="H13" sqref="H1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46226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92" si="0">(H7/1000*I7/1000)*J7</f>
        <v>0</v>
      </c>
      <c r="L7" s="26">
        <f>SUM(J7:J39)</f>
        <v>126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SUM(K7:K39)</f>
        <v>1006.2921940000001</v>
      </c>
    </row>
    <row r="9" spans="1:12" s="27" customFormat="1" ht="19.5" customHeight="1" x14ac:dyDescent="0.3">
      <c r="A9" s="28" t="s">
        <v>6621</v>
      </c>
      <c r="B9" s="16" t="s">
        <v>6622</v>
      </c>
      <c r="C9" s="17">
        <v>24</v>
      </c>
      <c r="D9" s="18" t="s">
        <v>539</v>
      </c>
      <c r="E9" s="41">
        <v>180</v>
      </c>
      <c r="F9" s="42">
        <v>115.95</v>
      </c>
      <c r="G9" s="34" t="s">
        <v>6687</v>
      </c>
      <c r="H9" s="35">
        <v>2438</v>
      </c>
      <c r="I9" s="36">
        <v>3048</v>
      </c>
      <c r="J9" s="37">
        <v>11</v>
      </c>
      <c r="K9" s="85">
        <f t="shared" si="0"/>
        <v>81.741264000000001</v>
      </c>
      <c r="L9" s="39" t="s">
        <v>6688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6687</v>
      </c>
      <c r="H10" s="35">
        <v>2438</v>
      </c>
      <c r="I10" s="36">
        <v>3353</v>
      </c>
      <c r="J10" s="37">
        <v>8</v>
      </c>
      <c r="K10" s="85">
        <f t="shared" si="0"/>
        <v>65.396912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>(H11/1000*I11/1000)*J11</f>
        <v>0</v>
      </c>
      <c r="L11" s="39"/>
    </row>
    <row r="12" spans="1:12" s="27" customFormat="1" ht="19.5" customHeight="1" x14ac:dyDescent="0.3">
      <c r="A12" s="28" t="s">
        <v>6689</v>
      </c>
      <c r="B12" s="16" t="s">
        <v>6622</v>
      </c>
      <c r="C12" s="17">
        <v>26.76</v>
      </c>
      <c r="D12" s="18" t="s">
        <v>6692</v>
      </c>
      <c r="E12" s="41">
        <v>35</v>
      </c>
      <c r="F12" s="42">
        <v>54.15</v>
      </c>
      <c r="G12" s="34" t="s">
        <v>6695</v>
      </c>
      <c r="H12" s="35">
        <v>2438</v>
      </c>
      <c r="I12" s="36">
        <v>3353</v>
      </c>
      <c r="J12" s="37">
        <v>28</v>
      </c>
      <c r="K12" s="85">
        <f t="shared" si="0"/>
        <v>228.88919200000001</v>
      </c>
      <c r="L12" s="39" t="s">
        <v>6701</v>
      </c>
    </row>
    <row r="13" spans="1:12" s="27" customFormat="1" ht="19.5" customHeight="1" x14ac:dyDescent="0.3">
      <c r="A13" s="28"/>
      <c r="B13" s="16"/>
      <c r="C13" s="17">
        <v>24</v>
      </c>
      <c r="D13" s="18" t="s">
        <v>6693</v>
      </c>
      <c r="E13" s="41">
        <v>40</v>
      </c>
      <c r="F13" s="42">
        <v>12.6</v>
      </c>
      <c r="G13" s="34" t="s">
        <v>6695</v>
      </c>
      <c r="H13" s="35">
        <v>2590</v>
      </c>
      <c r="I13" s="36">
        <v>3048</v>
      </c>
      <c r="J13" s="37">
        <v>5</v>
      </c>
      <c r="K13" s="85">
        <f t="shared" si="0"/>
        <v>39.471599999999995</v>
      </c>
      <c r="L13" s="39" t="s">
        <v>6701</v>
      </c>
    </row>
    <row r="14" spans="1:12" s="27" customFormat="1" ht="19.5" customHeight="1" x14ac:dyDescent="0.3">
      <c r="A14" s="28"/>
      <c r="B14" s="16"/>
      <c r="C14" s="17">
        <v>24</v>
      </c>
      <c r="D14" s="18" t="s">
        <v>6694</v>
      </c>
      <c r="E14" s="41">
        <v>75</v>
      </c>
      <c r="F14" s="42">
        <v>50.95</v>
      </c>
      <c r="G14" s="34" t="s">
        <v>6687</v>
      </c>
      <c r="H14" s="35">
        <v>2438</v>
      </c>
      <c r="I14" s="36">
        <v>3048</v>
      </c>
      <c r="J14" s="37">
        <v>10</v>
      </c>
      <c r="K14" s="85">
        <f t="shared" si="0"/>
        <v>74.310240000000007</v>
      </c>
      <c r="L14" s="39" t="s">
        <v>6701</v>
      </c>
    </row>
    <row r="15" spans="1:12" s="27" customFormat="1" ht="19.5" customHeight="1" x14ac:dyDescent="0.3">
      <c r="A15" s="28" t="s">
        <v>6690</v>
      </c>
      <c r="B15" s="16" t="s">
        <v>6622</v>
      </c>
      <c r="C15" s="17">
        <v>24</v>
      </c>
      <c r="D15" s="18" t="s">
        <v>6693</v>
      </c>
      <c r="E15" s="41">
        <v>62</v>
      </c>
      <c r="F15" s="42">
        <v>86.17</v>
      </c>
      <c r="G15" s="34" t="s">
        <v>6687</v>
      </c>
      <c r="H15" s="35">
        <v>2438</v>
      </c>
      <c r="I15" s="36">
        <v>3353</v>
      </c>
      <c r="J15" s="37">
        <v>5</v>
      </c>
      <c r="K15" s="85">
        <f t="shared" si="0"/>
        <v>40.873069999999998</v>
      </c>
      <c r="L15" s="39" t="s">
        <v>6701</v>
      </c>
    </row>
    <row r="16" spans="1:12" s="27" customFormat="1" ht="19.5" customHeight="1" x14ac:dyDescent="0.3">
      <c r="A16" s="28" t="s">
        <v>6691</v>
      </c>
      <c r="B16" s="16" t="s">
        <v>6622</v>
      </c>
      <c r="C16" s="17">
        <v>24</v>
      </c>
      <c r="D16" s="18" t="s">
        <v>6693</v>
      </c>
      <c r="E16" s="41">
        <v>1</v>
      </c>
      <c r="F16" s="42">
        <v>1.3</v>
      </c>
      <c r="G16" s="34"/>
      <c r="H16" s="35"/>
      <c r="I16" s="36"/>
      <c r="J16" s="37"/>
      <c r="K16" s="85">
        <f t="shared" si="0"/>
        <v>0</v>
      </c>
      <c r="L16" s="39" t="s">
        <v>6701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0"/>
        <v>0</v>
      </c>
      <c r="L17" s="39"/>
    </row>
    <row r="18" spans="1:12" s="27" customFormat="1" ht="19.5" customHeight="1" x14ac:dyDescent="0.3">
      <c r="A18" s="28" t="s">
        <v>6696</v>
      </c>
      <c r="B18" s="16" t="s">
        <v>6697</v>
      </c>
      <c r="C18" s="17">
        <v>28</v>
      </c>
      <c r="D18" s="18" t="s">
        <v>6698</v>
      </c>
      <c r="E18" s="41">
        <v>2</v>
      </c>
      <c r="F18" s="42">
        <v>2.2400000000000002</v>
      </c>
      <c r="G18" s="34" t="s">
        <v>6699</v>
      </c>
      <c r="H18" s="35">
        <v>2438</v>
      </c>
      <c r="I18" s="36">
        <v>3353</v>
      </c>
      <c r="J18" s="37">
        <v>1</v>
      </c>
      <c r="K18" s="85">
        <f t="shared" si="0"/>
        <v>8.174614</v>
      </c>
      <c r="L18" s="39" t="s">
        <v>6700</v>
      </c>
    </row>
    <row r="19" spans="1:12" s="27" customFormat="1" ht="19.5" customHeight="1" x14ac:dyDescent="0.3">
      <c r="A19" s="28"/>
      <c r="B19" s="16"/>
      <c r="C19" s="17">
        <v>28</v>
      </c>
      <c r="D19" s="18" t="s">
        <v>6698</v>
      </c>
      <c r="E19" s="41">
        <v>1</v>
      </c>
      <c r="F19" s="42">
        <v>2.13</v>
      </c>
      <c r="G19" s="34"/>
      <c r="H19" s="35"/>
      <c r="I19" s="36"/>
      <c r="J19" s="37"/>
      <c r="K19" s="85">
        <f t="shared" si="0"/>
        <v>0</v>
      </c>
      <c r="L19" s="39" t="s">
        <v>6700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6702</v>
      </c>
      <c r="B21" s="16" t="s">
        <v>6622</v>
      </c>
      <c r="C21" s="17">
        <v>24</v>
      </c>
      <c r="D21" s="18" t="s">
        <v>6693</v>
      </c>
      <c r="E21" s="41">
        <v>28</v>
      </c>
      <c r="F21" s="42">
        <v>8.82</v>
      </c>
      <c r="G21" s="34" t="s">
        <v>6695</v>
      </c>
      <c r="H21" s="35">
        <v>2438</v>
      </c>
      <c r="I21" s="36">
        <v>3353</v>
      </c>
      <c r="J21" s="37">
        <v>22</v>
      </c>
      <c r="K21" s="85">
        <f t="shared" si="0"/>
        <v>179.841508</v>
      </c>
      <c r="L21" s="39" t="s">
        <v>6704</v>
      </c>
    </row>
    <row r="22" spans="1:12" s="27" customFormat="1" ht="19.5" customHeight="1" x14ac:dyDescent="0.3">
      <c r="A22" s="28"/>
      <c r="B22" s="16"/>
      <c r="C22" s="17">
        <v>24</v>
      </c>
      <c r="D22" s="18" t="s">
        <v>6694</v>
      </c>
      <c r="E22" s="41">
        <v>53</v>
      </c>
      <c r="F22" s="42">
        <v>36.14</v>
      </c>
      <c r="G22" s="34"/>
      <c r="H22" s="35"/>
      <c r="I22" s="36"/>
      <c r="J22" s="37"/>
      <c r="K22" s="85">
        <f t="shared" si="0"/>
        <v>0</v>
      </c>
      <c r="L22" s="39" t="s">
        <v>6704</v>
      </c>
    </row>
    <row r="23" spans="1:12" s="27" customFormat="1" ht="19.5" customHeight="1" x14ac:dyDescent="0.3">
      <c r="A23" s="28" t="s">
        <v>6703</v>
      </c>
      <c r="B23" s="16" t="s">
        <v>6622</v>
      </c>
      <c r="C23" s="17">
        <v>24</v>
      </c>
      <c r="D23" s="18" t="s">
        <v>6693</v>
      </c>
      <c r="E23" s="41">
        <v>42</v>
      </c>
      <c r="F23" s="42">
        <v>57.61</v>
      </c>
      <c r="G23" s="34"/>
      <c r="H23" s="35"/>
      <c r="I23" s="36"/>
      <c r="J23" s="37"/>
      <c r="K23" s="85">
        <f t="shared" si="0"/>
        <v>0</v>
      </c>
      <c r="L23" s="39" t="s">
        <v>6704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 t="s">
        <v>6705</v>
      </c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 t="s">
        <v>6756</v>
      </c>
      <c r="B26" s="16" t="s">
        <v>6622</v>
      </c>
      <c r="C26" s="17">
        <v>24</v>
      </c>
      <c r="D26" s="18" t="s">
        <v>6757</v>
      </c>
      <c r="E26" s="41">
        <v>10</v>
      </c>
      <c r="F26" s="42">
        <v>18.350000000000001</v>
      </c>
      <c r="G26" s="34" t="s">
        <v>6758</v>
      </c>
      <c r="H26" s="35">
        <v>2438</v>
      </c>
      <c r="I26" s="36">
        <v>3353</v>
      </c>
      <c r="J26" s="37">
        <v>3</v>
      </c>
      <c r="K26" s="85">
        <f t="shared" si="0"/>
        <v>24.523842000000002</v>
      </c>
      <c r="L26" s="39" t="s">
        <v>6759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 t="s">
        <v>6760</v>
      </c>
      <c r="B28" s="16" t="s">
        <v>6761</v>
      </c>
      <c r="C28" s="17">
        <v>22</v>
      </c>
      <c r="D28" s="18" t="s">
        <v>6762</v>
      </c>
      <c r="E28" s="41">
        <v>1</v>
      </c>
      <c r="F28" s="42">
        <v>1.47</v>
      </c>
      <c r="G28" s="34"/>
      <c r="H28" s="35"/>
      <c r="I28" s="36"/>
      <c r="J28" s="37"/>
      <c r="K28" s="85">
        <f t="shared" si="0"/>
        <v>0</v>
      </c>
      <c r="L28" s="39" t="s">
        <v>6763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 t="s">
        <v>6764</v>
      </c>
      <c r="B30" s="16" t="s">
        <v>6622</v>
      </c>
      <c r="C30" s="17">
        <v>26.76</v>
      </c>
      <c r="D30" s="18" t="s">
        <v>6765</v>
      </c>
      <c r="E30" s="41">
        <v>25</v>
      </c>
      <c r="F30" s="42">
        <v>38.380000000000003</v>
      </c>
      <c r="G30" s="34" t="s">
        <v>6766</v>
      </c>
      <c r="H30" s="35">
        <v>2438</v>
      </c>
      <c r="I30" s="36">
        <v>3048</v>
      </c>
      <c r="J30" s="37">
        <v>9</v>
      </c>
      <c r="K30" s="25">
        <f t="shared" si="0"/>
        <v>66.879216000000014</v>
      </c>
      <c r="L30" s="39" t="s">
        <v>6768</v>
      </c>
    </row>
    <row r="31" spans="1:12" s="27" customFormat="1" ht="19.5" customHeight="1" x14ac:dyDescent="0.3">
      <c r="A31" s="28"/>
      <c r="B31" s="16"/>
      <c r="C31" s="17">
        <v>24</v>
      </c>
      <c r="D31" s="18" t="s">
        <v>539</v>
      </c>
      <c r="E31" s="41">
        <v>53</v>
      </c>
      <c r="F31" s="42">
        <v>36.14</v>
      </c>
      <c r="G31" s="34" t="s">
        <v>6766</v>
      </c>
      <c r="H31" s="35">
        <v>2438</v>
      </c>
      <c r="I31" s="36">
        <v>3353</v>
      </c>
      <c r="J31" s="37">
        <v>2</v>
      </c>
      <c r="K31" s="25">
        <f t="shared" si="0"/>
        <v>16.349228</v>
      </c>
      <c r="L31" s="39" t="s">
        <v>6769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 t="s">
        <v>6767</v>
      </c>
      <c r="B33" s="16" t="s">
        <v>6622</v>
      </c>
      <c r="C33" s="17">
        <v>24</v>
      </c>
      <c r="D33" s="18" t="s">
        <v>6757</v>
      </c>
      <c r="E33" s="41">
        <v>42</v>
      </c>
      <c r="F33" s="42">
        <v>57.61</v>
      </c>
      <c r="G33" s="34" t="s">
        <v>6758</v>
      </c>
      <c r="H33" s="35">
        <v>2438</v>
      </c>
      <c r="I33" s="36">
        <v>3353</v>
      </c>
      <c r="J33" s="37">
        <v>22</v>
      </c>
      <c r="K33" s="25">
        <f t="shared" ref="K33:K36" si="1">(H33/1000*I33/1000)*J33</f>
        <v>179.841508</v>
      </c>
      <c r="L33" s="39" t="s">
        <v>6771</v>
      </c>
    </row>
    <row r="34" spans="1:12" s="27" customFormat="1" ht="19.5" customHeight="1" x14ac:dyDescent="0.3">
      <c r="A34" s="28" t="s">
        <v>6770</v>
      </c>
      <c r="B34" s="16" t="s">
        <v>6622</v>
      </c>
      <c r="C34" s="17">
        <v>24</v>
      </c>
      <c r="D34" s="18" t="s">
        <v>6757</v>
      </c>
      <c r="E34" s="41">
        <v>60</v>
      </c>
      <c r="F34" s="42">
        <v>84.41</v>
      </c>
      <c r="G34" s="34"/>
      <c r="H34" s="35"/>
      <c r="I34" s="36"/>
      <c r="J34" s="37"/>
      <c r="K34" s="25">
        <f t="shared" si="1"/>
        <v>0</v>
      </c>
      <c r="L34" s="39" t="s">
        <v>6771</v>
      </c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1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1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/>
      <c r="B39" s="29"/>
      <c r="C39" s="30"/>
      <c r="D39" s="31"/>
      <c r="E39" s="41"/>
      <c r="F39" s="42"/>
      <c r="G39" s="43"/>
      <c r="H39" s="35"/>
      <c r="I39" s="36"/>
      <c r="J39" s="37"/>
      <c r="K39" s="25">
        <f t="shared" si="0"/>
        <v>0</v>
      </c>
      <c r="L39" s="39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6706</v>
      </c>
      <c r="B41" s="45" t="s">
        <v>6707</v>
      </c>
      <c r="C41" s="46">
        <v>24</v>
      </c>
      <c r="D41" s="47" t="s">
        <v>6708</v>
      </c>
      <c r="E41" s="48">
        <v>6</v>
      </c>
      <c r="F41" s="49">
        <v>20.7</v>
      </c>
      <c r="G41" s="50" t="s">
        <v>6709</v>
      </c>
      <c r="H41" s="51">
        <v>3048</v>
      </c>
      <c r="I41" s="45">
        <v>3962</v>
      </c>
      <c r="J41" s="52">
        <v>3</v>
      </c>
      <c r="K41" s="53">
        <f t="shared" si="0"/>
        <v>36.228527999999997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 t="s">
        <v>6710</v>
      </c>
      <c r="H42" s="51">
        <v>3048</v>
      </c>
      <c r="I42" s="45">
        <v>3962</v>
      </c>
      <c r="J42" s="52">
        <v>2</v>
      </c>
      <c r="K42" s="53">
        <f t="shared" si="0"/>
        <v>24.152352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6711</v>
      </c>
      <c r="B44" s="45" t="s">
        <v>6712</v>
      </c>
      <c r="C44" s="46">
        <v>43</v>
      </c>
      <c r="D44" s="47" t="s">
        <v>6713</v>
      </c>
      <c r="E44" s="48">
        <v>5</v>
      </c>
      <c r="F44" s="49">
        <v>12.28</v>
      </c>
      <c r="G44" s="50" t="s">
        <v>6714</v>
      </c>
      <c r="H44" s="51">
        <v>2438</v>
      </c>
      <c r="I44" s="45">
        <v>3353</v>
      </c>
      <c r="J44" s="52">
        <v>2</v>
      </c>
      <c r="K44" s="53">
        <f t="shared" si="0"/>
        <v>16.349228</v>
      </c>
      <c r="L44" s="54" t="s">
        <v>6700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6711</v>
      </c>
      <c r="B46" s="45" t="s">
        <v>6712</v>
      </c>
      <c r="C46" s="46">
        <v>43</v>
      </c>
      <c r="D46" s="47" t="s">
        <v>6713</v>
      </c>
      <c r="E46" s="48">
        <v>7</v>
      </c>
      <c r="F46" s="49">
        <v>10.36</v>
      </c>
      <c r="G46" s="50" t="s">
        <v>6710</v>
      </c>
      <c r="H46" s="51">
        <v>1981</v>
      </c>
      <c r="I46" s="45">
        <v>3353</v>
      </c>
      <c r="J46" s="52">
        <v>1</v>
      </c>
      <c r="K46" s="53">
        <f t="shared" si="0"/>
        <v>6.6422930000000004</v>
      </c>
      <c r="L46" s="54" t="s">
        <v>6715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 t="s">
        <v>6710</v>
      </c>
      <c r="H47" s="51">
        <v>2438</v>
      </c>
      <c r="I47" s="45">
        <v>3353</v>
      </c>
      <c r="J47" s="52">
        <v>1</v>
      </c>
      <c r="K47" s="53">
        <f t="shared" si="0"/>
        <v>8.174614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6716</v>
      </c>
      <c r="B49" s="45" t="s">
        <v>6717</v>
      </c>
      <c r="C49" s="46">
        <v>43</v>
      </c>
      <c r="D49" s="47" t="s">
        <v>6718</v>
      </c>
      <c r="E49" s="48">
        <v>2</v>
      </c>
      <c r="F49" s="49">
        <v>0.84</v>
      </c>
      <c r="G49" s="50"/>
      <c r="H49" s="51"/>
      <c r="I49" s="45"/>
      <c r="J49" s="52"/>
      <c r="K49" s="53">
        <f t="shared" si="0"/>
        <v>0</v>
      </c>
      <c r="L49" s="54" t="s">
        <v>6719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6720</v>
      </c>
      <c r="B51" s="45" t="s">
        <v>6721</v>
      </c>
      <c r="C51" s="46">
        <v>43</v>
      </c>
      <c r="D51" s="47" t="s">
        <v>6722</v>
      </c>
      <c r="E51" s="48">
        <v>1</v>
      </c>
      <c r="F51" s="49">
        <v>0.5</v>
      </c>
      <c r="G51" s="50"/>
      <c r="H51" s="51"/>
      <c r="I51" s="45"/>
      <c r="J51" s="52"/>
      <c r="K51" s="53">
        <f t="shared" si="0"/>
        <v>0</v>
      </c>
      <c r="L51" s="54" t="s">
        <v>6723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6724</v>
      </c>
      <c r="B53" s="45" t="s">
        <v>6697</v>
      </c>
      <c r="C53" s="46">
        <v>28</v>
      </c>
      <c r="D53" s="47" t="s">
        <v>6725</v>
      </c>
      <c r="E53" s="48">
        <v>1</v>
      </c>
      <c r="F53" s="49">
        <v>1.36</v>
      </c>
      <c r="G53" s="50" t="s">
        <v>6699</v>
      </c>
      <c r="H53" s="51">
        <v>2438</v>
      </c>
      <c r="I53" s="45">
        <v>3353</v>
      </c>
      <c r="J53" s="52">
        <v>2</v>
      </c>
      <c r="K53" s="53">
        <f t="shared" si="0"/>
        <v>16.349228</v>
      </c>
      <c r="L53" s="54" t="s">
        <v>6730</v>
      </c>
    </row>
    <row r="54" spans="1:12" s="55" customFormat="1" ht="19.5" customHeight="1" x14ac:dyDescent="0.3">
      <c r="A54" s="44" t="s">
        <v>6726</v>
      </c>
      <c r="B54" s="45" t="s">
        <v>6697</v>
      </c>
      <c r="C54" s="46">
        <v>28</v>
      </c>
      <c r="D54" s="47" t="s">
        <v>6727</v>
      </c>
      <c r="E54" s="48">
        <v>2</v>
      </c>
      <c r="F54" s="49">
        <f>2.35+1.45</f>
        <v>3.8</v>
      </c>
      <c r="G54" s="50"/>
      <c r="H54" s="51"/>
      <c r="I54" s="45"/>
      <c r="J54" s="52"/>
      <c r="K54" s="53">
        <f t="shared" si="0"/>
        <v>0</v>
      </c>
      <c r="L54" s="54" t="s">
        <v>6730</v>
      </c>
    </row>
    <row r="55" spans="1:12" s="55" customFormat="1" ht="19.5" customHeight="1" x14ac:dyDescent="0.3">
      <c r="A55" s="44"/>
      <c r="B55" s="45"/>
      <c r="C55" s="46">
        <v>28</v>
      </c>
      <c r="D55" s="47" t="s">
        <v>6698</v>
      </c>
      <c r="E55" s="48">
        <v>1</v>
      </c>
      <c r="F55" s="49">
        <v>1.46</v>
      </c>
      <c r="G55" s="50"/>
      <c r="H55" s="51"/>
      <c r="I55" s="45"/>
      <c r="J55" s="52"/>
      <c r="K55" s="53">
        <f t="shared" si="0"/>
        <v>0</v>
      </c>
      <c r="L55" s="54" t="s">
        <v>6730</v>
      </c>
    </row>
    <row r="56" spans="1:12" s="55" customFormat="1" ht="19.5" customHeight="1" x14ac:dyDescent="0.3">
      <c r="A56" s="44"/>
      <c r="B56" s="45"/>
      <c r="C56" s="46">
        <v>28</v>
      </c>
      <c r="D56" s="47" t="s">
        <v>6728</v>
      </c>
      <c r="E56" s="48">
        <v>1</v>
      </c>
      <c r="F56" s="49">
        <v>0.83</v>
      </c>
      <c r="G56" s="50"/>
      <c r="H56" s="51"/>
      <c r="I56" s="45"/>
      <c r="J56" s="52"/>
      <c r="K56" s="53">
        <f t="shared" si="0"/>
        <v>0</v>
      </c>
      <c r="L56" s="54" t="s">
        <v>6730</v>
      </c>
    </row>
    <row r="57" spans="1:12" s="55" customFormat="1" ht="19.5" customHeight="1" x14ac:dyDescent="0.3">
      <c r="A57" s="44" t="s">
        <v>6729</v>
      </c>
      <c r="B57" s="45" t="s">
        <v>6697</v>
      </c>
      <c r="C57" s="46">
        <v>28</v>
      </c>
      <c r="D57" s="47" t="s">
        <v>6698</v>
      </c>
      <c r="E57" s="48">
        <v>4</v>
      </c>
      <c r="F57" s="49">
        <v>6.57</v>
      </c>
      <c r="G57" s="50"/>
      <c r="H57" s="51"/>
      <c r="I57" s="45"/>
      <c r="J57" s="52"/>
      <c r="K57" s="53">
        <f t="shared" si="0"/>
        <v>0</v>
      </c>
      <c r="L57" s="54" t="s">
        <v>6731</v>
      </c>
    </row>
    <row r="58" spans="1:12" s="55" customFormat="1" ht="19.5" customHeight="1" x14ac:dyDescent="0.3">
      <c r="A58" s="44"/>
      <c r="B58" s="45"/>
      <c r="C58" s="46">
        <v>28</v>
      </c>
      <c r="D58" s="47" t="s">
        <v>6725</v>
      </c>
      <c r="E58" s="48">
        <v>1</v>
      </c>
      <c r="F58" s="49">
        <v>0.79</v>
      </c>
      <c r="G58" s="50"/>
      <c r="H58" s="51"/>
      <c r="I58" s="45"/>
      <c r="J58" s="52"/>
      <c r="K58" s="53">
        <f t="shared" si="0"/>
        <v>0</v>
      </c>
      <c r="L58" s="54" t="s">
        <v>6731</v>
      </c>
    </row>
    <row r="59" spans="1:12" s="55" customFormat="1" ht="19.5" customHeight="1" x14ac:dyDescent="0.3">
      <c r="A59" s="44"/>
      <c r="B59" s="45"/>
      <c r="C59" s="46">
        <v>28</v>
      </c>
      <c r="D59" s="47" t="s">
        <v>6698</v>
      </c>
      <c r="E59" s="48">
        <v>1</v>
      </c>
      <c r="F59" s="49">
        <v>2.54</v>
      </c>
      <c r="G59" s="50"/>
      <c r="H59" s="51"/>
      <c r="I59" s="45"/>
      <c r="J59" s="52"/>
      <c r="K59" s="53">
        <f t="shared" si="0"/>
        <v>0</v>
      </c>
      <c r="L59" s="54" t="s">
        <v>6731</v>
      </c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6724</v>
      </c>
      <c r="B61" s="45" t="s">
        <v>6697</v>
      </c>
      <c r="C61" s="46">
        <v>28</v>
      </c>
      <c r="D61" s="47" t="s">
        <v>6725</v>
      </c>
      <c r="E61" s="48">
        <v>2</v>
      </c>
      <c r="F61" s="49">
        <f>13.9/5*2</f>
        <v>5.5600000000000005</v>
      </c>
      <c r="G61" s="50" t="s">
        <v>6695</v>
      </c>
      <c r="H61" s="51">
        <v>2438</v>
      </c>
      <c r="I61" s="45">
        <v>3353</v>
      </c>
      <c r="J61" s="52">
        <v>4</v>
      </c>
      <c r="K61" s="53">
        <f t="shared" si="0"/>
        <v>32.698456</v>
      </c>
      <c r="L61" s="54" t="s">
        <v>6732</v>
      </c>
    </row>
    <row r="62" spans="1:12" s="55" customFormat="1" ht="19.5" customHeight="1" x14ac:dyDescent="0.3">
      <c r="A62" s="44" t="s">
        <v>6726</v>
      </c>
      <c r="B62" s="45" t="s">
        <v>6697</v>
      </c>
      <c r="C62" s="46">
        <v>28</v>
      </c>
      <c r="D62" s="47" t="s">
        <v>6727</v>
      </c>
      <c r="E62" s="48">
        <v>6</v>
      </c>
      <c r="F62" s="49">
        <v>10.95</v>
      </c>
      <c r="G62" s="50"/>
      <c r="H62" s="51"/>
      <c r="I62" s="45"/>
      <c r="J62" s="52"/>
      <c r="K62" s="53">
        <f t="shared" si="0"/>
        <v>0</v>
      </c>
      <c r="L62" s="54" t="s">
        <v>6732</v>
      </c>
    </row>
    <row r="63" spans="1:12" s="55" customFormat="1" ht="19.5" customHeight="1" x14ac:dyDescent="0.3">
      <c r="A63" s="44"/>
      <c r="B63" s="45"/>
      <c r="C63" s="46">
        <v>28</v>
      </c>
      <c r="D63" s="47" t="s">
        <v>6698</v>
      </c>
      <c r="E63" s="48">
        <v>1</v>
      </c>
      <c r="F63" s="49">
        <v>1.46</v>
      </c>
      <c r="G63" s="50"/>
      <c r="H63" s="51"/>
      <c r="I63" s="45"/>
      <c r="J63" s="52"/>
      <c r="K63" s="53">
        <f t="shared" si="0"/>
        <v>0</v>
      </c>
      <c r="L63" s="54" t="s">
        <v>6732</v>
      </c>
    </row>
    <row r="64" spans="1:12" s="55" customFormat="1" ht="19.5" customHeight="1" x14ac:dyDescent="0.3">
      <c r="A64" s="44" t="s">
        <v>6729</v>
      </c>
      <c r="B64" s="45" t="s">
        <v>6697</v>
      </c>
      <c r="C64" s="46">
        <v>28</v>
      </c>
      <c r="D64" s="47" t="s">
        <v>6698</v>
      </c>
      <c r="E64" s="48">
        <v>4</v>
      </c>
      <c r="F64" s="49">
        <v>6.57</v>
      </c>
      <c r="G64" s="50"/>
      <c r="H64" s="51"/>
      <c r="I64" s="45"/>
      <c r="J64" s="52"/>
      <c r="K64" s="53">
        <f t="shared" si="0"/>
        <v>0</v>
      </c>
      <c r="L64" s="54" t="s">
        <v>6733</v>
      </c>
    </row>
    <row r="65" spans="1:12" s="55" customFormat="1" ht="19.5" customHeight="1" x14ac:dyDescent="0.3">
      <c r="A65" s="44"/>
      <c r="B65" s="45"/>
      <c r="C65" s="46">
        <v>28</v>
      </c>
      <c r="D65" s="47" t="s">
        <v>6725</v>
      </c>
      <c r="E65" s="48">
        <v>1</v>
      </c>
      <c r="F65" s="49">
        <v>0.79</v>
      </c>
      <c r="G65" s="50"/>
      <c r="H65" s="51"/>
      <c r="I65" s="45"/>
      <c r="J65" s="52"/>
      <c r="K65" s="53">
        <f t="shared" si="0"/>
        <v>0</v>
      </c>
      <c r="L65" s="54" t="s">
        <v>6733</v>
      </c>
    </row>
    <row r="66" spans="1:12" s="55" customFormat="1" ht="19.5" customHeight="1" x14ac:dyDescent="0.3">
      <c r="A66" s="44"/>
      <c r="B66" s="45"/>
      <c r="C66" s="46">
        <v>28</v>
      </c>
      <c r="D66" s="47" t="s">
        <v>6698</v>
      </c>
      <c r="E66" s="48">
        <v>1</v>
      </c>
      <c r="F66" s="49">
        <v>2.54</v>
      </c>
      <c r="G66" s="50"/>
      <c r="H66" s="51"/>
      <c r="I66" s="45"/>
      <c r="J66" s="52"/>
      <c r="K66" s="53">
        <f t="shared" si="0"/>
        <v>0</v>
      </c>
      <c r="L66" s="54" t="s">
        <v>6733</v>
      </c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 t="s">
        <v>6734</v>
      </c>
      <c r="B68" s="45" t="s">
        <v>6735</v>
      </c>
      <c r="C68" s="46">
        <v>22</v>
      </c>
      <c r="D68" s="47" t="s">
        <v>6736</v>
      </c>
      <c r="E68" s="48">
        <v>1</v>
      </c>
      <c r="F68" s="49">
        <f>1.2/2</f>
        <v>0.6</v>
      </c>
      <c r="G68" s="50"/>
      <c r="H68" s="51"/>
      <c r="I68" s="45"/>
      <c r="J68" s="52"/>
      <c r="K68" s="53">
        <f t="shared" si="0"/>
        <v>0</v>
      </c>
      <c r="L68" s="54" t="s">
        <v>6737</v>
      </c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ref="K69:K77" si="2">(H69/1000*I69/1000)*J69</f>
        <v>0</v>
      </c>
      <c r="L69" s="54"/>
    </row>
    <row r="70" spans="1:12" s="55" customFormat="1" ht="19.5" customHeight="1" x14ac:dyDescent="0.3">
      <c r="A70" s="44" t="s">
        <v>6734</v>
      </c>
      <c r="B70" s="45" t="s">
        <v>6735</v>
      </c>
      <c r="C70" s="46">
        <v>22</v>
      </c>
      <c r="D70" s="47" t="s">
        <v>6736</v>
      </c>
      <c r="E70" s="48">
        <v>1</v>
      </c>
      <c r="F70" s="49">
        <v>0.52</v>
      </c>
      <c r="G70" s="50"/>
      <c r="H70" s="51"/>
      <c r="I70" s="45"/>
      <c r="J70" s="52"/>
      <c r="K70" s="53">
        <f t="shared" si="2"/>
        <v>0</v>
      </c>
      <c r="L70" s="54" t="s">
        <v>6738</v>
      </c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2"/>
        <v>0</v>
      </c>
      <c r="L71" s="54"/>
    </row>
    <row r="72" spans="1:12" s="55" customFormat="1" ht="19.5" customHeight="1" x14ac:dyDescent="0.3">
      <c r="A72" s="44" t="s">
        <v>6739</v>
      </c>
      <c r="B72" s="45" t="s">
        <v>6707</v>
      </c>
      <c r="C72" s="46">
        <v>24</v>
      </c>
      <c r="D72" s="47" t="s">
        <v>6708</v>
      </c>
      <c r="E72" s="48">
        <v>5</v>
      </c>
      <c r="F72" s="49">
        <v>5.64</v>
      </c>
      <c r="G72" s="50"/>
      <c r="H72" s="51"/>
      <c r="I72" s="45"/>
      <c r="J72" s="52"/>
      <c r="K72" s="53">
        <f t="shared" si="2"/>
        <v>0</v>
      </c>
      <c r="L72" s="54" t="s">
        <v>6719</v>
      </c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2"/>
        <v>0</v>
      </c>
      <c r="L73" s="54"/>
    </row>
    <row r="74" spans="1:12" s="55" customFormat="1" ht="19.5" customHeight="1" x14ac:dyDescent="0.3">
      <c r="A74" s="44" t="s">
        <v>6739</v>
      </c>
      <c r="B74" s="45" t="s">
        <v>6707</v>
      </c>
      <c r="C74" s="46">
        <v>24</v>
      </c>
      <c r="D74" s="47" t="s">
        <v>6708</v>
      </c>
      <c r="E74" s="48">
        <v>1</v>
      </c>
      <c r="F74" s="49">
        <v>1.18</v>
      </c>
      <c r="G74" s="50"/>
      <c r="H74" s="51"/>
      <c r="I74" s="45"/>
      <c r="J74" s="52"/>
      <c r="K74" s="53">
        <f t="shared" si="2"/>
        <v>0</v>
      </c>
      <c r="L74" s="54" t="s">
        <v>6740</v>
      </c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2"/>
        <v>0</v>
      </c>
      <c r="L75" s="54"/>
    </row>
    <row r="76" spans="1:12" s="55" customFormat="1" ht="19.5" customHeight="1" x14ac:dyDescent="0.3">
      <c r="A76" s="44" t="s">
        <v>6741</v>
      </c>
      <c r="B76" s="45" t="s">
        <v>6707</v>
      </c>
      <c r="C76" s="46">
        <v>24</v>
      </c>
      <c r="D76" s="47" t="s">
        <v>6708</v>
      </c>
      <c r="E76" s="48">
        <v>1</v>
      </c>
      <c r="F76" s="49">
        <v>2.9</v>
      </c>
      <c r="G76" s="50"/>
      <c r="H76" s="51"/>
      <c r="I76" s="45"/>
      <c r="J76" s="52"/>
      <c r="K76" s="53">
        <f t="shared" si="2"/>
        <v>0</v>
      </c>
      <c r="L76" s="54" t="s">
        <v>6743</v>
      </c>
    </row>
    <row r="77" spans="1:12" s="55" customFormat="1" ht="19.5" customHeight="1" x14ac:dyDescent="0.3">
      <c r="A77" s="44"/>
      <c r="B77" s="45"/>
      <c r="C77" s="46">
        <v>43</v>
      </c>
      <c r="D77" s="47" t="s">
        <v>6742</v>
      </c>
      <c r="E77" s="48">
        <v>1</v>
      </c>
      <c r="F77" s="49">
        <v>4.01</v>
      </c>
      <c r="G77" s="50"/>
      <c r="H77" s="51"/>
      <c r="I77" s="45"/>
      <c r="J77" s="52"/>
      <c r="K77" s="53">
        <f t="shared" si="2"/>
        <v>0</v>
      </c>
      <c r="L77" s="54" t="s">
        <v>6744</v>
      </c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 t="s">
        <v>6745</v>
      </c>
      <c r="B79" s="45" t="s">
        <v>6746</v>
      </c>
      <c r="C79" s="46">
        <v>22</v>
      </c>
      <c r="D79" s="47" t="s">
        <v>6747</v>
      </c>
      <c r="E79" s="48">
        <v>24</v>
      </c>
      <c r="F79" s="49">
        <v>31.68</v>
      </c>
      <c r="G79" s="50" t="s">
        <v>6710</v>
      </c>
      <c r="H79" s="51">
        <v>1981</v>
      </c>
      <c r="I79" s="45">
        <v>3353</v>
      </c>
      <c r="J79" s="52">
        <v>6</v>
      </c>
      <c r="K79" s="53">
        <f t="shared" si="0"/>
        <v>39.853757999999999</v>
      </c>
      <c r="L79" s="54"/>
    </row>
    <row r="80" spans="1:12" s="55" customFormat="1" ht="19.5" customHeight="1" x14ac:dyDescent="0.3">
      <c r="A80" s="44"/>
      <c r="B80" s="45"/>
      <c r="C80" s="46">
        <v>26</v>
      </c>
      <c r="D80" s="47" t="s">
        <v>6747</v>
      </c>
      <c r="E80" s="48">
        <v>2</v>
      </c>
      <c r="F80" s="49">
        <v>2.86</v>
      </c>
      <c r="G80" s="50" t="s">
        <v>6748</v>
      </c>
      <c r="H80" s="51">
        <v>1981</v>
      </c>
      <c r="I80" s="45">
        <v>3353</v>
      </c>
      <c r="J80" s="52">
        <v>6</v>
      </c>
      <c r="K80" s="53">
        <f t="shared" si="0"/>
        <v>39.853757999999999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 t="s">
        <v>6749</v>
      </c>
      <c r="B82" s="45" t="s">
        <v>6750</v>
      </c>
      <c r="C82" s="46">
        <v>22</v>
      </c>
      <c r="D82" s="47" t="s">
        <v>6747</v>
      </c>
      <c r="E82" s="48">
        <v>1</v>
      </c>
      <c r="F82" s="49">
        <v>1.56</v>
      </c>
      <c r="G82" s="50"/>
      <c r="H82" s="51"/>
      <c r="I82" s="45"/>
      <c r="J82" s="52"/>
      <c r="K82" s="53">
        <f t="shared" ref="K82:K85" si="3">(H82/1000*I82/1000)*J82</f>
        <v>0</v>
      </c>
      <c r="L82" s="54" t="s">
        <v>6751</v>
      </c>
    </row>
    <row r="83" spans="1:12" s="55" customFormat="1" ht="19.5" customHeight="1" x14ac:dyDescent="0.3">
      <c r="A83" s="44"/>
      <c r="B83" s="45"/>
      <c r="C83" s="46"/>
      <c r="D83" s="47"/>
      <c r="E83" s="48"/>
      <c r="F83" s="49"/>
      <c r="G83" s="50"/>
      <c r="H83" s="51"/>
      <c r="I83" s="45"/>
      <c r="J83" s="52"/>
      <c r="K83" s="53">
        <f t="shared" si="3"/>
        <v>0</v>
      </c>
      <c r="L83" s="54"/>
    </row>
    <row r="84" spans="1:12" s="55" customFormat="1" ht="19.5" customHeight="1" x14ac:dyDescent="0.3">
      <c r="A84" s="44" t="s">
        <v>6752</v>
      </c>
      <c r="B84" s="45" t="s">
        <v>6753</v>
      </c>
      <c r="C84" s="46">
        <v>22</v>
      </c>
      <c r="D84" s="47" t="s">
        <v>6754</v>
      </c>
      <c r="E84" s="48">
        <v>425</v>
      </c>
      <c r="F84" s="49">
        <v>531.25</v>
      </c>
      <c r="G84" s="50" t="s">
        <v>6710</v>
      </c>
      <c r="H84" s="51">
        <v>1981</v>
      </c>
      <c r="I84" s="45">
        <v>3353</v>
      </c>
      <c r="J84" s="52">
        <v>85</v>
      </c>
      <c r="K84" s="53">
        <f t="shared" si="3"/>
        <v>564.59490500000004</v>
      </c>
      <c r="L84" s="54" t="s">
        <v>6755</v>
      </c>
    </row>
    <row r="85" spans="1:12" s="55" customFormat="1" ht="19.5" customHeight="1" x14ac:dyDescent="0.3">
      <c r="A85" s="44"/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si="3"/>
        <v>0</v>
      </c>
      <c r="L85" s="54"/>
    </row>
    <row r="86" spans="1:12" s="55" customFormat="1" ht="19.5" customHeight="1" x14ac:dyDescent="0.3">
      <c r="A86" s="44"/>
      <c r="B86" s="45"/>
      <c r="C86" s="46"/>
      <c r="D86" s="47"/>
      <c r="E86" s="48"/>
      <c r="F86" s="49"/>
      <c r="G86" s="50"/>
      <c r="H86" s="51"/>
      <c r="I86" s="45"/>
      <c r="J86" s="52"/>
      <c r="K86" s="53">
        <f t="shared" si="0"/>
        <v>0</v>
      </c>
      <c r="L86" s="54"/>
    </row>
    <row r="87" spans="1:12" s="55" customFormat="1" ht="19.5" customHeight="1" x14ac:dyDescent="0.3">
      <c r="A87" s="44"/>
      <c r="B87" s="45"/>
      <c r="C87" s="46"/>
      <c r="D87" s="47"/>
      <c r="E87" s="48"/>
      <c r="F87" s="49"/>
      <c r="G87" s="50"/>
      <c r="H87" s="51"/>
      <c r="I87" s="45"/>
      <c r="J87" s="52"/>
      <c r="K87" s="53">
        <f t="shared" si="0"/>
        <v>0</v>
      </c>
      <c r="L87" s="54"/>
    </row>
    <row r="88" spans="1:12" s="55" customFormat="1" ht="19.5" customHeight="1" x14ac:dyDescent="0.3">
      <c r="A88" s="44"/>
      <c r="B88" s="45"/>
      <c r="C88" s="46"/>
      <c r="D88" s="47"/>
      <c r="E88" s="48"/>
      <c r="F88" s="49"/>
      <c r="G88" s="50"/>
      <c r="H88" s="51"/>
      <c r="I88" s="45"/>
      <c r="J88" s="52"/>
      <c r="K88" s="53">
        <f t="shared" si="0"/>
        <v>0</v>
      </c>
      <c r="L88" s="54"/>
    </row>
    <row r="89" spans="1:12" s="55" customFormat="1" ht="19.5" customHeight="1" x14ac:dyDescent="0.3">
      <c r="A89" s="44"/>
      <c r="B89" s="45"/>
      <c r="C89" s="46"/>
      <c r="D89" s="47"/>
      <c r="E89" s="48"/>
      <c r="F89" s="49"/>
      <c r="G89" s="50"/>
      <c r="H89" s="51"/>
      <c r="I89" s="45"/>
      <c r="J89" s="52"/>
      <c r="K89" s="53">
        <f t="shared" si="0"/>
        <v>0</v>
      </c>
      <c r="L89" s="54"/>
    </row>
    <row r="90" spans="1:12" s="55" customFormat="1" ht="19.5" customHeight="1" x14ac:dyDescent="0.3">
      <c r="A90" s="44"/>
      <c r="B90" s="45"/>
      <c r="C90" s="46"/>
      <c r="D90" s="47"/>
      <c r="E90" s="48"/>
      <c r="F90" s="49"/>
      <c r="G90" s="50"/>
      <c r="H90" s="51"/>
      <c r="I90" s="45"/>
      <c r="J90" s="52"/>
      <c r="K90" s="53">
        <f t="shared" si="0"/>
        <v>0</v>
      </c>
      <c r="L90" s="54"/>
    </row>
    <row r="91" spans="1:12" s="59" customFormat="1" ht="20.100000000000001" customHeight="1" x14ac:dyDescent="0.3">
      <c r="A91" s="44"/>
      <c r="B91" s="45"/>
      <c r="C91" s="46"/>
      <c r="D91" s="47"/>
      <c r="E91" s="56"/>
      <c r="F91" s="57"/>
      <c r="G91" s="50"/>
      <c r="H91" s="51"/>
      <c r="I91" s="45"/>
      <c r="J91" s="52"/>
      <c r="K91" s="53">
        <f t="shared" si="0"/>
        <v>0</v>
      </c>
      <c r="L91" s="58">
        <f>SUM(J40:J92)</f>
        <v>112</v>
      </c>
    </row>
    <row r="92" spans="1:12" s="59" customFormat="1" ht="20.100000000000001" customHeight="1" x14ac:dyDescent="0.3">
      <c r="A92" s="44"/>
      <c r="B92" s="45"/>
      <c r="C92" s="46"/>
      <c r="D92" s="47"/>
      <c r="E92" s="60"/>
      <c r="F92" s="61"/>
      <c r="G92" s="62"/>
      <c r="H92" s="51"/>
      <c r="I92" s="45"/>
      <c r="J92" s="63"/>
      <c r="K92" s="53">
        <f t="shared" si="0"/>
        <v>0</v>
      </c>
      <c r="L92" s="64">
        <f>SUM(K40:K92)</f>
        <v>784.89712000000009</v>
      </c>
    </row>
    <row r="93" spans="1:12" s="59" customFormat="1" ht="20.100000000000001" customHeight="1" thickBot="1" x14ac:dyDescent="0.35">
      <c r="A93" s="114"/>
      <c r="B93" s="115"/>
      <c r="C93" s="115"/>
      <c r="D93" s="115"/>
      <c r="E93" s="115"/>
      <c r="F93" s="115"/>
      <c r="G93" s="115"/>
      <c r="H93" s="115"/>
      <c r="I93" s="115"/>
      <c r="J93" s="65">
        <f>SUM(J7:J92)</f>
        <v>238</v>
      </c>
      <c r="K93" s="66">
        <f>SUM(K7:K92)</f>
        <v>1791.1893140000006</v>
      </c>
      <c r="L93" s="67"/>
    </row>
    <row r="94" spans="1:12" s="59" customFormat="1" ht="20.100000000000001" customHeight="1" thickTop="1" thickBot="1" x14ac:dyDescent="0.35">
      <c r="A94" s="116" t="s">
        <v>52</v>
      </c>
      <c r="B94" s="117"/>
      <c r="C94" s="68"/>
      <c r="D94" s="118">
        <f>J93</f>
        <v>238</v>
      </c>
      <c r="E94" s="119"/>
      <c r="F94" s="119"/>
      <c r="G94" s="120"/>
      <c r="H94" s="121"/>
      <c r="I94" s="121"/>
      <c r="J94" s="122"/>
      <c r="K94" s="119"/>
      <c r="L94" s="123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71"/>
    </row>
    <row r="96" spans="1:12" s="59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113"/>
      <c r="B99" s="113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113"/>
      <c r="B100" s="113"/>
      <c r="C100" s="5"/>
      <c r="D100" s="5"/>
      <c r="E100" s="72"/>
      <c r="F100" s="5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113"/>
      <c r="B101" s="113"/>
      <c r="C101" s="5"/>
      <c r="D101" s="5"/>
      <c r="E101" s="5"/>
      <c r="F101" s="5"/>
      <c r="G101" s="73"/>
      <c r="H101" s="5"/>
      <c r="I101" s="74"/>
      <c r="J101" s="5"/>
      <c r="K101" s="5"/>
      <c r="L101" s="5"/>
    </row>
    <row r="102" spans="1:12" s="59" customFormat="1" ht="20.100000000000001" customHeight="1" x14ac:dyDescent="0.3">
      <c r="A102" s="113"/>
      <c r="B102" s="113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59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59" customFormat="1" ht="20.100000000000001" customHeight="1" x14ac:dyDescent="0.3">
      <c r="A104" s="113"/>
      <c r="B104" s="113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59" customFormat="1" ht="20.100000000000001" customHeight="1" x14ac:dyDescent="0.3">
      <c r="A105" s="113"/>
      <c r="B105" s="113"/>
      <c r="C105" s="5"/>
      <c r="D105" s="5"/>
      <c r="E105" s="5"/>
      <c r="F105" s="70"/>
      <c r="G105" s="5"/>
      <c r="H105" s="72"/>
      <c r="I105" s="72"/>
      <c r="J105" s="5"/>
      <c r="K105" s="5"/>
      <c r="L105" s="5"/>
    </row>
    <row r="106" spans="1:12" ht="20.100000000000001" customHeight="1" x14ac:dyDescent="0.3">
      <c r="A106" s="113"/>
      <c r="B106" s="113"/>
      <c r="H106" s="72"/>
      <c r="I106" s="72"/>
    </row>
    <row r="107" spans="1:12" ht="20.100000000000001" customHeight="1" x14ac:dyDescent="0.3">
      <c r="H107" s="72"/>
      <c r="I107" s="72"/>
    </row>
    <row r="108" spans="1:12" ht="20.100000000000001" customHeight="1" x14ac:dyDescent="0.3">
      <c r="H108" s="72"/>
      <c r="I108" s="72"/>
    </row>
    <row r="109" spans="1:12" ht="20.100000000000001" customHeight="1" x14ac:dyDescent="0.3">
      <c r="A109" s="113"/>
      <c r="B109" s="113"/>
      <c r="H109" s="72"/>
      <c r="I109" s="72"/>
    </row>
    <row r="110" spans="1:12" ht="20.100000000000001" customHeight="1" x14ac:dyDescent="0.3">
      <c r="A110" s="113"/>
      <c r="B110" s="113"/>
      <c r="H110" s="72"/>
      <c r="I110" s="72"/>
    </row>
    <row r="111" spans="1:12" ht="20.100000000000001" customHeight="1" x14ac:dyDescent="0.3">
      <c r="H111" s="72"/>
      <c r="I111" s="72"/>
    </row>
    <row r="112" spans="1:12" ht="20.100000000000001" customHeight="1" x14ac:dyDescent="0.3">
      <c r="H112" s="72"/>
      <c r="I112" s="72"/>
    </row>
    <row r="113" spans="1:12" ht="20.100000000000001" customHeight="1" x14ac:dyDescent="0.3">
      <c r="H113" s="72"/>
      <c r="I113" s="72"/>
    </row>
    <row r="114" spans="1:12" s="72" customFormat="1" ht="20.100000000000001" customHeight="1" x14ac:dyDescent="0.3">
      <c r="A114" s="69"/>
      <c r="B114" s="5"/>
      <c r="C114" s="5"/>
      <c r="D114" s="5"/>
      <c r="E114" s="5"/>
      <c r="F114" s="70"/>
      <c r="G114" s="5"/>
      <c r="J114" s="5"/>
      <c r="K114" s="5"/>
      <c r="L114" s="5"/>
    </row>
    <row r="115" spans="1:12" s="72" customFormat="1" ht="20.100000000000001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s="75" customFormat="1" ht="20.100000000000001" customHeight="1" x14ac:dyDescent="0.3">
      <c r="A116" s="69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s="75" customFormat="1" ht="20.100000000000001" customHeight="1" x14ac:dyDescent="0.3">
      <c r="A117" s="69"/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75" customFormat="1" ht="19.5" customHeight="1" x14ac:dyDescent="0.3">
      <c r="A118" s="69"/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72" customFormat="1" ht="20.100000000000001" customHeight="1" x14ac:dyDescent="0.3">
      <c r="A119" s="69"/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72" customFormat="1" ht="20.100000000000001" customHeight="1" x14ac:dyDescent="0.3">
      <c r="A120" s="69"/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ht="19.5" customHeight="1" x14ac:dyDescent="0.3"/>
    <row r="122" spans="1:12" ht="19.5" customHeight="1" x14ac:dyDescent="0.3"/>
    <row r="123" spans="1:12" ht="19.5" customHeight="1" x14ac:dyDescent="0.3"/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ht="19.5" customHeight="1" x14ac:dyDescent="0.3"/>
    <row r="148" spans="2:12" ht="19.5" customHeight="1" x14ac:dyDescent="0.3"/>
    <row r="149" spans="2:12" ht="19.5" customHeight="1" x14ac:dyDescent="0.3"/>
    <row r="150" spans="2:12" ht="19.5" customHeight="1" x14ac:dyDescent="0.3"/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9:B9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93:I93"/>
    <mergeCell ref="A94:B94"/>
    <mergeCell ref="D94:G94"/>
    <mergeCell ref="H94:J94"/>
    <mergeCell ref="K94:L94"/>
    <mergeCell ref="A109:B109"/>
    <mergeCell ref="A110:B110"/>
    <mergeCell ref="A100:B100"/>
    <mergeCell ref="A101:B101"/>
    <mergeCell ref="A102:B102"/>
    <mergeCell ref="A104:B104"/>
    <mergeCell ref="A105:B105"/>
    <mergeCell ref="A106:B106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L169"/>
  <sheetViews>
    <sheetView view="pageBreakPreview" topLeftCell="A64" zoomScale="85" zoomScaleNormal="100" zoomScaleSheetLayoutView="85" workbookViewId="0">
      <selection activeCell="L76" sqref="L76:L7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46225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7" si="0">(H7/1000*I7/1000)*J7</f>
        <v>0</v>
      </c>
      <c r="L7" s="26">
        <f>SUM(J7:J35)</f>
        <v>152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SUM(K7:K35)</f>
        <v>1119.528045</v>
      </c>
    </row>
    <row r="9" spans="1:12" s="27" customFormat="1" ht="19.5" customHeight="1" x14ac:dyDescent="0.3">
      <c r="A9" s="28" t="s">
        <v>6609</v>
      </c>
      <c r="B9" s="16" t="s">
        <v>2662</v>
      </c>
      <c r="C9" s="17">
        <v>22</v>
      </c>
      <c r="D9" s="18" t="s">
        <v>45</v>
      </c>
      <c r="E9" s="41">
        <f>144-72</f>
        <v>72</v>
      </c>
      <c r="F9" s="42">
        <f>88.14-60.9</f>
        <v>27.240000000000002</v>
      </c>
      <c r="G9" s="34" t="s">
        <v>49</v>
      </c>
      <c r="H9" s="35">
        <v>1981</v>
      </c>
      <c r="I9" s="36">
        <v>3353</v>
      </c>
      <c r="J9" s="37">
        <v>4</v>
      </c>
      <c r="K9" s="85">
        <f t="shared" si="0"/>
        <v>26.569172000000002</v>
      </c>
      <c r="L9" s="39" t="s">
        <v>6615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6609</v>
      </c>
      <c r="B11" s="16" t="s">
        <v>2662</v>
      </c>
      <c r="C11" s="17">
        <v>22</v>
      </c>
      <c r="D11" s="18" t="s">
        <v>6616</v>
      </c>
      <c r="E11" s="41">
        <v>18</v>
      </c>
      <c r="F11" s="42">
        <v>47.7</v>
      </c>
      <c r="G11" s="34" t="s">
        <v>6617</v>
      </c>
      <c r="H11" s="35">
        <v>1981</v>
      </c>
      <c r="I11" s="36">
        <v>3353</v>
      </c>
      <c r="J11" s="37">
        <v>7</v>
      </c>
      <c r="K11" s="85">
        <f>(H11/1000*I11/1000)*J11</f>
        <v>46.496051000000001</v>
      </c>
      <c r="L11" s="39"/>
    </row>
    <row r="12" spans="1:12" s="27" customFormat="1" ht="19.5" customHeight="1" x14ac:dyDescent="0.3">
      <c r="A12" s="28"/>
      <c r="B12" s="16"/>
      <c r="C12" s="17">
        <v>22</v>
      </c>
      <c r="D12" s="18" t="s">
        <v>45</v>
      </c>
      <c r="E12" s="41">
        <v>144</v>
      </c>
      <c r="F12" s="42">
        <v>88.14</v>
      </c>
      <c r="G12" s="34" t="s">
        <v>6618</v>
      </c>
      <c r="H12" s="35">
        <v>1981</v>
      </c>
      <c r="I12" s="36">
        <v>3353</v>
      </c>
      <c r="J12" s="37">
        <v>20</v>
      </c>
      <c r="K12" s="85">
        <f t="shared" si="0"/>
        <v>132.84586000000002</v>
      </c>
      <c r="L12" s="39" t="s">
        <v>6620</v>
      </c>
    </row>
    <row r="13" spans="1:12" s="27" customFormat="1" ht="19.5" customHeight="1" x14ac:dyDescent="0.3">
      <c r="A13" s="28"/>
      <c r="B13" s="16"/>
      <c r="C13" s="17">
        <v>22</v>
      </c>
      <c r="D13" s="18" t="s">
        <v>17</v>
      </c>
      <c r="E13" s="41">
        <v>162</v>
      </c>
      <c r="F13" s="42">
        <v>135.84</v>
      </c>
      <c r="G13" s="34" t="s">
        <v>6619</v>
      </c>
      <c r="H13" s="35">
        <v>1981</v>
      </c>
      <c r="I13" s="36">
        <v>3353</v>
      </c>
      <c r="J13" s="37">
        <f>8+14+20</f>
        <v>42</v>
      </c>
      <c r="K13" s="85">
        <f t="shared" si="0"/>
        <v>278.97630600000002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45</v>
      </c>
      <c r="E14" s="41">
        <v>36</v>
      </c>
      <c r="F14" s="42">
        <v>10.08</v>
      </c>
      <c r="G14" s="34"/>
      <c r="H14" s="35"/>
      <c r="I14" s="36"/>
      <c r="J14" s="37"/>
      <c r="K14" s="85">
        <f t="shared" si="0"/>
        <v>0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85">
        <f t="shared" si="0"/>
        <v>0</v>
      </c>
      <c r="L15" s="39"/>
    </row>
    <row r="16" spans="1:12" s="27" customFormat="1" ht="19.5" customHeight="1" x14ac:dyDescent="0.3">
      <c r="A16" s="28" t="s">
        <v>6621</v>
      </c>
      <c r="B16" s="16" t="s">
        <v>6622</v>
      </c>
      <c r="C16" s="17">
        <v>24</v>
      </c>
      <c r="D16" s="18" t="s">
        <v>6626</v>
      </c>
      <c r="E16" s="41">
        <v>100</v>
      </c>
      <c r="F16" s="42">
        <f>17.5+14</f>
        <v>31.5</v>
      </c>
      <c r="G16" s="34" t="s">
        <v>6627</v>
      </c>
      <c r="H16" s="35">
        <v>2438</v>
      </c>
      <c r="I16" s="36">
        <v>3353</v>
      </c>
      <c r="J16" s="37">
        <v>40</v>
      </c>
      <c r="K16" s="85">
        <f t="shared" si="0"/>
        <v>326.98455999999999</v>
      </c>
      <c r="L16" s="39" t="s">
        <v>6628</v>
      </c>
    </row>
    <row r="17" spans="1:12" s="27" customFormat="1" ht="19.5" customHeight="1" x14ac:dyDescent="0.3">
      <c r="A17" s="28" t="s">
        <v>6624</v>
      </c>
      <c r="B17" s="16" t="s">
        <v>6622</v>
      </c>
      <c r="C17" s="17">
        <v>24</v>
      </c>
      <c r="D17" s="18" t="s">
        <v>6625</v>
      </c>
      <c r="E17" s="41">
        <v>80</v>
      </c>
      <c r="F17" s="42">
        <v>123.75</v>
      </c>
      <c r="G17" s="34"/>
      <c r="H17" s="35"/>
      <c r="I17" s="36"/>
      <c r="J17" s="37"/>
      <c r="K17" s="85">
        <f t="shared" si="0"/>
        <v>0</v>
      </c>
      <c r="L17" s="39" t="s">
        <v>6623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</row>
    <row r="19" spans="1:12" s="27" customFormat="1" ht="19.5" customHeight="1" x14ac:dyDescent="0.3">
      <c r="A19" s="28" t="s">
        <v>6629</v>
      </c>
      <c r="B19" s="16"/>
      <c r="C19" s="17"/>
      <c r="D19" s="18"/>
      <c r="E19" s="41"/>
      <c r="F19" s="42"/>
      <c r="G19" s="34"/>
      <c r="H19" s="35"/>
      <c r="I19" s="36"/>
      <c r="J19" s="37"/>
      <c r="K19" s="85">
        <f t="shared" si="0"/>
        <v>0</v>
      </c>
      <c r="L19" s="39"/>
    </row>
    <row r="20" spans="1:12" s="27" customFormat="1" ht="19.5" customHeight="1" x14ac:dyDescent="0.3">
      <c r="A20" s="28" t="s">
        <v>6621</v>
      </c>
      <c r="B20" s="16" t="s">
        <v>6622</v>
      </c>
      <c r="C20" s="17">
        <v>24</v>
      </c>
      <c r="D20" s="18" t="s">
        <v>2349</v>
      </c>
      <c r="E20" s="41">
        <v>100</v>
      </c>
      <c r="F20" s="42">
        <v>31.5</v>
      </c>
      <c r="G20" s="34" t="s">
        <v>189</v>
      </c>
      <c r="H20" s="35">
        <v>2438</v>
      </c>
      <c r="I20" s="36">
        <v>3353</v>
      </c>
      <c r="J20" s="37">
        <v>24</v>
      </c>
      <c r="K20" s="85">
        <f t="shared" si="0"/>
        <v>196.19073600000002</v>
      </c>
      <c r="L20" s="39" t="s">
        <v>6623</v>
      </c>
    </row>
    <row r="21" spans="1:12" s="27" customFormat="1" ht="19.5" customHeight="1" x14ac:dyDescent="0.3">
      <c r="A21" s="28"/>
      <c r="B21" s="16"/>
      <c r="C21" s="17">
        <v>24</v>
      </c>
      <c r="D21" s="18" t="s">
        <v>539</v>
      </c>
      <c r="E21" s="41">
        <v>80</v>
      </c>
      <c r="F21" s="42">
        <v>84.45</v>
      </c>
      <c r="G21" s="34"/>
      <c r="H21" s="35"/>
      <c r="I21" s="36"/>
      <c r="J21" s="37"/>
      <c r="K21" s="85">
        <f t="shared" si="0"/>
        <v>0</v>
      </c>
      <c r="L21" s="39" t="s">
        <v>6650</v>
      </c>
    </row>
    <row r="22" spans="1:12" s="27" customFormat="1" ht="19.5" customHeight="1" x14ac:dyDescent="0.3">
      <c r="A22" s="28" t="s">
        <v>6649</v>
      </c>
      <c r="B22" s="16" t="s">
        <v>6622</v>
      </c>
      <c r="C22" s="17">
        <v>24</v>
      </c>
      <c r="D22" s="18" t="s">
        <v>2349</v>
      </c>
      <c r="E22" s="41">
        <v>30</v>
      </c>
      <c r="F22" s="42">
        <v>30.6</v>
      </c>
      <c r="G22" s="34"/>
      <c r="H22" s="35"/>
      <c r="I22" s="36"/>
      <c r="J22" s="37"/>
      <c r="K22" s="85">
        <f t="shared" si="0"/>
        <v>0</v>
      </c>
      <c r="L22" s="39" t="s">
        <v>6623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</row>
    <row r="24" spans="1:12" s="27" customFormat="1" ht="19.5" customHeight="1" x14ac:dyDescent="0.3">
      <c r="A24" s="28" t="s">
        <v>6651</v>
      </c>
      <c r="B24" s="16" t="s">
        <v>6622</v>
      </c>
      <c r="C24" s="17">
        <v>26.76</v>
      </c>
      <c r="D24" s="18" t="s">
        <v>6652</v>
      </c>
      <c r="E24" s="41">
        <v>80</v>
      </c>
      <c r="F24" s="42">
        <v>118.65</v>
      </c>
      <c r="G24" s="34" t="s">
        <v>6653</v>
      </c>
      <c r="H24" s="35">
        <v>2438</v>
      </c>
      <c r="I24" s="36">
        <v>3048</v>
      </c>
      <c r="J24" s="37">
        <v>15</v>
      </c>
      <c r="K24" s="25">
        <f t="shared" si="0"/>
        <v>111.46536</v>
      </c>
      <c r="L24" s="39" t="s">
        <v>6623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29"/>
      <c r="C35" s="30"/>
      <c r="D35" s="31"/>
      <c r="E35" s="41"/>
      <c r="F35" s="42"/>
      <c r="G35" s="43"/>
      <c r="H35" s="35"/>
      <c r="I35" s="36"/>
      <c r="J35" s="37"/>
      <c r="K35" s="25">
        <f t="shared" si="0"/>
        <v>0</v>
      </c>
      <c r="L35" s="39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6630</v>
      </c>
      <c r="B37" s="45" t="s">
        <v>6631</v>
      </c>
      <c r="C37" s="46">
        <v>28</v>
      </c>
      <c r="D37" s="47" t="s">
        <v>6632</v>
      </c>
      <c r="E37" s="48">
        <v>221</v>
      </c>
      <c r="F37" s="49">
        <v>211.34</v>
      </c>
      <c r="G37" s="50" t="s">
        <v>6627</v>
      </c>
      <c r="H37" s="51">
        <v>2134</v>
      </c>
      <c r="I37" s="45">
        <v>3353</v>
      </c>
      <c r="J37" s="52">
        <v>37</v>
      </c>
      <c r="K37" s="53">
        <f t="shared" si="0"/>
        <v>264.746174</v>
      </c>
      <c r="L37" s="54" t="s">
        <v>6634</v>
      </c>
    </row>
    <row r="38" spans="1:12" s="55" customFormat="1" ht="19.5" customHeight="1" x14ac:dyDescent="0.3">
      <c r="A38" s="44"/>
      <c r="B38" s="45"/>
      <c r="C38" s="46">
        <v>28</v>
      </c>
      <c r="D38" s="47" t="s">
        <v>6633</v>
      </c>
      <c r="E38" s="48">
        <v>29</v>
      </c>
      <c r="F38" s="49">
        <v>30.69</v>
      </c>
      <c r="G38" s="50" t="s">
        <v>6627</v>
      </c>
      <c r="H38" s="51">
        <v>24438</v>
      </c>
      <c r="I38" s="45">
        <v>3353</v>
      </c>
      <c r="J38" s="52">
        <v>1</v>
      </c>
      <c r="K38" s="53">
        <f t="shared" si="0"/>
        <v>81.940613999999997</v>
      </c>
      <c r="L38" s="54" t="s">
        <v>6634</v>
      </c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6008</v>
      </c>
      <c r="B40" s="45" t="s">
        <v>6636</v>
      </c>
      <c r="C40" s="46">
        <v>28</v>
      </c>
      <c r="D40" s="47" t="s">
        <v>6637</v>
      </c>
      <c r="E40" s="48">
        <f>3+1+4+2</f>
        <v>10</v>
      </c>
      <c r="F40" s="49">
        <v>22.01</v>
      </c>
      <c r="G40" s="50" t="s">
        <v>3576</v>
      </c>
      <c r="H40" s="51">
        <v>2438</v>
      </c>
      <c r="I40" s="45">
        <v>3353</v>
      </c>
      <c r="J40" s="52">
        <v>11</v>
      </c>
      <c r="K40" s="53">
        <f t="shared" si="0"/>
        <v>89.920754000000002</v>
      </c>
      <c r="L40" s="54" t="s">
        <v>6639</v>
      </c>
    </row>
    <row r="41" spans="1:12" s="55" customFormat="1" ht="19.5" customHeight="1" x14ac:dyDescent="0.3">
      <c r="A41" s="44"/>
      <c r="B41" s="45"/>
      <c r="C41" s="46">
        <v>28</v>
      </c>
      <c r="D41" s="47" t="s">
        <v>6638</v>
      </c>
      <c r="E41" s="48">
        <v>9</v>
      </c>
      <c r="F41" s="49">
        <v>6.94</v>
      </c>
      <c r="G41" s="50"/>
      <c r="H41" s="51"/>
      <c r="I41" s="45"/>
      <c r="J41" s="52"/>
      <c r="K41" s="53">
        <f t="shared" ref="K41:K53" si="1">(H41/1000*I41/1000)*J41</f>
        <v>0</v>
      </c>
      <c r="L41" s="54"/>
    </row>
    <row r="42" spans="1:12" s="55" customFormat="1" ht="19.5" customHeight="1" x14ac:dyDescent="0.3">
      <c r="A42" s="44"/>
      <c r="B42" s="45"/>
      <c r="C42" s="46">
        <v>28</v>
      </c>
      <c r="D42" s="47" t="s">
        <v>6637</v>
      </c>
      <c r="E42" s="48">
        <v>19</v>
      </c>
      <c r="F42" s="49">
        <v>51.65</v>
      </c>
      <c r="G42" s="50"/>
      <c r="H42" s="51"/>
      <c r="I42" s="45"/>
      <c r="J42" s="52"/>
      <c r="K42" s="53">
        <f t="shared" si="1"/>
        <v>0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1"/>
        <v>0</v>
      </c>
      <c r="L43" s="54"/>
    </row>
    <row r="44" spans="1:12" s="55" customFormat="1" ht="19.5" customHeight="1" x14ac:dyDescent="0.3">
      <c r="A44" s="44" t="s">
        <v>6635</v>
      </c>
      <c r="B44" s="45" t="s">
        <v>6636</v>
      </c>
      <c r="C44" s="46">
        <v>28</v>
      </c>
      <c r="D44" s="47" t="s">
        <v>6637</v>
      </c>
      <c r="E44" s="48">
        <v>4</v>
      </c>
      <c r="F44" s="49">
        <v>8.26</v>
      </c>
      <c r="G44" s="50" t="s">
        <v>6627</v>
      </c>
      <c r="H44" s="51">
        <v>2438</v>
      </c>
      <c r="I44" s="45">
        <v>3048</v>
      </c>
      <c r="J44" s="52">
        <v>5</v>
      </c>
      <c r="K44" s="53">
        <f t="shared" si="1"/>
        <v>37.155120000000004</v>
      </c>
      <c r="L44" s="54" t="s">
        <v>6640</v>
      </c>
    </row>
    <row r="45" spans="1:12" s="55" customFormat="1" ht="19.5" customHeight="1" x14ac:dyDescent="0.3">
      <c r="A45" s="44"/>
      <c r="B45" s="45"/>
      <c r="C45" s="46">
        <v>28</v>
      </c>
      <c r="D45" s="47" t="s">
        <v>6637</v>
      </c>
      <c r="E45" s="48">
        <v>16</v>
      </c>
      <c r="F45" s="49">
        <v>43.16</v>
      </c>
      <c r="G45" s="50" t="s">
        <v>6627</v>
      </c>
      <c r="H45" s="51">
        <v>2438</v>
      </c>
      <c r="I45" s="45">
        <v>3353</v>
      </c>
      <c r="J45" s="52">
        <v>4</v>
      </c>
      <c r="K45" s="53">
        <f t="shared" si="1"/>
        <v>32.698456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1"/>
        <v>0</v>
      </c>
      <c r="L46" s="54"/>
    </row>
    <row r="47" spans="1:12" s="55" customFormat="1" ht="19.5" customHeight="1" x14ac:dyDescent="0.3">
      <c r="A47" s="44" t="s">
        <v>6641</v>
      </c>
      <c r="B47" s="45" t="s">
        <v>6636</v>
      </c>
      <c r="C47" s="46">
        <v>24</v>
      </c>
      <c r="D47" s="47" t="s">
        <v>6644</v>
      </c>
      <c r="E47" s="48">
        <v>1</v>
      </c>
      <c r="F47" s="49">
        <v>2.77</v>
      </c>
      <c r="G47" s="50" t="s">
        <v>6645</v>
      </c>
      <c r="H47" s="51">
        <v>2438</v>
      </c>
      <c r="I47" s="45">
        <v>3353</v>
      </c>
      <c r="J47" s="52">
        <v>2</v>
      </c>
      <c r="K47" s="53">
        <f t="shared" si="1"/>
        <v>16.349228</v>
      </c>
      <c r="L47" s="54" t="s">
        <v>6646</v>
      </c>
    </row>
    <row r="48" spans="1:12" s="55" customFormat="1" ht="19.5" customHeight="1" x14ac:dyDescent="0.3">
      <c r="A48" s="44" t="s">
        <v>6642</v>
      </c>
      <c r="B48" s="45" t="s">
        <v>6636</v>
      </c>
      <c r="C48" s="46">
        <v>24</v>
      </c>
      <c r="D48" s="47" t="s">
        <v>6644</v>
      </c>
      <c r="E48" s="48">
        <v>2</v>
      </c>
      <c r="F48" s="49">
        <v>4.1900000000000004</v>
      </c>
      <c r="G48" s="50" t="s">
        <v>6618</v>
      </c>
      <c r="H48" s="51">
        <v>2438</v>
      </c>
      <c r="I48" s="45">
        <v>3353</v>
      </c>
      <c r="J48" s="52">
        <v>2</v>
      </c>
      <c r="K48" s="53">
        <f t="shared" si="1"/>
        <v>16.349228</v>
      </c>
      <c r="L48" s="54" t="s">
        <v>6646</v>
      </c>
    </row>
    <row r="49" spans="1:12" s="55" customFormat="1" ht="19.5" customHeight="1" x14ac:dyDescent="0.3">
      <c r="A49" s="44" t="s">
        <v>6643</v>
      </c>
      <c r="B49" s="45" t="s">
        <v>6636</v>
      </c>
      <c r="C49" s="46">
        <v>24</v>
      </c>
      <c r="D49" s="47" t="s">
        <v>6644</v>
      </c>
      <c r="E49" s="48">
        <v>2</v>
      </c>
      <c r="F49" s="49">
        <v>5.15</v>
      </c>
      <c r="G49" s="50"/>
      <c r="H49" s="51"/>
      <c r="I49" s="45"/>
      <c r="J49" s="52"/>
      <c r="K49" s="53">
        <f t="shared" si="1"/>
        <v>0</v>
      </c>
      <c r="L49" s="54" t="s">
        <v>6646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1"/>
        <v>0</v>
      </c>
      <c r="L50" s="54"/>
    </row>
    <row r="51" spans="1:12" s="55" customFormat="1" ht="19.5" customHeight="1" x14ac:dyDescent="0.3">
      <c r="A51" s="44" t="s">
        <v>6629</v>
      </c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1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1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1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6654</v>
      </c>
      <c r="B55" s="45" t="s">
        <v>6655</v>
      </c>
      <c r="C55" s="46">
        <v>43</v>
      </c>
      <c r="D55" s="47" t="s">
        <v>6656</v>
      </c>
      <c r="E55" s="48">
        <v>10</v>
      </c>
      <c r="F55" s="49">
        <v>4.12</v>
      </c>
      <c r="G55" s="50" t="s">
        <v>6657</v>
      </c>
      <c r="H55" s="51">
        <v>2438</v>
      </c>
      <c r="I55" s="45">
        <v>3353</v>
      </c>
      <c r="J55" s="52">
        <v>1</v>
      </c>
      <c r="K55" s="53">
        <f t="shared" si="0"/>
        <v>8.174614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 t="s">
        <v>6647</v>
      </c>
      <c r="H56" s="51">
        <v>1981</v>
      </c>
      <c r="I56" s="45">
        <v>3353</v>
      </c>
      <c r="J56" s="52">
        <v>1</v>
      </c>
      <c r="K56" s="53">
        <f t="shared" si="0"/>
        <v>6.6422930000000004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6658</v>
      </c>
      <c r="B58" s="45" t="s">
        <v>6659</v>
      </c>
      <c r="C58" s="46">
        <v>24</v>
      </c>
      <c r="D58" s="47" t="s">
        <v>6660</v>
      </c>
      <c r="E58" s="48">
        <v>2</v>
      </c>
      <c r="F58" s="49">
        <v>5.71</v>
      </c>
      <c r="G58" s="50" t="s">
        <v>6661</v>
      </c>
      <c r="H58" s="51">
        <v>2438</v>
      </c>
      <c r="I58" s="45">
        <v>3353</v>
      </c>
      <c r="J58" s="52">
        <v>1</v>
      </c>
      <c r="K58" s="53">
        <f t="shared" si="0"/>
        <v>8.174614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 t="s">
        <v>6647</v>
      </c>
      <c r="H59" s="51">
        <v>2286</v>
      </c>
      <c r="I59" s="45">
        <v>3048</v>
      </c>
      <c r="J59" s="52">
        <v>1</v>
      </c>
      <c r="K59" s="53">
        <f t="shared" si="0"/>
        <v>6.9677280000000001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6662</v>
      </c>
      <c r="B61" s="45" t="s">
        <v>6663</v>
      </c>
      <c r="C61" s="46">
        <v>24</v>
      </c>
      <c r="D61" s="47" t="s">
        <v>6664</v>
      </c>
      <c r="E61" s="48">
        <v>5</v>
      </c>
      <c r="F61" s="49">
        <v>2.83</v>
      </c>
      <c r="G61" s="50"/>
      <c r="H61" s="51"/>
      <c r="I61" s="45"/>
      <c r="J61" s="52"/>
      <c r="K61" s="53">
        <f t="shared" si="0"/>
        <v>0</v>
      </c>
      <c r="L61" s="54" t="s">
        <v>6665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6666</v>
      </c>
      <c r="B63" s="45" t="s">
        <v>6667</v>
      </c>
      <c r="C63" s="46">
        <v>24</v>
      </c>
      <c r="D63" s="47" t="s">
        <v>6668</v>
      </c>
      <c r="E63" s="48">
        <v>1</v>
      </c>
      <c r="F63" s="49">
        <v>1.88</v>
      </c>
      <c r="G63" s="50"/>
      <c r="H63" s="51"/>
      <c r="I63" s="45"/>
      <c r="J63" s="52"/>
      <c r="K63" s="53">
        <f t="shared" si="0"/>
        <v>0</v>
      </c>
      <c r="L63" s="54" t="s">
        <v>6665</v>
      </c>
    </row>
    <row r="64" spans="1:12" s="55" customFormat="1" ht="19.5" customHeight="1" x14ac:dyDescent="0.3">
      <c r="A64" s="44"/>
      <c r="B64" s="45"/>
      <c r="C64" s="46">
        <v>43</v>
      </c>
      <c r="D64" s="47" t="s">
        <v>6669</v>
      </c>
      <c r="E64" s="48">
        <v>2</v>
      </c>
      <c r="F64" s="49">
        <v>0.56000000000000005</v>
      </c>
      <c r="G64" s="50"/>
      <c r="H64" s="51"/>
      <c r="I64" s="45"/>
      <c r="J64" s="52"/>
      <c r="K64" s="53">
        <f t="shared" si="0"/>
        <v>0</v>
      </c>
      <c r="L64" s="54" t="s">
        <v>6665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6670</v>
      </c>
      <c r="B66" s="45" t="s">
        <v>6671</v>
      </c>
      <c r="C66" s="46">
        <v>24</v>
      </c>
      <c r="D66" s="47" t="s">
        <v>6672</v>
      </c>
      <c r="E66" s="48">
        <v>1</v>
      </c>
      <c r="F66" s="49">
        <v>2.9</v>
      </c>
      <c r="G66" s="50"/>
      <c r="H66" s="51"/>
      <c r="I66" s="45"/>
      <c r="J66" s="52"/>
      <c r="K66" s="53">
        <f t="shared" si="0"/>
        <v>0</v>
      </c>
      <c r="L66" s="54" t="s">
        <v>6673</v>
      </c>
    </row>
    <row r="67" spans="1:12" s="55" customFormat="1" ht="19.5" customHeight="1" x14ac:dyDescent="0.3">
      <c r="A67" s="44"/>
      <c r="B67" s="45"/>
      <c r="C67" s="46">
        <v>43</v>
      </c>
      <c r="D67" s="47" t="s">
        <v>6674</v>
      </c>
      <c r="E67" s="48">
        <v>1</v>
      </c>
      <c r="F67" s="49">
        <v>4.01</v>
      </c>
      <c r="G67" s="50" t="s">
        <v>6675</v>
      </c>
      <c r="H67" s="51">
        <v>1981</v>
      </c>
      <c r="I67" s="45">
        <v>3353</v>
      </c>
      <c r="J67" s="52">
        <v>1</v>
      </c>
      <c r="K67" s="53">
        <f t="shared" si="0"/>
        <v>6.6422930000000004</v>
      </c>
      <c r="L67" s="54" t="s">
        <v>6676</v>
      </c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6677</v>
      </c>
      <c r="B69" s="45" t="s">
        <v>6678</v>
      </c>
      <c r="C69" s="46">
        <v>22</v>
      </c>
      <c r="D69" s="47" t="s">
        <v>6679</v>
      </c>
      <c r="E69" s="48">
        <v>7</v>
      </c>
      <c r="F69" s="49">
        <v>3.34</v>
      </c>
      <c r="G69" s="50"/>
      <c r="H69" s="51"/>
      <c r="I69" s="45"/>
      <c r="J69" s="52"/>
      <c r="K69" s="53">
        <f t="shared" si="0"/>
        <v>0</v>
      </c>
      <c r="L69" s="54" t="s">
        <v>6680</v>
      </c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6681</v>
      </c>
      <c r="B71" s="45" t="s">
        <v>6682</v>
      </c>
      <c r="C71" s="46">
        <v>28</v>
      </c>
      <c r="D71" s="47" t="s">
        <v>6683</v>
      </c>
      <c r="E71" s="48">
        <v>277</v>
      </c>
      <c r="F71" s="49">
        <v>239.58</v>
      </c>
      <c r="G71" s="50" t="s">
        <v>6685</v>
      </c>
      <c r="H71" s="51">
        <v>2134</v>
      </c>
      <c r="I71" s="45">
        <v>3353</v>
      </c>
      <c r="J71" s="52">
        <v>41</v>
      </c>
      <c r="K71" s="53">
        <f t="shared" si="0"/>
        <v>293.36738200000002</v>
      </c>
      <c r="L71" s="54" t="s">
        <v>6686</v>
      </c>
    </row>
    <row r="72" spans="1:12" s="55" customFormat="1" ht="19.5" customHeight="1" x14ac:dyDescent="0.3">
      <c r="A72" s="44"/>
      <c r="B72" s="45"/>
      <c r="C72" s="46">
        <v>28</v>
      </c>
      <c r="D72" s="47" t="s">
        <v>6684</v>
      </c>
      <c r="E72" s="48">
        <v>30</v>
      </c>
      <c r="F72" s="49">
        <v>28.99</v>
      </c>
      <c r="G72" s="50"/>
      <c r="H72" s="51"/>
      <c r="I72" s="45"/>
      <c r="J72" s="52"/>
      <c r="K72" s="53">
        <f t="shared" si="0"/>
        <v>0</v>
      </c>
      <c r="L72" s="54" t="s">
        <v>6686</v>
      </c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9" customFormat="1" ht="20.100000000000001" customHeight="1" x14ac:dyDescent="0.3">
      <c r="A76" s="44"/>
      <c r="B76" s="45"/>
      <c r="C76" s="46"/>
      <c r="D76" s="47"/>
      <c r="E76" s="56"/>
      <c r="F76" s="57"/>
      <c r="G76" s="50"/>
      <c r="H76" s="51"/>
      <c r="I76" s="45"/>
      <c r="J76" s="52"/>
      <c r="K76" s="53">
        <f t="shared" si="0"/>
        <v>0</v>
      </c>
      <c r="L76" s="58">
        <f>SUM(J36:J77)</f>
        <v>108</v>
      </c>
    </row>
    <row r="77" spans="1:12" s="59" customFormat="1" ht="20.100000000000001" customHeight="1" x14ac:dyDescent="0.3">
      <c r="A77" s="44"/>
      <c r="B77" s="45"/>
      <c r="C77" s="46"/>
      <c r="D77" s="47"/>
      <c r="E77" s="60"/>
      <c r="F77" s="61"/>
      <c r="G77" s="62"/>
      <c r="H77" s="51"/>
      <c r="I77" s="45"/>
      <c r="J77" s="63"/>
      <c r="K77" s="53">
        <f t="shared" si="0"/>
        <v>0</v>
      </c>
      <c r="L77" s="64">
        <f>SUM(K36:K77)</f>
        <v>869.12849800000004</v>
      </c>
    </row>
    <row r="78" spans="1:12" s="59" customFormat="1" ht="20.100000000000001" customHeight="1" thickBot="1" x14ac:dyDescent="0.35">
      <c r="A78" s="114"/>
      <c r="B78" s="115"/>
      <c r="C78" s="115"/>
      <c r="D78" s="115"/>
      <c r="E78" s="115"/>
      <c r="F78" s="115"/>
      <c r="G78" s="115"/>
      <c r="H78" s="115"/>
      <c r="I78" s="115"/>
      <c r="J78" s="65">
        <f>SUM(J7:J77)</f>
        <v>260</v>
      </c>
      <c r="K78" s="66">
        <f>SUM(K7:K77)</f>
        <v>1988.6565430000005</v>
      </c>
      <c r="L78" s="67"/>
    </row>
    <row r="79" spans="1:12" s="59" customFormat="1" ht="20.100000000000001" customHeight="1" thickTop="1" thickBot="1" x14ac:dyDescent="0.35">
      <c r="A79" s="116" t="s">
        <v>52</v>
      </c>
      <c r="B79" s="117"/>
      <c r="C79" s="68"/>
      <c r="D79" s="118">
        <f>J78</f>
        <v>260</v>
      </c>
      <c r="E79" s="119"/>
      <c r="F79" s="119"/>
      <c r="G79" s="120"/>
      <c r="H79" s="121"/>
      <c r="I79" s="121"/>
      <c r="J79" s="122"/>
      <c r="K79" s="119"/>
      <c r="L79" s="123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71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72"/>
      <c r="F85" s="5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5"/>
      <c r="G86" s="73"/>
      <c r="H86" s="5"/>
      <c r="I86" s="74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70"/>
      <c r="G90" s="5"/>
      <c r="H90" s="72"/>
      <c r="I90" s="72"/>
      <c r="J90" s="5"/>
      <c r="K90" s="5"/>
      <c r="L90" s="5"/>
    </row>
    <row r="91" spans="1:12" ht="20.100000000000001" customHeight="1" x14ac:dyDescent="0.3">
      <c r="A91" s="113"/>
      <c r="B91" s="113"/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A94" s="113"/>
      <c r="B94" s="113"/>
      <c r="H94" s="72"/>
      <c r="I94" s="72"/>
    </row>
    <row r="95" spans="1:12" ht="20.100000000000001" customHeight="1" x14ac:dyDescent="0.3">
      <c r="A95" s="113"/>
      <c r="B95" s="113"/>
      <c r="H95" s="72"/>
      <c r="I95" s="72"/>
    </row>
    <row r="96" spans="1:12" ht="20.100000000000001" customHeight="1" x14ac:dyDescent="0.3">
      <c r="H96" s="72"/>
      <c r="I96" s="72"/>
    </row>
    <row r="97" spans="1:12" ht="20.100000000000001" customHeight="1" x14ac:dyDescent="0.3">
      <c r="H97" s="72"/>
      <c r="I97" s="72"/>
    </row>
    <row r="98" spans="1:12" ht="20.100000000000001" customHeight="1" x14ac:dyDescent="0.3">
      <c r="H98" s="72"/>
      <c r="I98" s="72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J99" s="5"/>
      <c r="K99" s="5"/>
      <c r="L99" s="5"/>
    </row>
    <row r="100" spans="1:12" s="72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5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5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5" customFormat="1" ht="19.5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2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2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ht="19.5" customHeight="1" x14ac:dyDescent="0.3"/>
    <row r="107" spans="1:12" ht="19.5" customHeight="1" x14ac:dyDescent="0.3"/>
    <row r="108" spans="1:12" ht="19.5" customHeight="1" x14ac:dyDescent="0.3"/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4:B8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8:I78"/>
    <mergeCell ref="A79:B79"/>
    <mergeCell ref="D79:G79"/>
    <mergeCell ref="H79:J79"/>
    <mergeCell ref="K79:L79"/>
    <mergeCell ref="A94:B94"/>
    <mergeCell ref="A95:B95"/>
    <mergeCell ref="A85:B85"/>
    <mergeCell ref="A86:B86"/>
    <mergeCell ref="A87:B87"/>
    <mergeCell ref="A89:B89"/>
    <mergeCell ref="A90:B90"/>
    <mergeCell ref="A91:B91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L150"/>
  <sheetViews>
    <sheetView view="pageBreakPreview" topLeftCell="A49" zoomScale="85" zoomScaleNormal="100" zoomScaleSheetLayoutView="85" workbookViewId="0">
      <selection activeCell="L57" sqref="L57:L5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46224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8" si="0">(H7/1000*I7/1000)*J7</f>
        <v>0</v>
      </c>
      <c r="L7" s="26">
        <f>SUM(J7:J35)</f>
        <v>127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SUM(K7:K35)</f>
        <v>871.015128</v>
      </c>
    </row>
    <row r="9" spans="1:12" s="27" customFormat="1" ht="19.5" customHeight="1" x14ac:dyDescent="0.3">
      <c r="A9" s="28" t="s">
        <v>6586</v>
      </c>
      <c r="B9" s="16" t="s">
        <v>6587</v>
      </c>
      <c r="C9" s="17">
        <v>5</v>
      </c>
      <c r="D9" s="18" t="s">
        <v>6588</v>
      </c>
      <c r="E9" s="41">
        <v>91</v>
      </c>
      <c r="F9" s="42">
        <v>111.7</v>
      </c>
      <c r="G9" s="34" t="s">
        <v>6589</v>
      </c>
      <c r="H9" s="35">
        <v>2438</v>
      </c>
      <c r="I9" s="36">
        <v>3353</v>
      </c>
      <c r="J9" s="37">
        <v>17</v>
      </c>
      <c r="K9" s="85">
        <f t="shared" si="0"/>
        <v>138.96843799999999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6590</v>
      </c>
      <c r="B11" s="16" t="s">
        <v>6591</v>
      </c>
      <c r="C11" s="17">
        <v>22</v>
      </c>
      <c r="D11" s="18" t="s">
        <v>6592</v>
      </c>
      <c r="E11" s="41">
        <v>8</v>
      </c>
      <c r="F11" s="42">
        <v>25.84</v>
      </c>
      <c r="G11" s="34" t="s">
        <v>6595</v>
      </c>
      <c r="H11" s="35">
        <v>1981</v>
      </c>
      <c r="I11" s="36">
        <v>3353</v>
      </c>
      <c r="J11" s="37">
        <f>4+7</f>
        <v>11</v>
      </c>
      <c r="K11" s="85">
        <f>(H11/1000*I11/1000)*J11</f>
        <v>73.065223000000003</v>
      </c>
      <c r="L11" s="39"/>
    </row>
    <row r="12" spans="1:12" s="27" customFormat="1" ht="19.5" customHeight="1" x14ac:dyDescent="0.3">
      <c r="A12" s="28"/>
      <c r="B12" s="16"/>
      <c r="C12" s="17">
        <v>22</v>
      </c>
      <c r="D12" s="18" t="s">
        <v>6593</v>
      </c>
      <c r="E12" s="41">
        <v>72</v>
      </c>
      <c r="F12" s="42">
        <v>41.68</v>
      </c>
      <c r="G12" s="34" t="s">
        <v>6589</v>
      </c>
      <c r="H12" s="35">
        <v>1981</v>
      </c>
      <c r="I12" s="36">
        <v>3353</v>
      </c>
      <c r="J12" s="37">
        <v>10</v>
      </c>
      <c r="K12" s="85">
        <f t="shared" si="0"/>
        <v>66.422930000000008</v>
      </c>
      <c r="L12" s="39"/>
    </row>
    <row r="13" spans="1:12" s="27" customFormat="1" ht="19.5" customHeight="1" x14ac:dyDescent="0.3">
      <c r="A13" s="28"/>
      <c r="B13" s="16"/>
      <c r="C13" s="17">
        <v>22</v>
      </c>
      <c r="D13" s="18" t="s">
        <v>6594</v>
      </c>
      <c r="E13" s="41">
        <v>80</v>
      </c>
      <c r="F13" s="42">
        <v>67.52</v>
      </c>
      <c r="G13" s="34" t="s">
        <v>6596</v>
      </c>
      <c r="H13" s="35">
        <v>1981</v>
      </c>
      <c r="I13" s="36">
        <v>3353</v>
      </c>
      <c r="J13" s="37">
        <v>21</v>
      </c>
      <c r="K13" s="85">
        <f t="shared" si="0"/>
        <v>139.48815300000001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6593</v>
      </c>
      <c r="E14" s="41">
        <v>16</v>
      </c>
      <c r="F14" s="42">
        <v>4.4800000000000004</v>
      </c>
      <c r="G14" s="34"/>
      <c r="H14" s="35"/>
      <c r="I14" s="36"/>
      <c r="J14" s="37"/>
      <c r="K14" s="85">
        <f t="shared" si="0"/>
        <v>0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85">
        <f t="shared" ref="K15:K22" si="1">(H15/1000*I15/1000)*J15</f>
        <v>0</v>
      </c>
      <c r="L15" s="39"/>
    </row>
    <row r="16" spans="1:12" s="27" customFormat="1" ht="19.5" customHeight="1" x14ac:dyDescent="0.3">
      <c r="A16" s="28" t="s">
        <v>6597</v>
      </c>
      <c r="B16" s="16" t="s">
        <v>6601</v>
      </c>
      <c r="C16" s="17">
        <v>24</v>
      </c>
      <c r="D16" s="18" t="s">
        <v>6598</v>
      </c>
      <c r="E16" s="41">
        <v>1</v>
      </c>
      <c r="F16" s="42">
        <v>0.86</v>
      </c>
      <c r="G16" s="34" t="s">
        <v>6599</v>
      </c>
      <c r="H16" s="35">
        <v>2134</v>
      </c>
      <c r="I16" s="36">
        <v>3048</v>
      </c>
      <c r="J16" s="37">
        <v>1</v>
      </c>
      <c r="K16" s="85">
        <f t="shared" si="1"/>
        <v>6.5044319999999995</v>
      </c>
      <c r="L16" s="39" t="s">
        <v>6600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1"/>
        <v>0</v>
      </c>
      <c r="L17" s="39"/>
    </row>
    <row r="18" spans="1:12" s="27" customFormat="1" ht="19.5" customHeight="1" x14ac:dyDescent="0.3">
      <c r="A18" s="28" t="s">
        <v>6602</v>
      </c>
      <c r="B18" s="16" t="s">
        <v>6591</v>
      </c>
      <c r="C18" s="17">
        <v>22</v>
      </c>
      <c r="D18" s="18" t="s">
        <v>6603</v>
      </c>
      <c r="E18" s="41">
        <v>16</v>
      </c>
      <c r="F18" s="42">
        <v>23.52</v>
      </c>
      <c r="G18" s="34" t="s">
        <v>6595</v>
      </c>
      <c r="H18" s="35">
        <v>1981</v>
      </c>
      <c r="I18" s="36">
        <v>3353</v>
      </c>
      <c r="J18" s="37">
        <f>8+6</f>
        <v>14</v>
      </c>
      <c r="K18" s="85">
        <f t="shared" si="1"/>
        <v>92.992102000000003</v>
      </c>
      <c r="L18" s="39"/>
    </row>
    <row r="19" spans="1:12" s="27" customFormat="1" ht="19.5" customHeight="1" x14ac:dyDescent="0.3">
      <c r="A19" s="28"/>
      <c r="B19" s="16"/>
      <c r="C19" s="17">
        <v>22</v>
      </c>
      <c r="D19" s="18" t="s">
        <v>6592</v>
      </c>
      <c r="E19" s="41">
        <v>8</v>
      </c>
      <c r="F19" s="42">
        <v>25.84</v>
      </c>
      <c r="G19" s="34" t="s">
        <v>6589</v>
      </c>
      <c r="H19" s="35">
        <v>1981</v>
      </c>
      <c r="I19" s="36">
        <v>3353</v>
      </c>
      <c r="J19" s="37">
        <v>13</v>
      </c>
      <c r="K19" s="85">
        <f t="shared" si="1"/>
        <v>86.349809000000008</v>
      </c>
      <c r="L19" s="39"/>
    </row>
    <row r="20" spans="1:12" s="27" customFormat="1" ht="19.5" customHeight="1" x14ac:dyDescent="0.3">
      <c r="A20" s="28"/>
      <c r="B20" s="16"/>
      <c r="C20" s="17">
        <v>22</v>
      </c>
      <c r="D20" s="18" t="s">
        <v>6593</v>
      </c>
      <c r="E20" s="41">
        <v>72</v>
      </c>
      <c r="F20" s="42">
        <v>39.44</v>
      </c>
      <c r="G20" s="34" t="s">
        <v>6596</v>
      </c>
      <c r="H20" s="35">
        <v>1981</v>
      </c>
      <c r="I20" s="36">
        <v>3353</v>
      </c>
      <c r="J20" s="37">
        <v>28</v>
      </c>
      <c r="K20" s="85">
        <f t="shared" si="1"/>
        <v>185.98420400000001</v>
      </c>
      <c r="L20" s="39"/>
    </row>
    <row r="21" spans="1:12" s="27" customFormat="1" ht="19.5" customHeight="1" x14ac:dyDescent="0.3">
      <c r="A21" s="28"/>
      <c r="B21" s="16"/>
      <c r="C21" s="17">
        <v>22</v>
      </c>
      <c r="D21" s="18" t="s">
        <v>6594</v>
      </c>
      <c r="E21" s="41">
        <v>96</v>
      </c>
      <c r="F21" s="42">
        <v>88.8</v>
      </c>
      <c r="G21" s="34"/>
      <c r="H21" s="35"/>
      <c r="I21" s="36"/>
      <c r="J21" s="37"/>
      <c r="K21" s="85">
        <f t="shared" si="1"/>
        <v>0</v>
      </c>
      <c r="L21" s="39"/>
    </row>
    <row r="22" spans="1:12" s="27" customFormat="1" ht="19.5" customHeight="1" x14ac:dyDescent="0.3">
      <c r="A22" s="28"/>
      <c r="B22" s="16"/>
      <c r="C22" s="17">
        <v>22</v>
      </c>
      <c r="D22" s="18" t="s">
        <v>6593</v>
      </c>
      <c r="E22" s="41">
        <v>12</v>
      </c>
      <c r="F22" s="42">
        <v>3.36</v>
      </c>
      <c r="G22" s="34"/>
      <c r="H22" s="35"/>
      <c r="I22" s="36"/>
      <c r="J22" s="37"/>
      <c r="K22" s="85">
        <f t="shared" si="1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</row>
    <row r="24" spans="1:12" s="27" customFormat="1" ht="19.5" customHeight="1" x14ac:dyDescent="0.3">
      <c r="A24" s="28" t="s">
        <v>6604</v>
      </c>
      <c r="B24" s="16" t="s">
        <v>6605</v>
      </c>
      <c r="C24" s="17">
        <v>22</v>
      </c>
      <c r="D24" s="18" t="s">
        <v>6606</v>
      </c>
      <c r="E24" s="41">
        <v>3</v>
      </c>
      <c r="F24" s="42">
        <v>3.71</v>
      </c>
      <c r="G24" s="34" t="s">
        <v>6595</v>
      </c>
      <c r="H24" s="35">
        <v>1981</v>
      </c>
      <c r="I24" s="36">
        <v>3353</v>
      </c>
      <c r="J24" s="37">
        <v>1</v>
      </c>
      <c r="K24" s="25">
        <f t="shared" si="0"/>
        <v>6.6422930000000004</v>
      </c>
      <c r="L24" s="39"/>
    </row>
    <row r="25" spans="1:12" s="27" customFormat="1" ht="19.5" customHeight="1" x14ac:dyDescent="0.3">
      <c r="A25" s="28"/>
      <c r="B25" s="16"/>
      <c r="C25" s="17">
        <v>5</v>
      </c>
      <c r="D25" s="18" t="s">
        <v>6588</v>
      </c>
      <c r="E25" s="41">
        <v>3</v>
      </c>
      <c r="F25" s="42">
        <v>2.52</v>
      </c>
      <c r="G25" s="34" t="s">
        <v>6589</v>
      </c>
      <c r="H25" s="35">
        <v>2438</v>
      </c>
      <c r="I25" s="36">
        <v>3353</v>
      </c>
      <c r="J25" s="37">
        <v>1</v>
      </c>
      <c r="K25" s="25">
        <f t="shared" si="0"/>
        <v>8.174614</v>
      </c>
      <c r="L25" s="39"/>
    </row>
    <row r="26" spans="1:12" s="27" customFormat="1" ht="19.5" customHeight="1" x14ac:dyDescent="0.3">
      <c r="A26" s="28"/>
      <c r="B26" s="16"/>
      <c r="C26" s="17">
        <v>24</v>
      </c>
      <c r="D26" s="18" t="s">
        <v>6607</v>
      </c>
      <c r="E26" s="41">
        <v>1</v>
      </c>
      <c r="F26" s="42">
        <v>0.71</v>
      </c>
      <c r="G26" s="34"/>
      <c r="H26" s="35"/>
      <c r="I26" s="36"/>
      <c r="J26" s="37"/>
      <c r="K26" s="85">
        <f t="shared" si="0"/>
        <v>0</v>
      </c>
      <c r="L26" s="39" t="s">
        <v>6608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 t="s">
        <v>6609</v>
      </c>
      <c r="B28" s="16" t="s">
        <v>6591</v>
      </c>
      <c r="C28" s="17">
        <v>22</v>
      </c>
      <c r="D28" s="18" t="s">
        <v>6593</v>
      </c>
      <c r="E28" s="41">
        <v>72</v>
      </c>
      <c r="F28" s="42">
        <v>60.9</v>
      </c>
      <c r="G28" s="34" t="s">
        <v>6595</v>
      </c>
      <c r="H28" s="35">
        <v>1981</v>
      </c>
      <c r="I28" s="36">
        <v>3353</v>
      </c>
      <c r="J28" s="37">
        <v>10</v>
      </c>
      <c r="K28" s="85">
        <f t="shared" si="0"/>
        <v>66.422930000000008</v>
      </c>
      <c r="L28" s="39" t="s">
        <v>6610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29"/>
      <c r="C35" s="30"/>
      <c r="D35" s="31"/>
      <c r="E35" s="41"/>
      <c r="F35" s="42"/>
      <c r="G35" s="43"/>
      <c r="H35" s="35"/>
      <c r="I35" s="36"/>
      <c r="J35" s="37"/>
      <c r="K35" s="25">
        <f t="shared" si="0"/>
        <v>0</v>
      </c>
      <c r="L35" s="39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6611</v>
      </c>
      <c r="B37" s="45" t="s">
        <v>6612</v>
      </c>
      <c r="C37" s="46">
        <v>22</v>
      </c>
      <c r="D37" s="47" t="s">
        <v>6594</v>
      </c>
      <c r="E37" s="48">
        <v>128</v>
      </c>
      <c r="F37" s="49">
        <v>96.08</v>
      </c>
      <c r="G37" s="50" t="s">
        <v>6589</v>
      </c>
      <c r="H37" s="51">
        <v>1981</v>
      </c>
      <c r="I37" s="45">
        <v>3353</v>
      </c>
      <c r="J37" s="52">
        <v>16</v>
      </c>
      <c r="K37" s="53">
        <f t="shared" si="0"/>
        <v>106.27668800000001</v>
      </c>
      <c r="L37" s="54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 t="s">
        <v>6599</v>
      </c>
      <c r="H38" s="51">
        <v>1981</v>
      </c>
      <c r="I38" s="45">
        <v>3353</v>
      </c>
      <c r="J38" s="52">
        <v>16</v>
      </c>
      <c r="K38" s="53">
        <f t="shared" si="0"/>
        <v>106.27668800000001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6613</v>
      </c>
      <c r="B40" s="45" t="s">
        <v>6612</v>
      </c>
      <c r="C40" s="46">
        <v>22</v>
      </c>
      <c r="D40" s="47" t="s">
        <v>6594</v>
      </c>
      <c r="E40" s="48">
        <v>160</v>
      </c>
      <c r="F40" s="49">
        <v>138.72</v>
      </c>
      <c r="G40" s="50" t="s">
        <v>6589</v>
      </c>
      <c r="H40" s="51">
        <v>1981</v>
      </c>
      <c r="I40" s="45">
        <v>3353</v>
      </c>
      <c r="J40" s="52">
        <v>23</v>
      </c>
      <c r="K40" s="53">
        <f t="shared" si="0"/>
        <v>152.772739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 t="s">
        <v>6599</v>
      </c>
      <c r="H41" s="51">
        <v>1981</v>
      </c>
      <c r="I41" s="45">
        <v>3353</v>
      </c>
      <c r="J41" s="52">
        <v>23</v>
      </c>
      <c r="K41" s="53">
        <f t="shared" si="0"/>
        <v>152.772739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6614</v>
      </c>
      <c r="B43" s="45" t="s">
        <v>6612</v>
      </c>
      <c r="C43" s="46">
        <v>22</v>
      </c>
      <c r="D43" s="47" t="s">
        <v>6594</v>
      </c>
      <c r="E43" s="48">
        <v>216</v>
      </c>
      <c r="F43" s="49">
        <v>177.36</v>
      </c>
      <c r="G43" s="50" t="s">
        <v>6589</v>
      </c>
      <c r="H43" s="51">
        <v>1981</v>
      </c>
      <c r="I43" s="45">
        <v>3353</v>
      </c>
      <c r="J43" s="52">
        <v>30</v>
      </c>
      <c r="K43" s="53">
        <f t="shared" si="0"/>
        <v>199.26879000000002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 t="s">
        <v>6599</v>
      </c>
      <c r="H44" s="51">
        <v>1981</v>
      </c>
      <c r="I44" s="45">
        <v>3353</v>
      </c>
      <c r="J44" s="52">
        <v>30</v>
      </c>
      <c r="K44" s="53">
        <f t="shared" si="0"/>
        <v>199.26879000000002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9" customFormat="1" ht="20.100000000000001" customHeight="1" x14ac:dyDescent="0.3">
      <c r="A57" s="44"/>
      <c r="B57" s="45"/>
      <c r="C57" s="46"/>
      <c r="D57" s="47"/>
      <c r="E57" s="56"/>
      <c r="F57" s="57"/>
      <c r="G57" s="50"/>
      <c r="H57" s="51"/>
      <c r="I57" s="45"/>
      <c r="J57" s="52"/>
      <c r="K57" s="53">
        <f t="shared" si="0"/>
        <v>0</v>
      </c>
      <c r="L57" s="58">
        <f>SUM(J36:J58)</f>
        <v>138</v>
      </c>
    </row>
    <row r="58" spans="1:12" s="59" customFormat="1" ht="20.100000000000001" customHeight="1" x14ac:dyDescent="0.3">
      <c r="A58" s="44"/>
      <c r="B58" s="45"/>
      <c r="C58" s="46"/>
      <c r="D58" s="47"/>
      <c r="E58" s="60"/>
      <c r="F58" s="61"/>
      <c r="G58" s="62"/>
      <c r="H58" s="51"/>
      <c r="I58" s="45"/>
      <c r="J58" s="63"/>
      <c r="K58" s="53">
        <f t="shared" si="0"/>
        <v>0</v>
      </c>
      <c r="L58" s="64">
        <f>SUM(K36:K58)</f>
        <v>916.63643400000024</v>
      </c>
    </row>
    <row r="59" spans="1:12" s="59" customFormat="1" ht="20.100000000000001" customHeight="1" thickBot="1" x14ac:dyDescent="0.35">
      <c r="A59" s="114"/>
      <c r="B59" s="115"/>
      <c r="C59" s="115"/>
      <c r="D59" s="115"/>
      <c r="E59" s="115"/>
      <c r="F59" s="115"/>
      <c r="G59" s="115"/>
      <c r="H59" s="115"/>
      <c r="I59" s="115"/>
      <c r="J59" s="65">
        <f>SUM(J7:J58)</f>
        <v>265</v>
      </c>
      <c r="K59" s="66">
        <f>SUM(K7:K58)</f>
        <v>1787.6515620000002</v>
      </c>
      <c r="L59" s="67"/>
    </row>
    <row r="60" spans="1:12" s="59" customFormat="1" ht="20.100000000000001" customHeight="1" thickTop="1" thickBot="1" x14ac:dyDescent="0.35">
      <c r="A60" s="116" t="s">
        <v>52</v>
      </c>
      <c r="B60" s="117"/>
      <c r="C60" s="68"/>
      <c r="D60" s="118">
        <f>J59</f>
        <v>265</v>
      </c>
      <c r="E60" s="119"/>
      <c r="F60" s="119"/>
      <c r="G60" s="120"/>
      <c r="H60" s="121"/>
      <c r="I60" s="121"/>
      <c r="J60" s="122"/>
      <c r="K60" s="119"/>
      <c r="L60" s="123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71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72"/>
      <c r="F66" s="5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5"/>
      <c r="G67" s="73"/>
      <c r="H67" s="5"/>
      <c r="I67" s="74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72"/>
      <c r="I71" s="72"/>
      <c r="J71" s="5"/>
      <c r="K71" s="5"/>
      <c r="L71" s="5"/>
    </row>
    <row r="72" spans="1:12" ht="20.100000000000001" customHeight="1" x14ac:dyDescent="0.3">
      <c r="A72" s="113"/>
      <c r="B72" s="113"/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A75" s="113"/>
      <c r="B75" s="113"/>
      <c r="H75" s="72"/>
      <c r="I75" s="72"/>
    </row>
    <row r="76" spans="1:12" ht="20.100000000000001" customHeight="1" x14ac:dyDescent="0.3">
      <c r="A76" s="113"/>
      <c r="B76" s="113"/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H79" s="72"/>
      <c r="I79" s="72"/>
    </row>
    <row r="80" spans="1:12" s="72" customFormat="1" ht="20.100000000000001" customHeight="1" x14ac:dyDescent="0.3">
      <c r="A80" s="69"/>
      <c r="B80" s="5"/>
      <c r="C80" s="5"/>
      <c r="D80" s="5"/>
      <c r="E80" s="5"/>
      <c r="F80" s="70"/>
      <c r="G80" s="5"/>
      <c r="J80" s="5"/>
      <c r="K80" s="5"/>
      <c r="L80" s="5"/>
    </row>
    <row r="81" spans="1:12" s="72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5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5" customFormat="1" ht="19.5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ht="19.5" customHeight="1" x14ac:dyDescent="0.3"/>
    <row r="88" spans="1:12" ht="19.5" customHeight="1" x14ac:dyDescent="0.3"/>
    <row r="89" spans="1:12" ht="19.5" customHeight="1" x14ac:dyDescent="0.3"/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5:B6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9:I59"/>
    <mergeCell ref="A60:B60"/>
    <mergeCell ref="D60:G60"/>
    <mergeCell ref="H60:J60"/>
    <mergeCell ref="K60:L60"/>
    <mergeCell ref="A75:B75"/>
    <mergeCell ref="A76:B76"/>
    <mergeCell ref="A66:B66"/>
    <mergeCell ref="A67:B67"/>
    <mergeCell ref="A68:B68"/>
    <mergeCell ref="A70:B70"/>
    <mergeCell ref="A71:B71"/>
    <mergeCell ref="A72:B72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L171"/>
  <sheetViews>
    <sheetView view="pageBreakPreview" topLeftCell="A64" zoomScale="85" zoomScaleNormal="100" zoomScaleSheetLayoutView="85" workbookViewId="0">
      <selection activeCell="L78" sqref="L78:L7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46223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9" si="0">(H7/1000*I7/1000)*J7</f>
        <v>0</v>
      </c>
      <c r="L7" s="26">
        <f>SUM(J7:J36)</f>
        <v>97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SUM(K7:K36)</f>
        <v>616.7556689999999</v>
      </c>
    </row>
    <row r="9" spans="1:12" s="27" customFormat="1" ht="19.5" customHeight="1" x14ac:dyDescent="0.3">
      <c r="A9" s="28" t="s">
        <v>6520</v>
      </c>
      <c r="B9" s="16" t="s">
        <v>6521</v>
      </c>
      <c r="C9" s="17">
        <v>22</v>
      </c>
      <c r="D9" s="18" t="s">
        <v>6522</v>
      </c>
      <c r="E9" s="41">
        <v>1</v>
      </c>
      <c r="F9" s="42">
        <v>1.41</v>
      </c>
      <c r="G9" s="34" t="s">
        <v>6523</v>
      </c>
      <c r="H9" s="35">
        <v>2134</v>
      </c>
      <c r="I9" s="36">
        <v>3353</v>
      </c>
      <c r="J9" s="37">
        <v>1</v>
      </c>
      <c r="K9" s="85">
        <f t="shared" si="0"/>
        <v>7.1553019999999998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6524</v>
      </c>
      <c r="B11" s="16" t="s">
        <v>6525</v>
      </c>
      <c r="C11" s="17">
        <v>10</v>
      </c>
      <c r="D11" s="18" t="s">
        <v>6526</v>
      </c>
      <c r="E11" s="41">
        <v>3</v>
      </c>
      <c r="F11" s="42">
        <v>2.87</v>
      </c>
      <c r="G11" s="34" t="s">
        <v>6528</v>
      </c>
      <c r="H11" s="35">
        <v>2438</v>
      </c>
      <c r="I11" s="36">
        <v>3048</v>
      </c>
      <c r="J11" s="37">
        <v>1</v>
      </c>
      <c r="K11" s="85">
        <f t="shared" si="0"/>
        <v>7.4310240000000007</v>
      </c>
      <c r="L11" s="39"/>
    </row>
    <row r="12" spans="1:12" s="27" customFormat="1" ht="19.5" customHeight="1" x14ac:dyDescent="0.3">
      <c r="A12" s="28"/>
      <c r="B12" s="16"/>
      <c r="C12" s="17">
        <v>24</v>
      </c>
      <c r="D12" s="18" t="s">
        <v>6527</v>
      </c>
      <c r="E12" s="41">
        <v>2</v>
      </c>
      <c r="F12" s="42">
        <v>1.98</v>
      </c>
      <c r="G12" s="34"/>
      <c r="H12" s="35"/>
      <c r="I12" s="36"/>
      <c r="J12" s="37"/>
      <c r="K12" s="85">
        <f t="shared" si="0"/>
        <v>0</v>
      </c>
      <c r="L12" s="39" t="s">
        <v>6529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 t="s">
        <v>6530</v>
      </c>
      <c r="B14" s="16" t="s">
        <v>6531</v>
      </c>
      <c r="C14" s="17">
        <v>10</v>
      </c>
      <c r="D14" s="18" t="s">
        <v>6532</v>
      </c>
      <c r="E14" s="41">
        <v>16</v>
      </c>
      <c r="F14" s="42">
        <v>19.440000000000001</v>
      </c>
      <c r="G14" s="34" t="s">
        <v>6533</v>
      </c>
      <c r="H14" s="35">
        <v>2438</v>
      </c>
      <c r="I14" s="36">
        <v>3048</v>
      </c>
      <c r="J14" s="37">
        <v>3</v>
      </c>
      <c r="K14" s="85">
        <f t="shared" si="0"/>
        <v>22.293072000000002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85">
        <f t="shared" si="0"/>
        <v>0</v>
      </c>
      <c r="L15" s="39"/>
    </row>
    <row r="16" spans="1:12" s="27" customFormat="1" ht="19.5" customHeight="1" x14ac:dyDescent="0.3">
      <c r="A16" s="28" t="s">
        <v>6534</v>
      </c>
      <c r="B16" s="16" t="s">
        <v>6535</v>
      </c>
      <c r="C16" s="17">
        <v>24</v>
      </c>
      <c r="D16" s="18" t="s">
        <v>6536</v>
      </c>
      <c r="E16" s="41">
        <v>22</v>
      </c>
      <c r="F16" s="42">
        <v>41.3</v>
      </c>
      <c r="G16" s="34" t="s">
        <v>6537</v>
      </c>
      <c r="H16" s="35">
        <v>1981</v>
      </c>
      <c r="I16" s="36">
        <v>3048</v>
      </c>
      <c r="J16" s="37">
        <v>8</v>
      </c>
      <c r="K16" s="85">
        <f t="shared" si="0"/>
        <v>48.304704000000008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 t="s">
        <v>6538</v>
      </c>
      <c r="H17" s="35">
        <v>1981</v>
      </c>
      <c r="I17" s="36">
        <v>3353</v>
      </c>
      <c r="J17" s="37">
        <v>8</v>
      </c>
      <c r="K17" s="25">
        <f t="shared" si="0"/>
        <v>53.138344000000004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 t="s">
        <v>6539</v>
      </c>
      <c r="B19" s="16" t="s">
        <v>306</v>
      </c>
      <c r="C19" s="17">
        <v>22</v>
      </c>
      <c r="D19" s="18" t="s">
        <v>73</v>
      </c>
      <c r="E19" s="41">
        <v>27</v>
      </c>
      <c r="F19" s="42">
        <v>34.049999999999997</v>
      </c>
      <c r="G19" s="34" t="s">
        <v>49</v>
      </c>
      <c r="H19" s="35">
        <v>2134</v>
      </c>
      <c r="I19" s="36">
        <v>3048</v>
      </c>
      <c r="J19" s="37">
        <v>6</v>
      </c>
      <c r="K19" s="85">
        <f t="shared" si="0"/>
        <v>39.026591999999994</v>
      </c>
      <c r="L19" s="39" t="s">
        <v>6540</v>
      </c>
    </row>
    <row r="20" spans="1:12" s="27" customFormat="1" ht="19.5" customHeight="1" x14ac:dyDescent="0.3">
      <c r="A20" s="28"/>
      <c r="B20" s="16"/>
      <c r="C20" s="17">
        <v>22</v>
      </c>
      <c r="D20" s="18" t="s">
        <v>320</v>
      </c>
      <c r="E20" s="41">
        <v>27</v>
      </c>
      <c r="F20" s="42">
        <v>34.049999999999997</v>
      </c>
      <c r="G20" s="34" t="s">
        <v>18</v>
      </c>
      <c r="H20" s="35">
        <v>2134</v>
      </c>
      <c r="I20" s="36">
        <v>3048</v>
      </c>
      <c r="J20" s="37">
        <v>6</v>
      </c>
      <c r="K20" s="85">
        <f t="shared" si="0"/>
        <v>39.026591999999994</v>
      </c>
      <c r="L20" s="39" t="s">
        <v>6540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 t="s">
        <v>39</v>
      </c>
      <c r="H21" s="35">
        <v>2134</v>
      </c>
      <c r="I21" s="36">
        <v>3048</v>
      </c>
      <c r="J21" s="37">
        <v>13</v>
      </c>
      <c r="K21" s="85">
        <f t="shared" si="0"/>
        <v>84.557615999999996</v>
      </c>
      <c r="L21" s="39" t="s">
        <v>6540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 t="s">
        <v>6541</v>
      </c>
      <c r="B23" s="16" t="s">
        <v>306</v>
      </c>
      <c r="C23" s="17">
        <v>22</v>
      </c>
      <c r="D23" s="18" t="s">
        <v>320</v>
      </c>
      <c r="E23" s="41">
        <v>136</v>
      </c>
      <c r="F23" s="42">
        <v>91.36</v>
      </c>
      <c r="G23" s="34" t="s">
        <v>39</v>
      </c>
      <c r="H23" s="35">
        <v>1829</v>
      </c>
      <c r="I23" s="36">
        <v>3353</v>
      </c>
      <c r="J23" s="37">
        <v>15</v>
      </c>
      <c r="K23" s="25">
        <f t="shared" si="0"/>
        <v>91.989554999999996</v>
      </c>
      <c r="L23" s="39" t="s">
        <v>6542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 t="s">
        <v>6512</v>
      </c>
      <c r="B25" s="16" t="s">
        <v>306</v>
      </c>
      <c r="C25" s="17">
        <v>22</v>
      </c>
      <c r="D25" s="18" t="s">
        <v>320</v>
      </c>
      <c r="E25" s="41">
        <v>220</v>
      </c>
      <c r="F25" s="42">
        <v>172.64</v>
      </c>
      <c r="G25" s="34" t="s">
        <v>6647</v>
      </c>
      <c r="H25" s="35">
        <v>1829</v>
      </c>
      <c r="I25" s="36">
        <v>3353</v>
      </c>
      <c r="J25" s="37">
        <v>30</v>
      </c>
      <c r="K25" s="25">
        <f t="shared" ref="K25:K26" si="1">(H25/1000*I25/1000)*J25</f>
        <v>183.97910999999999</v>
      </c>
      <c r="L25" s="39" t="s">
        <v>6648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1"/>
        <v>0</v>
      </c>
      <c r="L26" s="39"/>
    </row>
    <row r="27" spans="1:12" s="27" customFormat="1" ht="19.5" customHeight="1" x14ac:dyDescent="0.3">
      <c r="A27" s="28" t="s">
        <v>6543</v>
      </c>
      <c r="B27" s="16" t="s">
        <v>6544</v>
      </c>
      <c r="C27" s="17">
        <v>22</v>
      </c>
      <c r="D27" s="18" t="s">
        <v>6545</v>
      </c>
      <c r="E27" s="41">
        <v>3</v>
      </c>
      <c r="F27" s="42">
        <v>9.69</v>
      </c>
      <c r="G27" s="34" t="s">
        <v>49</v>
      </c>
      <c r="H27" s="35">
        <v>1981</v>
      </c>
      <c r="I27" s="36">
        <v>3353</v>
      </c>
      <c r="J27" s="37">
        <v>2</v>
      </c>
      <c r="K27" s="25">
        <f t="shared" ref="K27:K31" si="2">(H27/1000*I27/1000)*J27</f>
        <v>13.284586000000001</v>
      </c>
      <c r="L27" s="39" t="s">
        <v>6546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2"/>
        <v>0</v>
      </c>
      <c r="L28" s="39"/>
    </row>
    <row r="29" spans="1:12" s="27" customFormat="1" ht="19.5" customHeight="1" x14ac:dyDescent="0.3">
      <c r="A29" s="28" t="s">
        <v>6547</v>
      </c>
      <c r="B29" s="16" t="s">
        <v>6548</v>
      </c>
      <c r="C29" s="17">
        <v>22</v>
      </c>
      <c r="D29" s="18" t="s">
        <v>6549</v>
      </c>
      <c r="E29" s="41">
        <v>3</v>
      </c>
      <c r="F29" s="42">
        <v>4.38</v>
      </c>
      <c r="G29" s="34" t="s">
        <v>6523</v>
      </c>
      <c r="H29" s="35">
        <v>1981</v>
      </c>
      <c r="I29" s="36">
        <v>3353</v>
      </c>
      <c r="J29" s="37">
        <v>2</v>
      </c>
      <c r="K29" s="25">
        <f t="shared" si="2"/>
        <v>13.284586000000001</v>
      </c>
      <c r="L29" s="39"/>
    </row>
    <row r="30" spans="1:12" s="27" customFormat="1" ht="19.5" customHeight="1" x14ac:dyDescent="0.3">
      <c r="A30" s="28"/>
      <c r="B30" s="16"/>
      <c r="C30" s="17">
        <v>22</v>
      </c>
      <c r="D30" s="18" t="s">
        <v>6549</v>
      </c>
      <c r="E30" s="41">
        <v>3</v>
      </c>
      <c r="F30" s="42">
        <v>5.61</v>
      </c>
      <c r="G30" s="34" t="s">
        <v>6550</v>
      </c>
      <c r="H30" s="35">
        <v>1981</v>
      </c>
      <c r="I30" s="36">
        <v>3353</v>
      </c>
      <c r="J30" s="37">
        <v>2</v>
      </c>
      <c r="K30" s="25">
        <f t="shared" si="2"/>
        <v>13.284586000000001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2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29"/>
      <c r="C36" s="30"/>
      <c r="D36" s="31"/>
      <c r="E36" s="41"/>
      <c r="F36" s="42"/>
      <c r="G36" s="43"/>
      <c r="H36" s="35"/>
      <c r="I36" s="36"/>
      <c r="J36" s="37"/>
      <c r="K36" s="25">
        <f t="shared" si="0"/>
        <v>0</v>
      </c>
      <c r="L36" s="39"/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6551</v>
      </c>
      <c r="B38" s="45" t="s">
        <v>6552</v>
      </c>
      <c r="C38" s="46">
        <v>22</v>
      </c>
      <c r="D38" s="47" t="s">
        <v>6553</v>
      </c>
      <c r="E38" s="48">
        <v>31</v>
      </c>
      <c r="F38" s="49">
        <v>17.41</v>
      </c>
      <c r="G38" s="50" t="s">
        <v>6523</v>
      </c>
      <c r="H38" s="51">
        <v>1981</v>
      </c>
      <c r="I38" s="45">
        <v>3353</v>
      </c>
      <c r="J38" s="52">
        <v>3</v>
      </c>
      <c r="K38" s="53">
        <f t="shared" si="0"/>
        <v>19.926879</v>
      </c>
      <c r="L38" s="54" t="s">
        <v>6554</v>
      </c>
    </row>
    <row r="39" spans="1:12" s="55" customFormat="1" ht="19.5" customHeight="1" x14ac:dyDescent="0.3">
      <c r="A39" s="44"/>
      <c r="B39" s="45"/>
      <c r="C39" s="46">
        <v>22</v>
      </c>
      <c r="D39" s="47" t="s">
        <v>6553</v>
      </c>
      <c r="E39" s="48">
        <v>2</v>
      </c>
      <c r="F39" s="49">
        <v>1.62</v>
      </c>
      <c r="G39" s="50"/>
      <c r="H39" s="51"/>
      <c r="I39" s="45"/>
      <c r="J39" s="52"/>
      <c r="K39" s="53">
        <f t="shared" si="0"/>
        <v>0</v>
      </c>
      <c r="L39" s="54" t="s">
        <v>6554</v>
      </c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6551</v>
      </c>
      <c r="B41" s="45" t="s">
        <v>6552</v>
      </c>
      <c r="C41" s="46">
        <v>22</v>
      </c>
      <c r="D41" s="47" t="s">
        <v>6555</v>
      </c>
      <c r="E41" s="48">
        <v>4</v>
      </c>
      <c r="F41" s="49">
        <v>8.4700000000000006</v>
      </c>
      <c r="G41" s="50"/>
      <c r="H41" s="51"/>
      <c r="I41" s="45"/>
      <c r="J41" s="52"/>
      <c r="K41" s="53">
        <f t="shared" si="0"/>
        <v>0</v>
      </c>
      <c r="L41" s="54" t="s">
        <v>6556</v>
      </c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6551</v>
      </c>
      <c r="B43" s="45" t="s">
        <v>6552</v>
      </c>
      <c r="C43" s="46">
        <v>22</v>
      </c>
      <c r="D43" s="47" t="s">
        <v>6553</v>
      </c>
      <c r="E43" s="48">
        <v>2</v>
      </c>
      <c r="F43" s="49">
        <v>6.12</v>
      </c>
      <c r="G43" s="50" t="s">
        <v>6557</v>
      </c>
      <c r="H43" s="51">
        <v>1981</v>
      </c>
      <c r="I43" s="45">
        <v>3353</v>
      </c>
      <c r="J43" s="52">
        <v>3</v>
      </c>
      <c r="K43" s="53">
        <f t="shared" si="0"/>
        <v>19.926879</v>
      </c>
      <c r="L43" s="54" t="s">
        <v>6558</v>
      </c>
    </row>
    <row r="44" spans="1:12" s="55" customFormat="1" ht="19.5" customHeight="1" x14ac:dyDescent="0.3">
      <c r="A44" s="44"/>
      <c r="B44" s="45"/>
      <c r="C44" s="46">
        <v>22</v>
      </c>
      <c r="D44" s="47" t="s">
        <v>6555</v>
      </c>
      <c r="E44" s="48">
        <v>1</v>
      </c>
      <c r="F44" s="49">
        <v>3.06</v>
      </c>
      <c r="G44" s="50"/>
      <c r="H44" s="51"/>
      <c r="I44" s="45"/>
      <c r="J44" s="52"/>
      <c r="K44" s="53">
        <f t="shared" si="0"/>
        <v>0</v>
      </c>
      <c r="L44" s="54" t="s">
        <v>6558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6559</v>
      </c>
      <c r="B46" s="45" t="s">
        <v>6560</v>
      </c>
      <c r="C46" s="46">
        <v>42</v>
      </c>
      <c r="D46" s="47" t="s">
        <v>6561</v>
      </c>
      <c r="E46" s="48">
        <v>18</v>
      </c>
      <c r="F46" s="49">
        <v>6.06</v>
      </c>
      <c r="G46" s="50" t="s">
        <v>6562</v>
      </c>
      <c r="H46" s="51">
        <v>2438</v>
      </c>
      <c r="I46" s="45">
        <v>3353</v>
      </c>
      <c r="J46" s="52">
        <v>1</v>
      </c>
      <c r="K46" s="53">
        <f t="shared" si="0"/>
        <v>8.174614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 t="s">
        <v>6563</v>
      </c>
      <c r="H47" s="51">
        <v>2438</v>
      </c>
      <c r="I47" s="45">
        <v>3353</v>
      </c>
      <c r="J47" s="52">
        <v>1</v>
      </c>
      <c r="K47" s="53">
        <f t="shared" si="0"/>
        <v>8.174614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 t="s">
        <v>6564</v>
      </c>
      <c r="H48" s="51">
        <v>2438</v>
      </c>
      <c r="I48" s="45">
        <v>3353</v>
      </c>
      <c r="J48" s="52">
        <v>1</v>
      </c>
      <c r="K48" s="53">
        <f t="shared" si="0"/>
        <v>8.174614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6565</v>
      </c>
      <c r="B50" s="45" t="s">
        <v>6560</v>
      </c>
      <c r="C50" s="46">
        <v>24</v>
      </c>
      <c r="D50" s="47" t="s">
        <v>6566</v>
      </c>
      <c r="E50" s="48">
        <v>45</v>
      </c>
      <c r="F50" s="49">
        <v>56.59</v>
      </c>
      <c r="G50" s="50" t="s">
        <v>6567</v>
      </c>
      <c r="H50" s="51">
        <v>1981</v>
      </c>
      <c r="I50" s="45">
        <v>3353</v>
      </c>
      <c r="J50" s="52">
        <v>8</v>
      </c>
      <c r="K50" s="53">
        <f t="shared" si="0"/>
        <v>53.138344000000004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 t="s">
        <v>6567</v>
      </c>
      <c r="H51" s="51">
        <v>2438</v>
      </c>
      <c r="I51" s="45">
        <v>3353</v>
      </c>
      <c r="J51" s="52">
        <v>1</v>
      </c>
      <c r="K51" s="53">
        <f t="shared" si="0"/>
        <v>8.174614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 t="s">
        <v>6523</v>
      </c>
      <c r="H52" s="51">
        <v>1981</v>
      </c>
      <c r="I52" s="45">
        <v>3353</v>
      </c>
      <c r="J52" s="52">
        <v>8</v>
      </c>
      <c r="K52" s="53">
        <f t="shared" si="0"/>
        <v>53.138344000000004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 t="s">
        <v>6523</v>
      </c>
      <c r="H53" s="51">
        <v>2438</v>
      </c>
      <c r="I53" s="45">
        <v>3353</v>
      </c>
      <c r="J53" s="52">
        <v>1</v>
      </c>
      <c r="K53" s="53">
        <f t="shared" si="0"/>
        <v>8.174614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6568</v>
      </c>
      <c r="B55" s="45" t="s">
        <v>6569</v>
      </c>
      <c r="C55" s="46">
        <v>26</v>
      </c>
      <c r="D55" s="47" t="s">
        <v>6570</v>
      </c>
      <c r="E55" s="48">
        <v>1</v>
      </c>
      <c r="F55" s="49">
        <v>5.99</v>
      </c>
      <c r="G55" s="50" t="s">
        <v>6571</v>
      </c>
      <c r="H55" s="51">
        <v>2438</v>
      </c>
      <c r="I55" s="45">
        <v>3353</v>
      </c>
      <c r="J55" s="52">
        <v>1</v>
      </c>
      <c r="K55" s="53">
        <f t="shared" si="0"/>
        <v>8.174614</v>
      </c>
      <c r="L55" s="54" t="s">
        <v>6572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 t="s">
        <v>6523</v>
      </c>
      <c r="H56" s="51">
        <v>2438</v>
      </c>
      <c r="I56" s="45">
        <v>3353</v>
      </c>
      <c r="J56" s="52">
        <v>1</v>
      </c>
      <c r="K56" s="53">
        <f t="shared" si="0"/>
        <v>8.174614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6573</v>
      </c>
      <c r="B58" s="45" t="s">
        <v>6521</v>
      </c>
      <c r="C58" s="46">
        <v>43</v>
      </c>
      <c r="D58" s="47" t="s">
        <v>6574</v>
      </c>
      <c r="E58" s="48">
        <v>25</v>
      </c>
      <c r="F58" s="49">
        <v>35.29</v>
      </c>
      <c r="G58" s="50" t="s">
        <v>6575</v>
      </c>
      <c r="H58" s="51">
        <v>2438</v>
      </c>
      <c r="I58" s="45">
        <v>3353</v>
      </c>
      <c r="J58" s="52">
        <v>11</v>
      </c>
      <c r="K58" s="53">
        <f t="shared" si="0"/>
        <v>89.920754000000002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 t="s">
        <v>6523</v>
      </c>
      <c r="H59" s="51">
        <v>2438</v>
      </c>
      <c r="I59" s="45">
        <v>3353</v>
      </c>
      <c r="J59" s="52">
        <v>5</v>
      </c>
      <c r="K59" s="53">
        <f t="shared" si="0"/>
        <v>40.873069999999998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6513</v>
      </c>
      <c r="B61" s="45" t="s">
        <v>4816</v>
      </c>
      <c r="C61" s="46">
        <v>24</v>
      </c>
      <c r="D61" s="47" t="s">
        <v>6514</v>
      </c>
      <c r="E61" s="48">
        <v>43</v>
      </c>
      <c r="F61" s="49">
        <v>55.41</v>
      </c>
      <c r="G61" s="50" t="s">
        <v>6523</v>
      </c>
      <c r="H61" s="51">
        <v>2134</v>
      </c>
      <c r="I61" s="45">
        <v>3353</v>
      </c>
      <c r="J61" s="52">
        <v>9</v>
      </c>
      <c r="K61" s="53">
        <f t="shared" si="0"/>
        <v>64.397717999999998</v>
      </c>
      <c r="L61" s="54" t="s">
        <v>6578</v>
      </c>
    </row>
    <row r="62" spans="1:12" s="55" customFormat="1" ht="19.5" customHeight="1" x14ac:dyDescent="0.3">
      <c r="A62" s="44"/>
      <c r="B62" s="45"/>
      <c r="C62" s="46">
        <v>43</v>
      </c>
      <c r="D62" s="47" t="s">
        <v>6576</v>
      </c>
      <c r="E62" s="48">
        <v>1</v>
      </c>
      <c r="F62" s="49">
        <v>4.01</v>
      </c>
      <c r="G62" s="50" t="s">
        <v>6523</v>
      </c>
      <c r="H62" s="51">
        <v>1981</v>
      </c>
      <c r="I62" s="45">
        <v>3353</v>
      </c>
      <c r="J62" s="52">
        <v>1</v>
      </c>
      <c r="K62" s="53">
        <f t="shared" si="0"/>
        <v>6.6422930000000004</v>
      </c>
      <c r="L62" s="54" t="s">
        <v>6579</v>
      </c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 t="s">
        <v>6577</v>
      </c>
      <c r="H63" s="51">
        <v>2134</v>
      </c>
      <c r="I63" s="45">
        <v>3353</v>
      </c>
      <c r="J63" s="52">
        <v>1</v>
      </c>
      <c r="K63" s="53">
        <f t="shared" si="0"/>
        <v>7.1553019999999998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 t="s">
        <v>6538</v>
      </c>
      <c r="H64" s="51">
        <v>1981</v>
      </c>
      <c r="I64" s="45">
        <v>3353</v>
      </c>
      <c r="J64" s="52">
        <v>1</v>
      </c>
      <c r="K64" s="53">
        <f t="shared" si="0"/>
        <v>6.6422930000000004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6580</v>
      </c>
      <c r="B66" s="45" t="s">
        <v>6581</v>
      </c>
      <c r="C66" s="46">
        <v>25.76</v>
      </c>
      <c r="D66" s="47" t="s">
        <v>6582</v>
      </c>
      <c r="E66" s="48">
        <v>56</v>
      </c>
      <c r="F66" s="49">
        <v>26.72</v>
      </c>
      <c r="G66" s="50" t="s">
        <v>6523</v>
      </c>
      <c r="H66" s="51">
        <v>1981</v>
      </c>
      <c r="I66" s="45">
        <v>3353</v>
      </c>
      <c r="J66" s="52">
        <v>8</v>
      </c>
      <c r="K66" s="53">
        <f t="shared" si="0"/>
        <v>53.138344000000004</v>
      </c>
      <c r="L66" s="54" t="s">
        <v>6585</v>
      </c>
    </row>
    <row r="67" spans="1:12" s="55" customFormat="1" ht="19.5" customHeight="1" x14ac:dyDescent="0.3">
      <c r="A67" s="44"/>
      <c r="B67" s="45"/>
      <c r="C67" s="46">
        <v>22</v>
      </c>
      <c r="D67" s="47" t="s">
        <v>6553</v>
      </c>
      <c r="E67" s="48">
        <v>16</v>
      </c>
      <c r="F67" s="49">
        <v>22.56</v>
      </c>
      <c r="G67" s="50" t="s">
        <v>6557</v>
      </c>
      <c r="H67" s="51">
        <v>1981</v>
      </c>
      <c r="I67" s="45">
        <v>3353</v>
      </c>
      <c r="J67" s="52">
        <v>8</v>
      </c>
      <c r="K67" s="53">
        <f t="shared" si="0"/>
        <v>53.138344000000004</v>
      </c>
      <c r="L67" s="54" t="s">
        <v>6585</v>
      </c>
    </row>
    <row r="68" spans="1:12" s="55" customFormat="1" ht="19.5" customHeight="1" x14ac:dyDescent="0.3">
      <c r="A68" s="44"/>
      <c r="B68" s="45"/>
      <c r="C68" s="46">
        <v>46.76</v>
      </c>
      <c r="D68" s="47" t="s">
        <v>6583</v>
      </c>
      <c r="E68" s="48">
        <v>8</v>
      </c>
      <c r="F68" s="49">
        <v>3.2</v>
      </c>
      <c r="G68" s="50" t="s">
        <v>6557</v>
      </c>
      <c r="H68" s="51">
        <v>2134</v>
      </c>
      <c r="I68" s="45">
        <v>3048</v>
      </c>
      <c r="J68" s="52">
        <v>9</v>
      </c>
      <c r="K68" s="53">
        <f t="shared" si="0"/>
        <v>58.539887999999998</v>
      </c>
      <c r="L68" s="54" t="s">
        <v>6585</v>
      </c>
    </row>
    <row r="69" spans="1:12" s="55" customFormat="1" ht="19.5" customHeight="1" x14ac:dyDescent="0.3">
      <c r="A69" s="44" t="s">
        <v>6584</v>
      </c>
      <c r="B69" s="45" t="s">
        <v>6581</v>
      </c>
      <c r="C69" s="46">
        <v>25.76</v>
      </c>
      <c r="D69" s="47" t="s">
        <v>6582</v>
      </c>
      <c r="E69" s="48">
        <v>56</v>
      </c>
      <c r="F69" s="49">
        <v>33.28</v>
      </c>
      <c r="G69" s="50" t="s">
        <v>6577</v>
      </c>
      <c r="H69" s="51">
        <v>2134</v>
      </c>
      <c r="I69" s="45">
        <v>3353</v>
      </c>
      <c r="J69" s="52">
        <v>2</v>
      </c>
      <c r="K69" s="53">
        <f t="shared" si="0"/>
        <v>14.310604</v>
      </c>
      <c r="L69" s="54" t="s">
        <v>6585</v>
      </c>
    </row>
    <row r="70" spans="1:12" s="55" customFormat="1" ht="19.5" customHeight="1" x14ac:dyDescent="0.3">
      <c r="A70" s="44"/>
      <c r="B70" s="45"/>
      <c r="C70" s="46">
        <v>22</v>
      </c>
      <c r="D70" s="47" t="s">
        <v>6553</v>
      </c>
      <c r="E70" s="48">
        <v>24</v>
      </c>
      <c r="F70" s="49">
        <v>26.4</v>
      </c>
      <c r="G70" s="50"/>
      <c r="H70" s="51"/>
      <c r="I70" s="45"/>
      <c r="J70" s="52"/>
      <c r="K70" s="53">
        <f t="shared" si="0"/>
        <v>0</v>
      </c>
      <c r="L70" s="54" t="s">
        <v>6585</v>
      </c>
    </row>
    <row r="71" spans="1:12" s="55" customFormat="1" ht="19.5" customHeight="1" x14ac:dyDescent="0.3">
      <c r="A71" s="44"/>
      <c r="B71" s="45"/>
      <c r="C71" s="46">
        <v>46.76</v>
      </c>
      <c r="D71" s="47" t="s">
        <v>6583</v>
      </c>
      <c r="E71" s="48">
        <v>8</v>
      </c>
      <c r="F71" s="49">
        <v>3.6</v>
      </c>
      <c r="G71" s="50"/>
      <c r="H71" s="51"/>
      <c r="I71" s="45"/>
      <c r="J71" s="52"/>
      <c r="K71" s="53">
        <f t="shared" si="0"/>
        <v>0</v>
      </c>
      <c r="L71" s="54" t="s">
        <v>6585</v>
      </c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9" customFormat="1" ht="20.100000000000001" customHeight="1" x14ac:dyDescent="0.3">
      <c r="A78" s="44"/>
      <c r="B78" s="45"/>
      <c r="C78" s="46"/>
      <c r="D78" s="47"/>
      <c r="E78" s="56"/>
      <c r="F78" s="57"/>
      <c r="G78" s="50"/>
      <c r="H78" s="51"/>
      <c r="I78" s="45"/>
      <c r="J78" s="52"/>
      <c r="K78" s="53">
        <f t="shared" si="0"/>
        <v>0</v>
      </c>
      <c r="L78" s="58">
        <f>SUM(J37:J79)</f>
        <v>84</v>
      </c>
    </row>
    <row r="79" spans="1:12" s="59" customFormat="1" ht="20.100000000000001" customHeight="1" x14ac:dyDescent="0.3">
      <c r="A79" s="44"/>
      <c r="B79" s="45"/>
      <c r="C79" s="46"/>
      <c r="D79" s="47"/>
      <c r="E79" s="60"/>
      <c r="F79" s="61"/>
      <c r="G79" s="62"/>
      <c r="H79" s="51"/>
      <c r="I79" s="45"/>
      <c r="J79" s="63"/>
      <c r="K79" s="53">
        <f t="shared" si="0"/>
        <v>0</v>
      </c>
      <c r="L79" s="64">
        <f>SUM(K37:K79)</f>
        <v>598.11135400000001</v>
      </c>
    </row>
    <row r="80" spans="1:12" s="59" customFormat="1" ht="20.100000000000001" customHeight="1" thickBot="1" x14ac:dyDescent="0.35">
      <c r="A80" s="114"/>
      <c r="B80" s="115"/>
      <c r="C80" s="115"/>
      <c r="D80" s="115"/>
      <c r="E80" s="115"/>
      <c r="F80" s="115"/>
      <c r="G80" s="115"/>
      <c r="H80" s="115"/>
      <c r="I80" s="115"/>
      <c r="J80" s="65">
        <f>SUM(J7:J79)</f>
        <v>181</v>
      </c>
      <c r="K80" s="66">
        <f>SUM(K7:K79)</f>
        <v>1214.867023</v>
      </c>
      <c r="L80" s="67"/>
    </row>
    <row r="81" spans="1:12" s="59" customFormat="1" ht="20.100000000000001" customHeight="1" thickTop="1" thickBot="1" x14ac:dyDescent="0.35">
      <c r="A81" s="116" t="s">
        <v>52</v>
      </c>
      <c r="B81" s="117"/>
      <c r="C81" s="68"/>
      <c r="D81" s="118">
        <f>J80</f>
        <v>181</v>
      </c>
      <c r="E81" s="119"/>
      <c r="F81" s="119"/>
      <c r="G81" s="120"/>
      <c r="H81" s="121"/>
      <c r="I81" s="121"/>
      <c r="J81" s="122"/>
      <c r="K81" s="119"/>
      <c r="L81" s="123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71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72"/>
      <c r="F87" s="5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5"/>
      <c r="F88" s="5"/>
      <c r="G88" s="73"/>
      <c r="H88" s="5"/>
      <c r="I88" s="74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70"/>
      <c r="G92" s="5"/>
      <c r="H92" s="72"/>
      <c r="I92" s="72"/>
      <c r="J92" s="5"/>
      <c r="K92" s="5"/>
      <c r="L92" s="5"/>
    </row>
    <row r="93" spans="1:12" ht="20.100000000000001" customHeight="1" x14ac:dyDescent="0.3">
      <c r="A93" s="113"/>
      <c r="B93" s="113"/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H95" s="72"/>
      <c r="I95" s="72"/>
    </row>
    <row r="96" spans="1:12" ht="20.100000000000001" customHeight="1" x14ac:dyDescent="0.3">
      <c r="A96" s="113"/>
      <c r="B96" s="113"/>
      <c r="H96" s="72"/>
      <c r="I96" s="72"/>
    </row>
    <row r="97" spans="1:12" ht="20.100000000000001" customHeight="1" x14ac:dyDescent="0.3">
      <c r="A97" s="113"/>
      <c r="B97" s="113"/>
      <c r="H97" s="72"/>
      <c r="I97" s="72"/>
    </row>
    <row r="98" spans="1:12" ht="20.100000000000001" customHeight="1" x14ac:dyDescent="0.3"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s="72" customFormat="1" ht="20.100000000000001" customHeight="1" x14ac:dyDescent="0.3">
      <c r="A101" s="69"/>
      <c r="B101" s="5"/>
      <c r="C101" s="5"/>
      <c r="D101" s="5"/>
      <c r="E101" s="5"/>
      <c r="F101" s="70"/>
      <c r="G101" s="5"/>
      <c r="J101" s="5"/>
      <c r="K101" s="5"/>
      <c r="L101" s="5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5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5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5" customFormat="1" ht="19.5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ht="19.5" customHeight="1" x14ac:dyDescent="0.3"/>
    <row r="109" spans="1:12" ht="19.5" customHeight="1" x14ac:dyDescent="0.3"/>
    <row r="110" spans="1:12" ht="19.5" customHeight="1" x14ac:dyDescent="0.3"/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</sheetData>
  <mergeCells count="30">
    <mergeCell ref="A96:B96"/>
    <mergeCell ref="A97:B97"/>
    <mergeCell ref="A87:B87"/>
    <mergeCell ref="A88:B88"/>
    <mergeCell ref="A89:B89"/>
    <mergeCell ref="A91:B91"/>
    <mergeCell ref="A92:B92"/>
    <mergeCell ref="A93:B93"/>
    <mergeCell ref="A86:B8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0:I80"/>
    <mergeCell ref="A81:B81"/>
    <mergeCell ref="D81:G81"/>
    <mergeCell ref="H81:J81"/>
    <mergeCell ref="K81:L81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M165"/>
  <sheetViews>
    <sheetView view="pageBreakPreview" topLeftCell="A58" zoomScale="85" zoomScaleNormal="100" zoomScaleSheetLayoutView="85" workbookViewId="0">
      <selection activeCell="L72" sqref="L72:L7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46221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3" si="0">(H7/1000*I7/1000)*J7</f>
        <v>0</v>
      </c>
      <c r="L7" s="26">
        <f>SUM(J7:J30)</f>
        <v>183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SUM(K7:K30)</f>
        <v>1122.272571</v>
      </c>
    </row>
    <row r="9" spans="1:12" s="27" customFormat="1" ht="19.5" customHeight="1" x14ac:dyDescent="0.3">
      <c r="A9" s="28" t="s">
        <v>6465</v>
      </c>
      <c r="B9" s="16" t="s">
        <v>306</v>
      </c>
      <c r="C9" s="17">
        <v>22</v>
      </c>
      <c r="D9" s="18" t="s">
        <v>6510</v>
      </c>
      <c r="E9" s="41">
        <f>14+48</f>
        <v>62</v>
      </c>
      <c r="F9" s="42">
        <f>42.56+16.32</f>
        <v>58.88</v>
      </c>
      <c r="G9" s="34" t="s">
        <v>39</v>
      </c>
      <c r="H9" s="35">
        <v>1829</v>
      </c>
      <c r="I9" s="36">
        <v>3353</v>
      </c>
      <c r="J9" s="37">
        <v>10</v>
      </c>
      <c r="K9" s="85">
        <f t="shared" si="0"/>
        <v>61.326369999999997</v>
      </c>
      <c r="L9" s="39" t="s">
        <v>6511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/>
      <c r="B11" s="16"/>
      <c r="C11" s="17">
        <v>22</v>
      </c>
      <c r="D11" s="18" t="s">
        <v>320</v>
      </c>
      <c r="E11" s="41">
        <v>240</v>
      </c>
      <c r="F11" s="42">
        <v>195.36</v>
      </c>
      <c r="G11" s="34" t="s">
        <v>18</v>
      </c>
      <c r="H11" s="35">
        <v>1829</v>
      </c>
      <c r="I11" s="36">
        <v>3353</v>
      </c>
      <c r="J11" s="37">
        <v>34</v>
      </c>
      <c r="K11" s="85">
        <f t="shared" ref="K11:K12" si="1">(H11/1000*I11/1000)*J11</f>
        <v>208.509658</v>
      </c>
      <c r="L11" s="39" t="s">
        <v>321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6515</v>
      </c>
      <c r="H12" s="35">
        <v>1829</v>
      </c>
      <c r="I12" s="36">
        <v>3353</v>
      </c>
      <c r="J12" s="37">
        <v>34</v>
      </c>
      <c r="K12" s="85">
        <f t="shared" si="1"/>
        <v>208.509658</v>
      </c>
      <c r="L12" s="39" t="s">
        <v>321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 t="s">
        <v>6512</v>
      </c>
      <c r="B14" s="16" t="s">
        <v>306</v>
      </c>
      <c r="C14" s="17">
        <v>22</v>
      </c>
      <c r="D14" s="18" t="s">
        <v>6510</v>
      </c>
      <c r="E14" s="41">
        <v>220</v>
      </c>
      <c r="F14" s="42">
        <v>172.64</v>
      </c>
      <c r="G14" s="34" t="s">
        <v>108</v>
      </c>
      <c r="H14" s="35">
        <v>1829</v>
      </c>
      <c r="I14" s="36">
        <v>3353</v>
      </c>
      <c r="J14" s="37">
        <v>30</v>
      </c>
      <c r="K14" s="85">
        <f t="shared" si="0"/>
        <v>183.97910999999999</v>
      </c>
      <c r="L14" s="39" t="s">
        <v>321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39</v>
      </c>
      <c r="H15" s="35">
        <v>1829</v>
      </c>
      <c r="I15" s="36">
        <v>3353</v>
      </c>
      <c r="J15" s="37">
        <v>30</v>
      </c>
      <c r="K15" s="85">
        <f t="shared" si="0"/>
        <v>183.97910999999999</v>
      </c>
      <c r="L15" s="39" t="s">
        <v>321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3" s="27" customFormat="1" ht="19.5" customHeight="1" x14ac:dyDescent="0.3">
      <c r="A17" s="28"/>
      <c r="B17" s="16"/>
      <c r="C17" s="17">
        <v>22</v>
      </c>
      <c r="D17" s="18" t="s">
        <v>320</v>
      </c>
      <c r="E17" s="41">
        <v>220</v>
      </c>
      <c r="F17" s="42">
        <v>172.64</v>
      </c>
      <c r="G17" s="34" t="s">
        <v>18</v>
      </c>
      <c r="H17" s="35">
        <v>1829</v>
      </c>
      <c r="I17" s="36">
        <v>3353</v>
      </c>
      <c r="J17" s="37">
        <v>30</v>
      </c>
      <c r="K17" s="25">
        <f t="shared" si="0"/>
        <v>183.97910999999999</v>
      </c>
      <c r="L17" s="39" t="s">
        <v>321</v>
      </c>
    </row>
    <row r="18" spans="1:13" s="27" customFormat="1" ht="19.5" customHeight="1" x14ac:dyDescent="0.3">
      <c r="A18" s="28"/>
      <c r="B18" s="16"/>
      <c r="C18" s="17"/>
      <c r="D18" s="18"/>
      <c r="E18" s="41"/>
      <c r="F18" s="42"/>
      <c r="G18" s="34" t="s">
        <v>6515</v>
      </c>
      <c r="H18" s="35">
        <v>1829</v>
      </c>
      <c r="I18" s="36">
        <v>3353</v>
      </c>
      <c r="J18" s="37">
        <v>15</v>
      </c>
      <c r="K18" s="25">
        <f t="shared" si="0"/>
        <v>91.989554999999996</v>
      </c>
      <c r="L18" s="39" t="s">
        <v>6518</v>
      </c>
    </row>
    <row r="19" spans="1:13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85">
        <f t="shared" ref="K19:K22" si="2">(H19/1000*I19/1000)*J19</f>
        <v>0</v>
      </c>
      <c r="L19" s="39"/>
    </row>
    <row r="20" spans="1:13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2"/>
        <v>0</v>
      </c>
      <c r="L20" s="39"/>
    </row>
    <row r="21" spans="1:13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2"/>
        <v>0</v>
      </c>
      <c r="L21" s="39"/>
    </row>
    <row r="22" spans="1:13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2"/>
        <v>0</v>
      </c>
      <c r="L22" s="39"/>
    </row>
    <row r="23" spans="1:13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/>
      <c r="L23" s="39"/>
    </row>
    <row r="24" spans="1:13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ref="K24:K25" si="3">(H24/1000*I24/1000)*J24</f>
        <v>0</v>
      </c>
      <c r="L24" s="39"/>
    </row>
    <row r="25" spans="1:13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3"/>
        <v>0</v>
      </c>
      <c r="L25" s="39"/>
    </row>
    <row r="26" spans="1:13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/>
      <c r="L26" s="39"/>
    </row>
    <row r="27" spans="1:13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3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3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3" s="27" customFormat="1" ht="19.5" customHeight="1" x14ac:dyDescent="0.3">
      <c r="A30" s="28"/>
      <c r="B30" s="29"/>
      <c r="C30" s="30"/>
      <c r="D30" s="31"/>
      <c r="E30" s="41"/>
      <c r="F30" s="42"/>
      <c r="G30" s="43"/>
      <c r="H30" s="35"/>
      <c r="I30" s="36"/>
      <c r="J30" s="37"/>
      <c r="K30" s="25">
        <f t="shared" si="0"/>
        <v>0</v>
      </c>
      <c r="L30" s="39"/>
    </row>
    <row r="31" spans="1:13" s="55" customFormat="1" ht="19.5" customHeight="1" x14ac:dyDescent="0.3">
      <c r="A31" s="44" t="s">
        <v>6505</v>
      </c>
      <c r="B31" s="45" t="s">
        <v>6506</v>
      </c>
      <c r="C31" s="46">
        <v>24</v>
      </c>
      <c r="D31" s="47" t="s">
        <v>501</v>
      </c>
      <c r="E31" s="48">
        <v>144</v>
      </c>
      <c r="F31" s="49">
        <v>77.040000000000006</v>
      </c>
      <c r="G31" s="50" t="s">
        <v>105</v>
      </c>
      <c r="H31" s="51">
        <v>2438</v>
      </c>
      <c r="I31" s="45">
        <v>3353</v>
      </c>
      <c r="J31" s="52">
        <v>11</v>
      </c>
      <c r="K31" s="53">
        <f t="shared" si="0"/>
        <v>89.920754000000002</v>
      </c>
      <c r="L31" s="54"/>
      <c r="M31" s="27"/>
    </row>
    <row r="32" spans="1:13" s="55" customFormat="1" ht="19.5" customHeight="1" x14ac:dyDescent="0.3">
      <c r="A32" s="44"/>
      <c r="B32" s="45"/>
      <c r="C32" s="46"/>
      <c r="D32" s="47"/>
      <c r="E32" s="48"/>
      <c r="F32" s="49"/>
      <c r="G32" s="50" t="s">
        <v>18</v>
      </c>
      <c r="H32" s="51">
        <v>2438</v>
      </c>
      <c r="I32" s="45">
        <v>3353</v>
      </c>
      <c r="J32" s="52">
        <v>8</v>
      </c>
      <c r="K32" s="53">
        <f t="shared" si="0"/>
        <v>65.396912</v>
      </c>
      <c r="L32" s="54"/>
      <c r="M32" s="27"/>
    </row>
    <row r="33" spans="1:13" s="55" customFormat="1" ht="19.5" customHeight="1" x14ac:dyDescent="0.3">
      <c r="A33" s="44"/>
      <c r="B33" s="45"/>
      <c r="C33" s="46"/>
      <c r="D33" s="47"/>
      <c r="E33" s="48"/>
      <c r="F33" s="49"/>
      <c r="G33" s="50" t="s">
        <v>18</v>
      </c>
      <c r="H33" s="51">
        <v>2286</v>
      </c>
      <c r="I33" s="45">
        <v>3353</v>
      </c>
      <c r="J33" s="52">
        <v>3</v>
      </c>
      <c r="K33" s="53">
        <f t="shared" si="0"/>
        <v>22.994874000000003</v>
      </c>
      <c r="L33" s="54"/>
      <c r="M33" s="27"/>
    </row>
    <row r="34" spans="1:13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  <c r="M34" s="27"/>
    </row>
    <row r="35" spans="1:13" s="55" customFormat="1" ht="19.5" customHeight="1" x14ac:dyDescent="0.3">
      <c r="A35" s="44" t="s">
        <v>6507</v>
      </c>
      <c r="B35" s="45" t="s">
        <v>2456</v>
      </c>
      <c r="C35" s="46">
        <v>43</v>
      </c>
      <c r="D35" s="47" t="s">
        <v>6508</v>
      </c>
      <c r="E35" s="48">
        <v>44</v>
      </c>
      <c r="F35" s="49">
        <v>21.54</v>
      </c>
      <c r="G35" s="50" t="s">
        <v>27</v>
      </c>
      <c r="H35" s="51">
        <v>2438</v>
      </c>
      <c r="I35" s="45">
        <v>3353</v>
      </c>
      <c r="J35" s="52">
        <v>6</v>
      </c>
      <c r="K35" s="53">
        <f t="shared" si="0"/>
        <v>49.047684000000004</v>
      </c>
      <c r="L35" s="54"/>
      <c r="M35" s="27"/>
    </row>
    <row r="36" spans="1:13" s="55" customFormat="1" ht="19.5" customHeight="1" x14ac:dyDescent="0.3">
      <c r="A36" s="44"/>
      <c r="B36" s="45"/>
      <c r="C36" s="46"/>
      <c r="D36" s="47"/>
      <c r="E36" s="48"/>
      <c r="F36" s="49"/>
      <c r="G36" s="50" t="s">
        <v>108</v>
      </c>
      <c r="H36" s="51">
        <v>1981</v>
      </c>
      <c r="I36" s="45">
        <v>3353</v>
      </c>
      <c r="J36" s="52">
        <v>3</v>
      </c>
      <c r="K36" s="53">
        <f t="shared" si="0"/>
        <v>19.926879</v>
      </c>
      <c r="L36" s="54"/>
      <c r="M36" s="27"/>
    </row>
    <row r="37" spans="1:13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  <c r="M37" s="27"/>
    </row>
    <row r="38" spans="1:13" s="55" customFormat="1" ht="19.5" customHeight="1" x14ac:dyDescent="0.3">
      <c r="A38" s="44" t="s">
        <v>6509</v>
      </c>
      <c r="B38" s="45" t="s">
        <v>2456</v>
      </c>
      <c r="C38" s="46">
        <v>43</v>
      </c>
      <c r="D38" s="47" t="s">
        <v>6508</v>
      </c>
      <c r="E38" s="48">
        <v>40</v>
      </c>
      <c r="F38" s="49">
        <v>26.73</v>
      </c>
      <c r="G38" s="50" t="s">
        <v>27</v>
      </c>
      <c r="H38" s="51">
        <v>2438</v>
      </c>
      <c r="I38" s="45">
        <v>3353</v>
      </c>
      <c r="J38" s="52">
        <v>6</v>
      </c>
      <c r="K38" s="53">
        <f t="shared" si="0"/>
        <v>49.047684000000004</v>
      </c>
      <c r="L38" s="54"/>
      <c r="M38" s="27"/>
    </row>
    <row r="39" spans="1:13" s="55" customFormat="1" ht="19.5" customHeight="1" x14ac:dyDescent="0.3">
      <c r="A39" s="44"/>
      <c r="B39" s="45"/>
      <c r="C39" s="46"/>
      <c r="D39" s="47"/>
      <c r="E39" s="48"/>
      <c r="F39" s="49"/>
      <c r="G39" s="50" t="s">
        <v>108</v>
      </c>
      <c r="H39" s="51">
        <v>1981</v>
      </c>
      <c r="I39" s="45">
        <v>3353</v>
      </c>
      <c r="J39" s="52">
        <v>4</v>
      </c>
      <c r="K39" s="53">
        <f t="shared" si="0"/>
        <v>26.569172000000002</v>
      </c>
      <c r="L39" s="54"/>
      <c r="M39" s="27"/>
    </row>
    <row r="40" spans="1:13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  <c r="M40" s="27"/>
    </row>
    <row r="41" spans="1:13" s="55" customFormat="1" ht="19.5" customHeight="1" x14ac:dyDescent="0.3">
      <c r="A41" s="44" t="s">
        <v>6513</v>
      </c>
      <c r="B41" s="45" t="s">
        <v>4816</v>
      </c>
      <c r="C41" s="46">
        <v>24</v>
      </c>
      <c r="D41" s="47" t="s">
        <v>6514</v>
      </c>
      <c r="E41" s="48">
        <v>43</v>
      </c>
      <c r="F41" s="49">
        <v>55.41</v>
      </c>
      <c r="G41" s="50" t="s">
        <v>6516</v>
      </c>
      <c r="H41" s="51">
        <v>2134</v>
      </c>
      <c r="I41" s="45">
        <v>3353</v>
      </c>
      <c r="J41" s="52">
        <v>9</v>
      </c>
      <c r="K41" s="53">
        <f t="shared" si="0"/>
        <v>64.397717999999998</v>
      </c>
      <c r="L41" s="54" t="s">
        <v>106</v>
      </c>
      <c r="M41" s="27"/>
    </row>
    <row r="42" spans="1:13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  <c r="M42" s="27"/>
    </row>
    <row r="43" spans="1:13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  <c r="M43" s="27"/>
    </row>
    <row r="44" spans="1:13" s="55" customFormat="1" ht="19.5" customHeight="1" x14ac:dyDescent="0.3">
      <c r="A44" s="44"/>
      <c r="B44" s="45"/>
      <c r="C44" s="46">
        <v>43</v>
      </c>
      <c r="D44" s="47" t="s">
        <v>6517</v>
      </c>
      <c r="E44" s="48">
        <v>1</v>
      </c>
      <c r="F44" s="49">
        <v>4.01</v>
      </c>
      <c r="G44" s="50" t="s">
        <v>6516</v>
      </c>
      <c r="H44" s="51">
        <v>2134</v>
      </c>
      <c r="I44" s="45">
        <v>3353</v>
      </c>
      <c r="J44" s="52">
        <v>1</v>
      </c>
      <c r="K44" s="53">
        <f t="shared" si="0"/>
        <v>7.1553019999999998</v>
      </c>
      <c r="L44" s="54" t="s">
        <v>106</v>
      </c>
      <c r="M44" s="27"/>
    </row>
    <row r="45" spans="1:13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  <c r="M45" s="27"/>
    </row>
    <row r="46" spans="1:13" s="55" customFormat="1" ht="19.5" customHeight="1" x14ac:dyDescent="0.3">
      <c r="A46" s="44" t="s">
        <v>6519</v>
      </c>
      <c r="B46" s="45" t="s">
        <v>4816</v>
      </c>
      <c r="C46" s="46">
        <v>24</v>
      </c>
      <c r="D46" s="47" t="s">
        <v>6514</v>
      </c>
      <c r="E46" s="48">
        <v>109</v>
      </c>
      <c r="F46" s="49">
        <v>132.80000000000001</v>
      </c>
      <c r="G46" s="50" t="s">
        <v>6516</v>
      </c>
      <c r="H46" s="51">
        <v>2134</v>
      </c>
      <c r="I46" s="45">
        <v>3353</v>
      </c>
      <c r="J46" s="52">
        <v>20</v>
      </c>
      <c r="K46" s="53">
        <f t="shared" si="0"/>
        <v>143.10604000000001</v>
      </c>
      <c r="L46" s="54"/>
      <c r="M46" s="27"/>
    </row>
    <row r="47" spans="1:13" s="55" customFormat="1" ht="19.5" customHeight="1" x14ac:dyDescent="0.3">
      <c r="A47" s="44"/>
      <c r="B47" s="45"/>
      <c r="C47" s="46"/>
      <c r="D47" s="47"/>
      <c r="E47" s="48"/>
      <c r="F47" s="49"/>
      <c r="G47" s="50" t="s">
        <v>18</v>
      </c>
      <c r="H47" s="51">
        <v>2438</v>
      </c>
      <c r="I47" s="45">
        <v>3353</v>
      </c>
      <c r="J47" s="52">
        <v>5</v>
      </c>
      <c r="K47" s="53">
        <f t="shared" si="0"/>
        <v>40.873069999999998</v>
      </c>
      <c r="L47" s="54"/>
    </row>
    <row r="48" spans="1:13" s="55" customFormat="1" ht="19.5" customHeight="1" x14ac:dyDescent="0.3">
      <c r="A48" s="44"/>
      <c r="B48" s="45"/>
      <c r="C48" s="46"/>
      <c r="D48" s="47"/>
      <c r="E48" s="48"/>
      <c r="F48" s="49"/>
      <c r="G48" s="50" t="s">
        <v>18</v>
      </c>
      <c r="H48" s="51">
        <v>1981</v>
      </c>
      <c r="I48" s="45">
        <v>3353</v>
      </c>
      <c r="J48" s="52">
        <v>15</v>
      </c>
      <c r="K48" s="53">
        <f t="shared" si="0"/>
        <v>99.634395000000012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18</v>
      </c>
      <c r="H49" s="51">
        <v>2134</v>
      </c>
      <c r="I49" s="45">
        <v>3353</v>
      </c>
      <c r="J49" s="52">
        <v>1</v>
      </c>
      <c r="K49" s="53">
        <f t="shared" si="0"/>
        <v>7.1553019999999998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/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/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/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/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/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/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/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9" customFormat="1" ht="20.100000000000001" customHeight="1" x14ac:dyDescent="0.3">
      <c r="A72" s="44"/>
      <c r="B72" s="45"/>
      <c r="C72" s="46"/>
      <c r="D72" s="47"/>
      <c r="E72" s="56"/>
      <c r="F72" s="57"/>
      <c r="G72" s="50"/>
      <c r="H72" s="51"/>
      <c r="I72" s="45"/>
      <c r="J72" s="52"/>
      <c r="K72" s="53">
        <f t="shared" si="0"/>
        <v>0</v>
      </c>
      <c r="L72" s="58">
        <f>SUM(J31:J73)</f>
        <v>92</v>
      </c>
    </row>
    <row r="73" spans="1:12" s="59" customFormat="1" ht="20.100000000000001" customHeight="1" x14ac:dyDescent="0.3">
      <c r="A73" s="44"/>
      <c r="B73" s="45"/>
      <c r="C73" s="46"/>
      <c r="D73" s="47"/>
      <c r="E73" s="60"/>
      <c r="F73" s="61"/>
      <c r="G73" s="62"/>
      <c r="H73" s="51"/>
      <c r="I73" s="45"/>
      <c r="J73" s="63"/>
      <c r="K73" s="53">
        <f t="shared" si="0"/>
        <v>0</v>
      </c>
      <c r="L73" s="64">
        <f>SUM(K31:K73)</f>
        <v>685.22578599999997</v>
      </c>
    </row>
    <row r="74" spans="1:12" s="59" customFormat="1" ht="20.100000000000001" customHeight="1" thickBot="1" x14ac:dyDescent="0.35">
      <c r="A74" s="114"/>
      <c r="B74" s="115"/>
      <c r="C74" s="115"/>
      <c r="D74" s="115"/>
      <c r="E74" s="115"/>
      <c r="F74" s="115"/>
      <c r="G74" s="115"/>
      <c r="H74" s="115"/>
      <c r="I74" s="115"/>
      <c r="J74" s="65">
        <f>SUM(J7:J73)</f>
        <v>275</v>
      </c>
      <c r="K74" s="66">
        <f>SUM(K7:K73)</f>
        <v>1807.4983570000002</v>
      </c>
      <c r="L74" s="67"/>
    </row>
    <row r="75" spans="1:12" s="59" customFormat="1" ht="20.100000000000001" customHeight="1" thickTop="1" thickBot="1" x14ac:dyDescent="0.35">
      <c r="A75" s="116" t="s">
        <v>52</v>
      </c>
      <c r="B75" s="117"/>
      <c r="C75" s="68"/>
      <c r="D75" s="118">
        <f>J74</f>
        <v>275</v>
      </c>
      <c r="E75" s="119"/>
      <c r="F75" s="119"/>
      <c r="G75" s="120"/>
      <c r="H75" s="121"/>
      <c r="I75" s="121"/>
      <c r="J75" s="122"/>
      <c r="K75" s="119"/>
      <c r="L75" s="123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71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72"/>
      <c r="F81" s="5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5"/>
      <c r="G82" s="73"/>
      <c r="H82" s="5"/>
      <c r="I82" s="74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72"/>
      <c r="I86" s="72"/>
      <c r="J86" s="5"/>
      <c r="K86" s="5"/>
      <c r="L86" s="5"/>
    </row>
    <row r="87" spans="1:12" ht="20.100000000000001" customHeight="1" x14ac:dyDescent="0.3">
      <c r="A87" s="113"/>
      <c r="B87" s="113"/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H89" s="72"/>
      <c r="I89" s="72"/>
    </row>
    <row r="90" spans="1:12" ht="20.100000000000001" customHeight="1" x14ac:dyDescent="0.3">
      <c r="A90" s="113"/>
      <c r="B90" s="113"/>
      <c r="H90" s="72"/>
      <c r="I90" s="72"/>
    </row>
    <row r="91" spans="1:12" ht="20.100000000000001" customHeight="1" x14ac:dyDescent="0.3">
      <c r="A91" s="113"/>
      <c r="B91" s="113"/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H94" s="72"/>
      <c r="I94" s="72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J95" s="5"/>
      <c r="K95" s="5"/>
      <c r="L95" s="5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5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5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5" customFormat="1" ht="19.5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2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2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ht="19.5" customHeight="1" x14ac:dyDescent="0.3"/>
    <row r="103" spans="1:12" ht="19.5" customHeight="1" x14ac:dyDescent="0.3"/>
    <row r="104" spans="1:12" ht="19.5" customHeight="1" x14ac:dyDescent="0.3"/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</sheetData>
  <mergeCells count="30">
    <mergeCell ref="A90:B90"/>
    <mergeCell ref="A91:B91"/>
    <mergeCell ref="A81:B81"/>
    <mergeCell ref="A82:B82"/>
    <mergeCell ref="A83:B83"/>
    <mergeCell ref="A85:B85"/>
    <mergeCell ref="A86:B86"/>
    <mergeCell ref="A87:B87"/>
    <mergeCell ref="A80:B8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4:I74"/>
    <mergeCell ref="A75:B75"/>
    <mergeCell ref="D75:G75"/>
    <mergeCell ref="H75:J75"/>
    <mergeCell ref="K75:L75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L168"/>
  <sheetViews>
    <sheetView view="pageBreakPreview" topLeftCell="A67" zoomScale="85" zoomScaleNormal="100" zoomScaleSheetLayoutView="85" workbookViewId="0">
      <selection activeCell="L75" sqref="L75:L76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46220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6" si="0">(H7/1000*I7/1000)*J7</f>
        <v>0</v>
      </c>
      <c r="L7" s="26">
        <f>SUM(J7:J33)</f>
        <v>169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SUM(K7:K33)</f>
        <v>1036.415653</v>
      </c>
    </row>
    <row r="9" spans="1:12" s="27" customFormat="1" ht="19.5" customHeight="1" x14ac:dyDescent="0.3">
      <c r="A9" s="28" t="s">
        <v>6460</v>
      </c>
      <c r="B9" s="16" t="s">
        <v>306</v>
      </c>
      <c r="C9" s="17">
        <v>22</v>
      </c>
      <c r="D9" s="18" t="s">
        <v>307</v>
      </c>
      <c r="E9" s="41">
        <v>78</v>
      </c>
      <c r="F9" s="42">
        <v>66.959999999999994</v>
      </c>
      <c r="G9" s="34" t="s">
        <v>49</v>
      </c>
      <c r="H9" s="35">
        <v>1829</v>
      </c>
      <c r="I9" s="36">
        <v>3353</v>
      </c>
      <c r="J9" s="37">
        <v>12</v>
      </c>
      <c r="K9" s="85">
        <f t="shared" ref="K9:K11" si="1">(H9/1000*I9/1000)*J9</f>
        <v>73.591644000000002</v>
      </c>
      <c r="L9" s="39" t="s">
        <v>321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6462</v>
      </c>
      <c r="H10" s="35">
        <v>1829</v>
      </c>
      <c r="I10" s="36">
        <v>3353</v>
      </c>
      <c r="J10" s="37">
        <v>11</v>
      </c>
      <c r="K10" s="85">
        <f t="shared" si="1"/>
        <v>67.459007</v>
      </c>
      <c r="L10" s="39"/>
    </row>
    <row r="11" spans="1:12" s="27" customFormat="1" ht="19.5" customHeight="1" x14ac:dyDescent="0.3">
      <c r="A11" s="28"/>
      <c r="B11" s="16"/>
      <c r="C11" s="17">
        <v>22</v>
      </c>
      <c r="D11" s="18" t="s">
        <v>320</v>
      </c>
      <c r="E11" s="41">
        <v>78</v>
      </c>
      <c r="F11" s="42">
        <v>66.959999999999994</v>
      </c>
      <c r="G11" s="34" t="s">
        <v>6463</v>
      </c>
      <c r="H11" s="35">
        <v>1829</v>
      </c>
      <c r="I11" s="36">
        <v>3353</v>
      </c>
      <c r="J11" s="37">
        <v>11</v>
      </c>
      <c r="K11" s="85">
        <f t="shared" si="1"/>
        <v>67.459007</v>
      </c>
      <c r="L11" s="39" t="s">
        <v>321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1798</v>
      </c>
      <c r="H12" s="35">
        <v>1829</v>
      </c>
      <c r="I12" s="36">
        <v>3353</v>
      </c>
      <c r="J12" s="37">
        <v>11</v>
      </c>
      <c r="K12" s="25">
        <f t="shared" si="0"/>
        <v>67.459007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 t="s">
        <v>6461</v>
      </c>
      <c r="B14" s="16" t="s">
        <v>306</v>
      </c>
      <c r="C14" s="17">
        <v>22</v>
      </c>
      <c r="D14" s="18" t="s">
        <v>307</v>
      </c>
      <c r="E14" s="41">
        <v>64</v>
      </c>
      <c r="F14" s="42">
        <v>48.72</v>
      </c>
      <c r="G14" s="34" t="s">
        <v>49</v>
      </c>
      <c r="H14" s="35">
        <v>1829</v>
      </c>
      <c r="I14" s="36">
        <v>3353</v>
      </c>
      <c r="J14" s="37">
        <v>9</v>
      </c>
      <c r="K14" s="85">
        <f t="shared" si="0"/>
        <v>55.193733000000002</v>
      </c>
      <c r="L14" s="39" t="s">
        <v>321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6463</v>
      </c>
      <c r="H15" s="35">
        <v>1829</v>
      </c>
      <c r="I15" s="36">
        <v>3353</v>
      </c>
      <c r="J15" s="37">
        <v>8</v>
      </c>
      <c r="K15" s="85">
        <f t="shared" si="0"/>
        <v>49.061095999999999</v>
      </c>
      <c r="L15" s="39"/>
    </row>
    <row r="16" spans="1:12" s="27" customFormat="1" ht="19.5" customHeight="1" x14ac:dyDescent="0.3">
      <c r="A16" s="28"/>
      <c r="B16" s="16"/>
      <c r="C16" s="17">
        <v>22</v>
      </c>
      <c r="D16" s="18" t="s">
        <v>320</v>
      </c>
      <c r="E16" s="41">
        <v>64</v>
      </c>
      <c r="F16" s="42">
        <v>48.72</v>
      </c>
      <c r="G16" s="34" t="s">
        <v>6463</v>
      </c>
      <c r="H16" s="35">
        <v>1829</v>
      </c>
      <c r="I16" s="36">
        <v>3353</v>
      </c>
      <c r="J16" s="37">
        <v>8</v>
      </c>
      <c r="K16" s="85">
        <f t="shared" si="0"/>
        <v>49.061095999999999</v>
      </c>
      <c r="L16" s="39" t="s">
        <v>321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 t="s">
        <v>1798</v>
      </c>
      <c r="H17" s="35">
        <v>1829</v>
      </c>
      <c r="I17" s="36">
        <v>3353</v>
      </c>
      <c r="J17" s="37">
        <v>9</v>
      </c>
      <c r="K17" s="25">
        <f t="shared" ref="K17" si="2">(H17/1000*I17/1000)*J17</f>
        <v>55.193733000000002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/>
      <c r="L18" s="39"/>
    </row>
    <row r="19" spans="1:12" s="27" customFormat="1" ht="19.5" customHeight="1" x14ac:dyDescent="0.3">
      <c r="A19" s="28" t="s">
        <v>6464</v>
      </c>
      <c r="B19" s="16" t="s">
        <v>306</v>
      </c>
      <c r="C19" s="17">
        <v>22</v>
      </c>
      <c r="D19" s="18" t="s">
        <v>307</v>
      </c>
      <c r="E19" s="41">
        <v>60</v>
      </c>
      <c r="F19" s="42">
        <v>47.36</v>
      </c>
      <c r="G19" s="34" t="s">
        <v>49</v>
      </c>
      <c r="H19" s="35">
        <v>1829</v>
      </c>
      <c r="I19" s="36">
        <v>3353</v>
      </c>
      <c r="J19" s="37">
        <v>8</v>
      </c>
      <c r="K19" s="85">
        <f t="shared" ref="K19:K22" si="3">(H19/1000*I19/1000)*J19</f>
        <v>49.061095999999999</v>
      </c>
      <c r="L19" s="39" t="s">
        <v>321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 t="s">
        <v>6463</v>
      </c>
      <c r="H20" s="35">
        <v>1829</v>
      </c>
      <c r="I20" s="36">
        <v>3353</v>
      </c>
      <c r="J20" s="37">
        <v>8</v>
      </c>
      <c r="K20" s="85">
        <f t="shared" si="3"/>
        <v>49.061095999999999</v>
      </c>
      <c r="L20" s="39"/>
    </row>
    <row r="21" spans="1:12" s="27" customFormat="1" ht="19.5" customHeight="1" x14ac:dyDescent="0.3">
      <c r="A21" s="28"/>
      <c r="B21" s="16"/>
      <c r="C21" s="17">
        <v>22</v>
      </c>
      <c r="D21" s="18" t="s">
        <v>320</v>
      </c>
      <c r="E21" s="41">
        <v>60</v>
      </c>
      <c r="F21" s="42">
        <v>47.36</v>
      </c>
      <c r="G21" s="34" t="s">
        <v>6463</v>
      </c>
      <c r="H21" s="35">
        <v>1829</v>
      </c>
      <c r="I21" s="36">
        <v>3353</v>
      </c>
      <c r="J21" s="37">
        <v>8</v>
      </c>
      <c r="K21" s="85">
        <f t="shared" si="3"/>
        <v>49.061095999999999</v>
      </c>
      <c r="L21" s="39" t="s">
        <v>321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 t="s">
        <v>1798</v>
      </c>
      <c r="H22" s="35">
        <v>1829</v>
      </c>
      <c r="I22" s="36">
        <v>3353</v>
      </c>
      <c r="J22" s="37">
        <v>8</v>
      </c>
      <c r="K22" s="25">
        <f t="shared" si="3"/>
        <v>49.061095999999999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/>
      <c r="L23" s="39"/>
    </row>
    <row r="24" spans="1:12" s="27" customFormat="1" ht="19.5" customHeight="1" x14ac:dyDescent="0.3">
      <c r="A24" s="28" t="s">
        <v>6465</v>
      </c>
      <c r="B24" s="16" t="s">
        <v>306</v>
      </c>
      <c r="C24" s="17">
        <v>22</v>
      </c>
      <c r="D24" s="18" t="s">
        <v>307</v>
      </c>
      <c r="E24" s="41">
        <v>240</v>
      </c>
      <c r="F24" s="42">
        <v>195.36</v>
      </c>
      <c r="G24" s="34" t="s">
        <v>49</v>
      </c>
      <c r="H24" s="35">
        <v>1829</v>
      </c>
      <c r="I24" s="36">
        <v>3353</v>
      </c>
      <c r="J24" s="37">
        <v>34</v>
      </c>
      <c r="K24" s="85">
        <f t="shared" ref="K24:K26" si="4">(H24/1000*I24/1000)*J24</f>
        <v>208.509658</v>
      </c>
      <c r="L24" s="39" t="s">
        <v>465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4"/>
        <v>0</v>
      </c>
      <c r="L25" s="39"/>
    </row>
    <row r="26" spans="1:12" s="27" customFormat="1" ht="19.5" customHeight="1" x14ac:dyDescent="0.3">
      <c r="A26" s="28" t="s">
        <v>6465</v>
      </c>
      <c r="B26" s="16" t="s">
        <v>306</v>
      </c>
      <c r="C26" s="17">
        <v>22</v>
      </c>
      <c r="D26" s="18" t="s">
        <v>307</v>
      </c>
      <c r="E26" s="41">
        <v>178</v>
      </c>
      <c r="F26" s="42">
        <v>136.47999999999999</v>
      </c>
      <c r="G26" s="34" t="s">
        <v>39</v>
      </c>
      <c r="H26" s="35">
        <v>1829</v>
      </c>
      <c r="I26" s="36">
        <v>3353</v>
      </c>
      <c r="J26" s="37">
        <v>24</v>
      </c>
      <c r="K26" s="85">
        <f t="shared" si="4"/>
        <v>147.183288</v>
      </c>
      <c r="L26" s="39" t="s">
        <v>7201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/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/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85"/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29"/>
      <c r="C33" s="30"/>
      <c r="D33" s="31"/>
      <c r="E33" s="41"/>
      <c r="F33" s="42"/>
      <c r="G33" s="43"/>
      <c r="H33" s="35"/>
      <c r="I33" s="36"/>
      <c r="J33" s="37"/>
      <c r="K33" s="25">
        <f t="shared" si="0"/>
        <v>0</v>
      </c>
      <c r="L33" s="39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6466</v>
      </c>
      <c r="B35" s="45" t="s">
        <v>6467</v>
      </c>
      <c r="C35" s="46">
        <v>22</v>
      </c>
      <c r="D35" s="47" t="s">
        <v>5625</v>
      </c>
      <c r="E35" s="48">
        <v>515</v>
      </c>
      <c r="F35" s="49">
        <v>638.6</v>
      </c>
      <c r="G35" s="50" t="s">
        <v>6468</v>
      </c>
      <c r="H35" s="51">
        <v>1981</v>
      </c>
      <c r="I35" s="45">
        <v>3353</v>
      </c>
      <c r="J35" s="52">
        <v>103</v>
      </c>
      <c r="K35" s="53">
        <f t="shared" si="0"/>
        <v>684.15617900000007</v>
      </c>
      <c r="L35" s="54" t="s">
        <v>6469</v>
      </c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6470</v>
      </c>
      <c r="B37" s="45" t="s">
        <v>6471</v>
      </c>
      <c r="C37" s="46">
        <v>22</v>
      </c>
      <c r="D37" s="47" t="s">
        <v>6472</v>
      </c>
      <c r="E37" s="48">
        <v>20</v>
      </c>
      <c r="F37" s="49">
        <v>11.09</v>
      </c>
      <c r="G37" s="50" t="s">
        <v>6473</v>
      </c>
      <c r="H37" s="51">
        <v>1981</v>
      </c>
      <c r="I37" s="45">
        <v>3353</v>
      </c>
      <c r="J37" s="52">
        <v>2</v>
      </c>
      <c r="K37" s="53">
        <f t="shared" si="0"/>
        <v>13.284586000000001</v>
      </c>
      <c r="L37" s="54" t="s">
        <v>6480</v>
      </c>
    </row>
    <row r="38" spans="1:12" s="55" customFormat="1" ht="19.5" customHeight="1" x14ac:dyDescent="0.3">
      <c r="A38" s="44"/>
      <c r="B38" s="45"/>
      <c r="C38" s="46">
        <v>22</v>
      </c>
      <c r="D38" s="47" t="s">
        <v>6475</v>
      </c>
      <c r="E38" s="48">
        <v>3</v>
      </c>
      <c r="F38" s="49">
        <v>3.12</v>
      </c>
      <c r="G38" s="50" t="s">
        <v>6474</v>
      </c>
      <c r="H38" s="51">
        <v>1981</v>
      </c>
      <c r="I38" s="45">
        <v>3353</v>
      </c>
      <c r="J38" s="52">
        <v>2</v>
      </c>
      <c r="K38" s="53">
        <f t="shared" si="0"/>
        <v>13.284586000000001</v>
      </c>
      <c r="L38" s="54" t="s">
        <v>6480</v>
      </c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/>
      <c r="B40" s="45"/>
      <c r="C40" s="46">
        <v>22</v>
      </c>
      <c r="D40" s="47" t="s">
        <v>6476</v>
      </c>
      <c r="E40" s="48">
        <v>2</v>
      </c>
      <c r="F40" s="49">
        <v>2.6</v>
      </c>
      <c r="G40" s="50" t="s">
        <v>6468</v>
      </c>
      <c r="H40" s="51">
        <v>2134</v>
      </c>
      <c r="I40" s="45">
        <v>3353</v>
      </c>
      <c r="J40" s="52">
        <v>2</v>
      </c>
      <c r="K40" s="53">
        <f t="shared" si="0"/>
        <v>14.310604</v>
      </c>
      <c r="L40" s="54" t="s">
        <v>6479</v>
      </c>
    </row>
    <row r="41" spans="1:12" s="55" customFormat="1" ht="19.5" customHeight="1" x14ac:dyDescent="0.3">
      <c r="A41" s="44"/>
      <c r="B41" s="45"/>
      <c r="C41" s="46">
        <v>16</v>
      </c>
      <c r="D41" s="47" t="s">
        <v>6477</v>
      </c>
      <c r="E41" s="48">
        <v>1</v>
      </c>
      <c r="F41" s="49">
        <v>1.3</v>
      </c>
      <c r="G41" s="50"/>
      <c r="H41" s="51"/>
      <c r="I41" s="45"/>
      <c r="J41" s="52"/>
      <c r="K41" s="53">
        <f t="shared" si="0"/>
        <v>0</v>
      </c>
      <c r="L41" s="54" t="s">
        <v>6479</v>
      </c>
    </row>
    <row r="42" spans="1:12" s="55" customFormat="1" ht="19.5" customHeight="1" x14ac:dyDescent="0.3">
      <c r="A42" s="44"/>
      <c r="B42" s="45"/>
      <c r="C42" s="46">
        <v>24</v>
      </c>
      <c r="D42" s="47" t="s">
        <v>6478</v>
      </c>
      <c r="E42" s="48">
        <v>4</v>
      </c>
      <c r="F42" s="49">
        <v>3.65</v>
      </c>
      <c r="G42" s="50"/>
      <c r="H42" s="51"/>
      <c r="I42" s="45"/>
      <c r="J42" s="52"/>
      <c r="K42" s="53">
        <f t="shared" si="0"/>
        <v>0</v>
      </c>
      <c r="L42" s="54" t="s">
        <v>6479</v>
      </c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6470</v>
      </c>
      <c r="B44" s="45" t="s">
        <v>6471</v>
      </c>
      <c r="C44" s="46">
        <v>24</v>
      </c>
      <c r="D44" s="47" t="s">
        <v>6478</v>
      </c>
      <c r="E44" s="48">
        <v>4</v>
      </c>
      <c r="F44" s="49">
        <v>3.65</v>
      </c>
      <c r="G44" s="50" t="s">
        <v>6481</v>
      </c>
      <c r="H44" s="51">
        <v>2134</v>
      </c>
      <c r="I44" s="45">
        <v>3353</v>
      </c>
      <c r="J44" s="52">
        <v>1</v>
      </c>
      <c r="K44" s="53">
        <f t="shared" si="0"/>
        <v>7.1553019999999998</v>
      </c>
      <c r="L44" s="54" t="s">
        <v>1811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6482</v>
      </c>
      <c r="B46" s="45" t="s">
        <v>6483</v>
      </c>
      <c r="C46" s="46">
        <v>27.76</v>
      </c>
      <c r="D46" s="47" t="s">
        <v>6484</v>
      </c>
      <c r="E46" s="48">
        <v>12</v>
      </c>
      <c r="F46" s="49">
        <v>10.6</v>
      </c>
      <c r="G46" s="50" t="s">
        <v>1988</v>
      </c>
      <c r="H46" s="51">
        <v>1981</v>
      </c>
      <c r="I46" s="45">
        <v>3353</v>
      </c>
      <c r="J46" s="52">
        <v>2</v>
      </c>
      <c r="K46" s="53">
        <f t="shared" si="0"/>
        <v>13.284586000000001</v>
      </c>
      <c r="L46" s="54" t="s">
        <v>1811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46">
        <v>22</v>
      </c>
      <c r="D48" s="47" t="s">
        <v>6485</v>
      </c>
      <c r="E48" s="48">
        <v>9</v>
      </c>
      <c r="F48" s="49">
        <v>3.64</v>
      </c>
      <c r="G48" s="50" t="s">
        <v>6486</v>
      </c>
      <c r="H48" s="51">
        <v>1981</v>
      </c>
      <c r="I48" s="45">
        <v>3353</v>
      </c>
      <c r="J48" s="52">
        <v>1</v>
      </c>
      <c r="K48" s="53">
        <f t="shared" si="0"/>
        <v>6.6422930000000004</v>
      </c>
      <c r="L48" s="54" t="s">
        <v>6487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45"/>
      <c r="C50" s="46">
        <v>22</v>
      </c>
      <c r="D50" s="47" t="s">
        <v>1986</v>
      </c>
      <c r="E50" s="48">
        <v>9</v>
      </c>
      <c r="F50" s="49">
        <v>10.77</v>
      </c>
      <c r="G50" s="50" t="s">
        <v>1798</v>
      </c>
      <c r="H50" s="51">
        <v>1981</v>
      </c>
      <c r="I50" s="45">
        <v>3353</v>
      </c>
      <c r="J50" s="52">
        <v>2</v>
      </c>
      <c r="K50" s="53">
        <f t="shared" si="0"/>
        <v>13.284586000000001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 t="s">
        <v>6488</v>
      </c>
      <c r="H51" s="51">
        <v>1981</v>
      </c>
      <c r="I51" s="45">
        <v>3353</v>
      </c>
      <c r="J51" s="52">
        <v>2</v>
      </c>
      <c r="K51" s="53">
        <f t="shared" si="0"/>
        <v>13.284586000000001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6489</v>
      </c>
      <c r="B53" s="45" t="s">
        <v>5493</v>
      </c>
      <c r="C53" s="46">
        <v>24</v>
      </c>
      <c r="D53" s="47" t="s">
        <v>6490</v>
      </c>
      <c r="E53" s="48">
        <v>2</v>
      </c>
      <c r="F53" s="49">
        <v>2.19</v>
      </c>
      <c r="G53" s="50" t="s">
        <v>6491</v>
      </c>
      <c r="H53" s="51"/>
      <c r="I53" s="45"/>
      <c r="J53" s="52"/>
      <c r="K53" s="53">
        <f t="shared" si="0"/>
        <v>0</v>
      </c>
      <c r="L53" s="54" t="s">
        <v>6503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6492</v>
      </c>
      <c r="B55" s="45" t="s">
        <v>6493</v>
      </c>
      <c r="C55" s="46">
        <v>43</v>
      </c>
      <c r="D55" s="47" t="s">
        <v>6494</v>
      </c>
      <c r="E55" s="48">
        <v>4</v>
      </c>
      <c r="F55" s="49">
        <v>9.81</v>
      </c>
      <c r="G55" s="50" t="s">
        <v>6495</v>
      </c>
      <c r="H55" s="51">
        <v>1981</v>
      </c>
      <c r="I55" s="45">
        <v>3353</v>
      </c>
      <c r="J55" s="52">
        <v>2</v>
      </c>
      <c r="K55" s="53">
        <f t="shared" si="0"/>
        <v>13.284586000000001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 t="s">
        <v>1798</v>
      </c>
      <c r="H56" s="51">
        <v>1981</v>
      </c>
      <c r="I56" s="45">
        <v>3353</v>
      </c>
      <c r="J56" s="52">
        <v>2</v>
      </c>
      <c r="K56" s="53">
        <f t="shared" si="0"/>
        <v>13.284586000000001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 t="s">
        <v>6496</v>
      </c>
      <c r="H57" s="51">
        <v>1981</v>
      </c>
      <c r="I57" s="45">
        <v>3353</v>
      </c>
      <c r="J57" s="52">
        <v>2</v>
      </c>
      <c r="K57" s="53">
        <f t="shared" si="0"/>
        <v>13.284586000000001</v>
      </c>
      <c r="L57" s="54" t="s">
        <v>6497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>
        <v>24</v>
      </c>
      <c r="D59" s="47" t="s">
        <v>6498</v>
      </c>
      <c r="E59" s="48">
        <v>5</v>
      </c>
      <c r="F59" s="49">
        <v>3.5</v>
      </c>
      <c r="G59" s="50" t="s">
        <v>6473</v>
      </c>
      <c r="H59" s="51">
        <v>2134</v>
      </c>
      <c r="I59" s="45">
        <v>3353</v>
      </c>
      <c r="J59" s="52">
        <v>1</v>
      </c>
      <c r="K59" s="53">
        <f t="shared" si="0"/>
        <v>7.1553019999999998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 t="s">
        <v>6504</v>
      </c>
      <c r="H60" s="51">
        <v>2134</v>
      </c>
      <c r="I60" s="45">
        <v>3353</v>
      </c>
      <c r="J60" s="52">
        <v>1</v>
      </c>
      <c r="K60" s="53">
        <f t="shared" si="0"/>
        <v>7.1553019999999998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6499</v>
      </c>
      <c r="B62" s="45" t="s">
        <v>6493</v>
      </c>
      <c r="C62" s="46">
        <v>24</v>
      </c>
      <c r="D62" s="47" t="s">
        <v>6500</v>
      </c>
      <c r="E62" s="48">
        <v>16</v>
      </c>
      <c r="F62" s="49">
        <v>12.28</v>
      </c>
      <c r="G62" s="50" t="s">
        <v>6501</v>
      </c>
      <c r="H62" s="51">
        <v>2438</v>
      </c>
      <c r="I62" s="45">
        <v>3353</v>
      </c>
      <c r="J62" s="52">
        <v>2</v>
      </c>
      <c r="K62" s="53">
        <f t="shared" si="0"/>
        <v>16.349228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 t="s">
        <v>6502</v>
      </c>
      <c r="H63" s="51">
        <v>2134</v>
      </c>
      <c r="I63" s="45">
        <v>3353</v>
      </c>
      <c r="J63" s="52">
        <v>3</v>
      </c>
      <c r="K63" s="53">
        <f t="shared" si="0"/>
        <v>21.465906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9" customFormat="1" ht="20.100000000000001" customHeight="1" x14ac:dyDescent="0.3">
      <c r="A75" s="44"/>
      <c r="B75" s="45"/>
      <c r="C75" s="46"/>
      <c r="D75" s="47"/>
      <c r="E75" s="56"/>
      <c r="F75" s="57"/>
      <c r="G75" s="50"/>
      <c r="H75" s="51"/>
      <c r="I75" s="45"/>
      <c r="J75" s="52"/>
      <c r="K75" s="53">
        <f t="shared" si="0"/>
        <v>0</v>
      </c>
      <c r="L75" s="58">
        <f>SUM(J34:J76)</f>
        <v>130</v>
      </c>
    </row>
    <row r="76" spans="1:12" s="59" customFormat="1" ht="20.100000000000001" customHeight="1" x14ac:dyDescent="0.3">
      <c r="A76" s="44"/>
      <c r="B76" s="45"/>
      <c r="C76" s="46"/>
      <c r="D76" s="47"/>
      <c r="E76" s="60"/>
      <c r="F76" s="61"/>
      <c r="G76" s="62"/>
      <c r="H76" s="51"/>
      <c r="I76" s="45"/>
      <c r="J76" s="63"/>
      <c r="K76" s="53">
        <f t="shared" si="0"/>
        <v>0</v>
      </c>
      <c r="L76" s="64">
        <f>SUM(K34:K76)</f>
        <v>870.66680400000007</v>
      </c>
    </row>
    <row r="77" spans="1:12" s="59" customFormat="1" ht="20.100000000000001" customHeight="1" thickBot="1" x14ac:dyDescent="0.35">
      <c r="A77" s="114"/>
      <c r="B77" s="115"/>
      <c r="C77" s="115"/>
      <c r="D77" s="115"/>
      <c r="E77" s="115"/>
      <c r="F77" s="115"/>
      <c r="G77" s="115"/>
      <c r="H77" s="115"/>
      <c r="I77" s="115"/>
      <c r="J77" s="65">
        <f>SUM(J7:J76)</f>
        <v>299</v>
      </c>
      <c r="K77" s="66">
        <f>SUM(K7:K76)</f>
        <v>1907.0824569999997</v>
      </c>
      <c r="L77" s="67"/>
    </row>
    <row r="78" spans="1:12" s="59" customFormat="1" ht="20.100000000000001" customHeight="1" thickTop="1" thickBot="1" x14ac:dyDescent="0.35">
      <c r="A78" s="116" t="s">
        <v>52</v>
      </c>
      <c r="B78" s="117"/>
      <c r="C78" s="68"/>
      <c r="D78" s="118">
        <f>J77</f>
        <v>299</v>
      </c>
      <c r="E78" s="119"/>
      <c r="F78" s="119"/>
      <c r="G78" s="120"/>
      <c r="H78" s="121"/>
      <c r="I78" s="121"/>
      <c r="J78" s="122"/>
      <c r="K78" s="119"/>
      <c r="L78" s="123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71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72"/>
      <c r="F84" s="5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5"/>
      <c r="G85" s="73"/>
      <c r="H85" s="5"/>
      <c r="I85" s="74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70"/>
      <c r="G89" s="5"/>
      <c r="H89" s="72"/>
      <c r="I89" s="72"/>
      <c r="J89" s="5"/>
      <c r="K89" s="5"/>
      <c r="L89" s="5"/>
    </row>
    <row r="90" spans="1:12" ht="20.100000000000001" customHeight="1" x14ac:dyDescent="0.3">
      <c r="A90" s="113"/>
      <c r="B90" s="113"/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A93" s="113"/>
      <c r="B93" s="113"/>
      <c r="H93" s="72"/>
      <c r="I93" s="72"/>
    </row>
    <row r="94" spans="1:12" ht="20.100000000000001" customHeight="1" x14ac:dyDescent="0.3">
      <c r="A94" s="113"/>
      <c r="B94" s="113"/>
      <c r="H94" s="72"/>
      <c r="I94" s="72"/>
    </row>
    <row r="95" spans="1:12" ht="20.100000000000001" customHeight="1" x14ac:dyDescent="0.3">
      <c r="H95" s="72"/>
      <c r="I95" s="72"/>
    </row>
    <row r="96" spans="1:12" ht="20.100000000000001" customHeight="1" x14ac:dyDescent="0.3">
      <c r="H96" s="72"/>
      <c r="I96" s="72"/>
    </row>
    <row r="97" spans="1:12" ht="20.100000000000001" customHeight="1" x14ac:dyDescent="0.3">
      <c r="H97" s="72"/>
      <c r="I97" s="72"/>
    </row>
    <row r="98" spans="1:12" s="72" customFormat="1" ht="20.100000000000001" customHeight="1" x14ac:dyDescent="0.3">
      <c r="A98" s="69"/>
      <c r="B98" s="5"/>
      <c r="C98" s="5"/>
      <c r="D98" s="5"/>
      <c r="E98" s="5"/>
      <c r="F98" s="70"/>
      <c r="G98" s="5"/>
      <c r="J98" s="5"/>
      <c r="K98" s="5"/>
      <c r="L98" s="5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5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5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5" customFormat="1" ht="19.5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2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2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ht="19.5" customHeight="1" x14ac:dyDescent="0.3"/>
    <row r="106" spans="1:12" ht="19.5" customHeight="1" x14ac:dyDescent="0.3"/>
    <row r="107" spans="1:12" ht="19.5" customHeight="1" x14ac:dyDescent="0.3"/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</sheetData>
  <mergeCells count="30">
    <mergeCell ref="A93:B93"/>
    <mergeCell ref="A94:B94"/>
    <mergeCell ref="A84:B84"/>
    <mergeCell ref="A85:B85"/>
    <mergeCell ref="A86:B86"/>
    <mergeCell ref="A88:B88"/>
    <mergeCell ref="A89:B89"/>
    <mergeCell ref="A90:B90"/>
    <mergeCell ref="A83:B83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7:I77"/>
    <mergeCell ref="A78:B78"/>
    <mergeCell ref="D78:G78"/>
    <mergeCell ref="H78:J78"/>
    <mergeCell ref="K78:L78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L182"/>
  <sheetViews>
    <sheetView view="pageBreakPreview" topLeftCell="A79" zoomScale="85" zoomScaleNormal="100" zoomScaleSheetLayoutView="85" workbookViewId="0">
      <selection activeCell="L89" sqref="L89:L9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46219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90" si="0">(H7/1000*I7/1000)*J7</f>
        <v>0</v>
      </c>
      <c r="L7" s="26">
        <f>SUM(J7:J43)</f>
        <v>105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SUM(K7:K43)</f>
        <v>662.80427500000008</v>
      </c>
    </row>
    <row r="9" spans="1:12" s="27" customFormat="1" ht="19.5" customHeight="1" x14ac:dyDescent="0.3">
      <c r="A9" s="28" t="s">
        <v>6389</v>
      </c>
      <c r="B9" s="16" t="s">
        <v>6390</v>
      </c>
      <c r="C9" s="17">
        <v>22</v>
      </c>
      <c r="D9" s="18" t="s">
        <v>6391</v>
      </c>
      <c r="E9" s="41">
        <v>3</v>
      </c>
      <c r="F9" s="42">
        <v>6.75</v>
      </c>
      <c r="G9" s="34" t="s">
        <v>6393</v>
      </c>
      <c r="H9" s="35">
        <v>1981</v>
      </c>
      <c r="I9" s="36">
        <v>3353</v>
      </c>
      <c r="J9" s="37">
        <v>1</v>
      </c>
      <c r="K9" s="85">
        <f t="shared" si="0"/>
        <v>6.6422930000000004</v>
      </c>
      <c r="L9" s="39"/>
    </row>
    <row r="10" spans="1:12" s="27" customFormat="1" ht="19.5" customHeight="1" x14ac:dyDescent="0.3">
      <c r="A10" s="28"/>
      <c r="B10" s="16"/>
      <c r="C10" s="17">
        <v>24</v>
      </c>
      <c r="D10" s="18" t="s">
        <v>6392</v>
      </c>
      <c r="E10" s="41">
        <v>11</v>
      </c>
      <c r="F10" s="42">
        <v>12.4</v>
      </c>
      <c r="G10" s="34" t="s">
        <v>6394</v>
      </c>
      <c r="H10" s="35">
        <v>1981</v>
      </c>
      <c r="I10" s="36">
        <v>3353</v>
      </c>
      <c r="J10" s="37">
        <v>1</v>
      </c>
      <c r="K10" s="85">
        <f t="shared" si="0"/>
        <v>6.6422930000000004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 t="s">
        <v>6395</v>
      </c>
      <c r="H11" s="35">
        <v>2134</v>
      </c>
      <c r="I11" s="36">
        <v>3353</v>
      </c>
      <c r="J11" s="37">
        <v>2</v>
      </c>
      <c r="K11" s="25">
        <f t="shared" si="0"/>
        <v>14.310604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6396</v>
      </c>
      <c r="H12" s="35">
        <v>2134</v>
      </c>
      <c r="I12" s="36">
        <v>3048</v>
      </c>
      <c r="J12" s="37">
        <v>2</v>
      </c>
      <c r="K12" s="85">
        <f t="shared" si="0"/>
        <v>13.008863999999999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 t="s">
        <v>6397</v>
      </c>
      <c r="B14" s="16" t="s">
        <v>6398</v>
      </c>
      <c r="C14" s="17">
        <v>16</v>
      </c>
      <c r="D14" s="18" t="s">
        <v>6399</v>
      </c>
      <c r="E14" s="41">
        <v>1</v>
      </c>
      <c r="F14" s="42">
        <v>2.66</v>
      </c>
      <c r="G14" s="34" t="s">
        <v>6393</v>
      </c>
      <c r="H14" s="35">
        <v>1981</v>
      </c>
      <c r="I14" s="36">
        <v>3353</v>
      </c>
      <c r="J14" s="37">
        <v>1</v>
      </c>
      <c r="K14" s="85">
        <f t="shared" si="0"/>
        <v>6.6422930000000004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6400</v>
      </c>
      <c r="H15" s="35">
        <v>1981</v>
      </c>
      <c r="I15" s="36">
        <v>3353</v>
      </c>
      <c r="J15" s="37">
        <v>1</v>
      </c>
      <c r="K15" s="85">
        <f t="shared" si="0"/>
        <v>6.6422930000000004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 t="s">
        <v>6401</v>
      </c>
      <c r="B17" s="16" t="s">
        <v>6402</v>
      </c>
      <c r="C17" s="17">
        <v>5</v>
      </c>
      <c r="D17" s="18" t="s">
        <v>6403</v>
      </c>
      <c r="E17" s="41">
        <v>20</v>
      </c>
      <c r="F17" s="42">
        <v>10.33</v>
      </c>
      <c r="G17" s="34" t="s">
        <v>6393</v>
      </c>
      <c r="H17" s="35">
        <v>2438</v>
      </c>
      <c r="I17" s="36">
        <v>3353</v>
      </c>
      <c r="J17" s="37">
        <v>2</v>
      </c>
      <c r="K17" s="85">
        <f t="shared" si="0"/>
        <v>16.349228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</row>
    <row r="19" spans="1:12" s="27" customFormat="1" ht="19.5" customHeight="1" x14ac:dyDescent="0.3">
      <c r="A19" s="28" t="s">
        <v>6404</v>
      </c>
      <c r="B19" s="16" t="s">
        <v>6405</v>
      </c>
      <c r="C19" s="17">
        <v>10</v>
      </c>
      <c r="D19" s="18" t="s">
        <v>6406</v>
      </c>
      <c r="E19" s="41">
        <v>2</v>
      </c>
      <c r="F19" s="42">
        <v>3.06</v>
      </c>
      <c r="G19" s="34" t="s">
        <v>6407</v>
      </c>
      <c r="H19" s="35">
        <v>2438</v>
      </c>
      <c r="I19" s="36">
        <v>3048</v>
      </c>
      <c r="J19" s="37">
        <v>1</v>
      </c>
      <c r="K19" s="85">
        <f t="shared" si="0"/>
        <v>7.4310240000000007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6408</v>
      </c>
      <c r="B21" s="16" t="s">
        <v>306</v>
      </c>
      <c r="C21" s="17">
        <v>22</v>
      </c>
      <c r="D21" s="18" t="s">
        <v>307</v>
      </c>
      <c r="E21" s="41">
        <v>78</v>
      </c>
      <c r="F21" s="42">
        <v>66.959999999999994</v>
      </c>
      <c r="G21" s="34" t="s">
        <v>49</v>
      </c>
      <c r="H21" s="35">
        <v>1829</v>
      </c>
      <c r="I21" s="36">
        <v>3353</v>
      </c>
      <c r="J21" s="37">
        <v>11</v>
      </c>
      <c r="K21" s="85">
        <f t="shared" si="0"/>
        <v>67.459007</v>
      </c>
      <c r="L21" s="39" t="s">
        <v>321</v>
      </c>
    </row>
    <row r="22" spans="1:12" s="27" customFormat="1" ht="19.5" customHeight="1" x14ac:dyDescent="0.3">
      <c r="A22" s="28"/>
      <c r="B22" s="16"/>
      <c r="C22" s="17">
        <v>22</v>
      </c>
      <c r="D22" s="18" t="s">
        <v>320</v>
      </c>
      <c r="E22" s="41">
        <v>79</v>
      </c>
      <c r="F22" s="42">
        <v>68.569999999999993</v>
      </c>
      <c r="G22" s="34" t="s">
        <v>49</v>
      </c>
      <c r="H22" s="35">
        <v>1981</v>
      </c>
      <c r="I22" s="36">
        <v>3353</v>
      </c>
      <c r="J22" s="37">
        <v>1</v>
      </c>
      <c r="K22" s="85">
        <f t="shared" si="0"/>
        <v>6.6422930000000004</v>
      </c>
      <c r="L22" s="39" t="s">
        <v>321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 t="s">
        <v>18</v>
      </c>
      <c r="H23" s="35">
        <v>1829</v>
      </c>
      <c r="I23" s="36">
        <v>3353</v>
      </c>
      <c r="J23" s="37">
        <v>12</v>
      </c>
      <c r="K23" s="85">
        <f t="shared" si="0"/>
        <v>73.591644000000002</v>
      </c>
      <c r="L23" s="39" t="s">
        <v>321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39</v>
      </c>
      <c r="H24" s="35">
        <v>1981</v>
      </c>
      <c r="I24" s="36">
        <v>3353</v>
      </c>
      <c r="J24" s="37">
        <v>1</v>
      </c>
      <c r="K24" s="85">
        <f t="shared" si="0"/>
        <v>6.6422930000000004</v>
      </c>
      <c r="L24" s="39" t="s">
        <v>321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 t="s">
        <v>39</v>
      </c>
      <c r="H25" s="35">
        <v>1829</v>
      </c>
      <c r="I25" s="36">
        <v>3353</v>
      </c>
      <c r="J25" s="37">
        <v>23</v>
      </c>
      <c r="K25" s="85">
        <f t="shared" si="0"/>
        <v>141.05065099999999</v>
      </c>
      <c r="L25" s="39" t="s">
        <v>321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>
        <f t="shared" si="0"/>
        <v>0</v>
      </c>
      <c r="L26" s="39"/>
    </row>
    <row r="27" spans="1:12" s="27" customFormat="1" ht="19.5" customHeight="1" x14ac:dyDescent="0.3">
      <c r="A27" s="28" t="s">
        <v>6409</v>
      </c>
      <c r="B27" s="16" t="s">
        <v>6410</v>
      </c>
      <c r="C27" s="17">
        <v>22</v>
      </c>
      <c r="D27" s="18" t="s">
        <v>6411</v>
      </c>
      <c r="E27" s="41">
        <v>1</v>
      </c>
      <c r="F27" s="42">
        <v>3.23</v>
      </c>
      <c r="G27" s="34" t="s">
        <v>49</v>
      </c>
      <c r="H27" s="35">
        <v>1981</v>
      </c>
      <c r="I27" s="36">
        <v>3353</v>
      </c>
      <c r="J27" s="37">
        <v>6</v>
      </c>
      <c r="K27" s="85">
        <f t="shared" si="0"/>
        <v>39.853757999999999</v>
      </c>
      <c r="L27" s="39" t="s">
        <v>6414</v>
      </c>
    </row>
    <row r="28" spans="1:12" s="27" customFormat="1" ht="19.5" customHeight="1" x14ac:dyDescent="0.3">
      <c r="A28" s="28"/>
      <c r="B28" s="16"/>
      <c r="C28" s="17">
        <v>22</v>
      </c>
      <c r="D28" s="18" t="s">
        <v>6412</v>
      </c>
      <c r="E28" s="41">
        <v>3</v>
      </c>
      <c r="F28" s="42">
        <v>9.69</v>
      </c>
      <c r="G28" s="34"/>
      <c r="H28" s="35"/>
      <c r="I28" s="36"/>
      <c r="J28" s="37"/>
      <c r="K28" s="85">
        <f t="shared" si="0"/>
        <v>0</v>
      </c>
      <c r="L28" s="39" t="s">
        <v>6414</v>
      </c>
    </row>
    <row r="29" spans="1:12" s="27" customFormat="1" ht="19.5" customHeight="1" x14ac:dyDescent="0.3">
      <c r="A29" s="28" t="s">
        <v>6413</v>
      </c>
      <c r="B29" s="16" t="s">
        <v>6410</v>
      </c>
      <c r="C29" s="17">
        <v>22</v>
      </c>
      <c r="D29" s="18" t="s">
        <v>6411</v>
      </c>
      <c r="E29" s="41">
        <v>9</v>
      </c>
      <c r="F29" s="42">
        <v>22.11</v>
      </c>
      <c r="G29" s="34"/>
      <c r="H29" s="35"/>
      <c r="I29" s="36"/>
      <c r="J29" s="37"/>
      <c r="K29" s="85">
        <f t="shared" si="0"/>
        <v>0</v>
      </c>
      <c r="L29" s="39" t="s">
        <v>6415</v>
      </c>
    </row>
    <row r="30" spans="1:12" s="27" customFormat="1" ht="19.5" customHeight="1" x14ac:dyDescent="0.3">
      <c r="A30" s="28"/>
      <c r="B30" s="16"/>
      <c r="C30" s="17">
        <v>22</v>
      </c>
      <c r="D30" s="18" t="s">
        <v>6412</v>
      </c>
      <c r="E30" s="41">
        <v>1</v>
      </c>
      <c r="F30" s="42">
        <v>3.23</v>
      </c>
      <c r="G30" s="34"/>
      <c r="H30" s="35"/>
      <c r="I30" s="36"/>
      <c r="J30" s="37"/>
      <c r="K30" s="85">
        <f t="shared" si="0"/>
        <v>0</v>
      </c>
      <c r="L30" s="39" t="s">
        <v>6414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ref="K31:K40" si="1">(H31/1000*I31/1000)*J31</f>
        <v>0</v>
      </c>
      <c r="L31" s="39"/>
    </row>
    <row r="32" spans="1:12" s="27" customFormat="1" ht="19.5" customHeight="1" x14ac:dyDescent="0.3">
      <c r="A32" s="28" t="s">
        <v>6409</v>
      </c>
      <c r="B32" s="16" t="s">
        <v>6410</v>
      </c>
      <c r="C32" s="17">
        <v>22</v>
      </c>
      <c r="D32" s="18" t="s">
        <v>6411</v>
      </c>
      <c r="E32" s="41">
        <v>1</v>
      </c>
      <c r="F32" s="42">
        <v>3.23</v>
      </c>
      <c r="G32" s="34" t="s">
        <v>6417</v>
      </c>
      <c r="H32" s="35">
        <v>1981</v>
      </c>
      <c r="I32" s="36">
        <v>3353</v>
      </c>
      <c r="J32" s="37">
        <v>5</v>
      </c>
      <c r="K32" s="85">
        <f t="shared" si="1"/>
        <v>33.211465000000004</v>
      </c>
      <c r="L32" s="39" t="s">
        <v>6416</v>
      </c>
    </row>
    <row r="33" spans="1:12" s="27" customFormat="1" ht="19.5" customHeight="1" x14ac:dyDescent="0.3">
      <c r="A33" s="28" t="s">
        <v>6413</v>
      </c>
      <c r="B33" s="16" t="s">
        <v>6410</v>
      </c>
      <c r="C33" s="17">
        <v>22</v>
      </c>
      <c r="D33" s="18" t="s">
        <v>6411</v>
      </c>
      <c r="E33" s="41">
        <v>9</v>
      </c>
      <c r="F33" s="42">
        <v>27.33</v>
      </c>
      <c r="G33" s="34"/>
      <c r="H33" s="35"/>
      <c r="I33" s="36"/>
      <c r="J33" s="37"/>
      <c r="K33" s="85">
        <f t="shared" si="1"/>
        <v>0</v>
      </c>
      <c r="L33" s="39" t="s">
        <v>6416</v>
      </c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85">
        <f t="shared" si="1"/>
        <v>0</v>
      </c>
      <c r="L34" s="39"/>
    </row>
    <row r="35" spans="1:12" s="27" customFormat="1" ht="19.5" customHeight="1" x14ac:dyDescent="0.3">
      <c r="A35" s="28" t="s">
        <v>6418</v>
      </c>
      <c r="B35" s="16" t="s">
        <v>6419</v>
      </c>
      <c r="C35" s="17">
        <v>5</v>
      </c>
      <c r="D35" s="18" t="s">
        <v>6403</v>
      </c>
      <c r="E35" s="41">
        <v>20</v>
      </c>
      <c r="F35" s="42">
        <v>10.32</v>
      </c>
      <c r="G35" s="34" t="s">
        <v>6393</v>
      </c>
      <c r="H35" s="35">
        <v>2438</v>
      </c>
      <c r="I35" s="36">
        <v>3353</v>
      </c>
      <c r="J35" s="37">
        <v>1</v>
      </c>
      <c r="K35" s="85">
        <f t="shared" si="1"/>
        <v>8.174614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85">
        <f t="shared" si="1"/>
        <v>0</v>
      </c>
      <c r="L36" s="39"/>
    </row>
    <row r="37" spans="1:12" s="27" customFormat="1" ht="19.5" customHeight="1" x14ac:dyDescent="0.3">
      <c r="A37" s="28" t="s">
        <v>6420</v>
      </c>
      <c r="B37" s="16" t="s">
        <v>306</v>
      </c>
      <c r="C37" s="17">
        <v>22</v>
      </c>
      <c r="D37" s="18" t="s">
        <v>307</v>
      </c>
      <c r="E37" s="41">
        <v>78</v>
      </c>
      <c r="F37" s="42">
        <v>66.959999999999994</v>
      </c>
      <c r="G37" s="34" t="s">
        <v>6421</v>
      </c>
      <c r="H37" s="35">
        <v>1829</v>
      </c>
      <c r="I37" s="36">
        <v>3353</v>
      </c>
      <c r="J37" s="37">
        <v>23</v>
      </c>
      <c r="K37" s="85">
        <f t="shared" si="1"/>
        <v>141.05065099999999</v>
      </c>
      <c r="L37" s="39" t="s">
        <v>6422</v>
      </c>
    </row>
    <row r="38" spans="1:12" s="27" customFormat="1" ht="19.5" customHeight="1" x14ac:dyDescent="0.3">
      <c r="A38" s="28"/>
      <c r="B38" s="16"/>
      <c r="C38" s="17">
        <v>22</v>
      </c>
      <c r="D38" s="18" t="s">
        <v>320</v>
      </c>
      <c r="E38" s="41">
        <v>78</v>
      </c>
      <c r="F38" s="42">
        <v>66.959999999999994</v>
      </c>
      <c r="G38" s="34" t="s">
        <v>6393</v>
      </c>
      <c r="H38" s="35">
        <v>1829</v>
      </c>
      <c r="I38" s="36">
        <v>3353</v>
      </c>
      <c r="J38" s="37">
        <v>11</v>
      </c>
      <c r="K38" s="85">
        <f t="shared" si="1"/>
        <v>67.459007</v>
      </c>
      <c r="L38" s="39" t="s">
        <v>6423</v>
      </c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85">
        <f t="shared" si="1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85">
        <f t="shared" si="1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85">
        <f t="shared" si="0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0"/>
        <v>0</v>
      </c>
      <c r="L42" s="39"/>
    </row>
    <row r="43" spans="1:12" s="27" customFormat="1" ht="19.5" customHeight="1" x14ac:dyDescent="0.3">
      <c r="A43" s="28"/>
      <c r="B43" s="29"/>
      <c r="C43" s="30"/>
      <c r="D43" s="31"/>
      <c r="E43" s="41"/>
      <c r="F43" s="42"/>
      <c r="G43" s="43"/>
      <c r="H43" s="35"/>
      <c r="I43" s="36"/>
      <c r="J43" s="37"/>
      <c r="K43" s="25">
        <f t="shared" si="0"/>
        <v>0</v>
      </c>
      <c r="L43" s="39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6424</v>
      </c>
      <c r="B45" s="45" t="s">
        <v>6419</v>
      </c>
      <c r="C45" s="46">
        <v>26</v>
      </c>
      <c r="D45" s="47" t="s">
        <v>6425</v>
      </c>
      <c r="E45" s="48">
        <v>15</v>
      </c>
      <c r="F45" s="49">
        <v>9.2100000000000009</v>
      </c>
      <c r="G45" s="50" t="s">
        <v>6426</v>
      </c>
      <c r="H45" s="51">
        <v>2438</v>
      </c>
      <c r="I45" s="45">
        <v>3353</v>
      </c>
      <c r="J45" s="52">
        <v>1</v>
      </c>
      <c r="K45" s="53">
        <f t="shared" si="0"/>
        <v>8.174614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 t="s">
        <v>6393</v>
      </c>
      <c r="H46" s="51">
        <v>2438</v>
      </c>
      <c r="I46" s="45">
        <v>3353</v>
      </c>
      <c r="J46" s="52">
        <v>1</v>
      </c>
      <c r="K46" s="53">
        <f t="shared" si="0"/>
        <v>8.174614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6418</v>
      </c>
      <c r="B48" s="45" t="s">
        <v>694</v>
      </c>
      <c r="C48" s="46">
        <v>26</v>
      </c>
      <c r="D48" s="47" t="s">
        <v>6427</v>
      </c>
      <c r="E48" s="48">
        <v>13</v>
      </c>
      <c r="F48" s="49">
        <v>30.57</v>
      </c>
      <c r="G48" s="50" t="s">
        <v>6426</v>
      </c>
      <c r="H48" s="51">
        <v>3048</v>
      </c>
      <c r="I48" s="45">
        <v>3658</v>
      </c>
      <c r="J48" s="52">
        <v>3</v>
      </c>
      <c r="K48" s="53">
        <f t="shared" si="0"/>
        <v>33.448751999999999</v>
      </c>
      <c r="L48" s="54"/>
    </row>
    <row r="49" spans="1:12" s="55" customFormat="1" ht="19.5" customHeight="1" x14ac:dyDescent="0.3">
      <c r="A49" s="44"/>
      <c r="B49" s="45"/>
      <c r="C49" s="46">
        <v>26</v>
      </c>
      <c r="D49" s="47" t="s">
        <v>6428</v>
      </c>
      <c r="E49" s="48">
        <v>4</v>
      </c>
      <c r="F49" s="49">
        <v>13.72</v>
      </c>
      <c r="G49" s="50" t="s">
        <v>6426</v>
      </c>
      <c r="H49" s="51">
        <v>2438</v>
      </c>
      <c r="I49" s="45">
        <v>3353</v>
      </c>
      <c r="J49" s="52">
        <v>3</v>
      </c>
      <c r="K49" s="53">
        <f t="shared" si="0"/>
        <v>24.523842000000002</v>
      </c>
      <c r="L49" s="54"/>
    </row>
    <row r="50" spans="1:12" s="55" customFormat="1" ht="19.5" customHeight="1" x14ac:dyDescent="0.3">
      <c r="A50" s="44"/>
      <c r="B50" s="45"/>
      <c r="C50" s="46">
        <v>24</v>
      </c>
      <c r="D50" s="47" t="s">
        <v>6429</v>
      </c>
      <c r="E50" s="48">
        <v>2</v>
      </c>
      <c r="F50" s="49">
        <v>1.58</v>
      </c>
      <c r="G50" s="50" t="s">
        <v>6393</v>
      </c>
      <c r="H50" s="51">
        <v>3048</v>
      </c>
      <c r="I50" s="45">
        <v>3658</v>
      </c>
      <c r="J50" s="52">
        <v>2</v>
      </c>
      <c r="K50" s="53">
        <f t="shared" si="0"/>
        <v>22.299168000000002</v>
      </c>
      <c r="L50" s="54" t="s">
        <v>6430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 t="s">
        <v>6393</v>
      </c>
      <c r="H51" s="51">
        <v>2438</v>
      </c>
      <c r="I51" s="45">
        <v>3353</v>
      </c>
      <c r="J51" s="52">
        <v>3</v>
      </c>
      <c r="K51" s="53">
        <f t="shared" si="0"/>
        <v>24.523842000000002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6431</v>
      </c>
      <c r="B53" s="45" t="s">
        <v>6432</v>
      </c>
      <c r="C53" s="46">
        <v>28</v>
      </c>
      <c r="D53" s="47" t="s">
        <v>6433</v>
      </c>
      <c r="E53" s="48">
        <v>4</v>
      </c>
      <c r="F53" s="49">
        <v>6.92</v>
      </c>
      <c r="G53" s="50" t="s">
        <v>6437</v>
      </c>
      <c r="H53" s="51">
        <v>2438</v>
      </c>
      <c r="I53" s="45">
        <v>3353</v>
      </c>
      <c r="J53" s="52">
        <v>8</v>
      </c>
      <c r="K53" s="53">
        <f t="shared" si="0"/>
        <v>65.396912</v>
      </c>
      <c r="L53" s="54"/>
    </row>
    <row r="54" spans="1:12" s="55" customFormat="1" ht="19.5" customHeight="1" x14ac:dyDescent="0.3">
      <c r="A54" s="44"/>
      <c r="B54" s="45"/>
      <c r="C54" s="46">
        <v>28</v>
      </c>
      <c r="D54" s="47" t="s">
        <v>6434</v>
      </c>
      <c r="E54" s="48">
        <v>8</v>
      </c>
      <c r="F54" s="49">
        <v>5.74</v>
      </c>
      <c r="G54" s="50" t="s">
        <v>6395</v>
      </c>
      <c r="H54" s="51">
        <v>2438</v>
      </c>
      <c r="I54" s="45">
        <v>3353</v>
      </c>
      <c r="J54" s="52">
        <v>7</v>
      </c>
      <c r="K54" s="53">
        <f t="shared" si="0"/>
        <v>57.222298000000002</v>
      </c>
      <c r="L54" s="54"/>
    </row>
    <row r="55" spans="1:12" s="55" customFormat="1" ht="19.5" customHeight="1" x14ac:dyDescent="0.3">
      <c r="A55" s="44"/>
      <c r="B55" s="45"/>
      <c r="C55" s="46">
        <v>28</v>
      </c>
      <c r="D55" s="47" t="s">
        <v>6433</v>
      </c>
      <c r="E55" s="48">
        <v>6</v>
      </c>
      <c r="F55" s="49">
        <v>15.59</v>
      </c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>
        <v>28</v>
      </c>
      <c r="D56" s="47" t="s">
        <v>6435</v>
      </c>
      <c r="E56" s="48">
        <v>4</v>
      </c>
      <c r="F56" s="49">
        <v>7.21</v>
      </c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>
        <v>28</v>
      </c>
      <c r="D57" s="47" t="s">
        <v>6436</v>
      </c>
      <c r="E57" s="48">
        <v>4</v>
      </c>
      <c r="F57" s="49">
        <v>11.12</v>
      </c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>
        <v>28</v>
      </c>
      <c r="D58" s="47" t="s">
        <v>6435</v>
      </c>
      <c r="E58" s="48">
        <v>4</v>
      </c>
      <c r="F58" s="49">
        <v>3.28</v>
      </c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6438</v>
      </c>
      <c r="B60" s="45" t="s">
        <v>6439</v>
      </c>
      <c r="C60" s="46">
        <v>24</v>
      </c>
      <c r="D60" s="47" t="s">
        <v>6425</v>
      </c>
      <c r="E60" s="48">
        <v>6</v>
      </c>
      <c r="F60" s="49">
        <v>7.85</v>
      </c>
      <c r="G60" s="50" t="s">
        <v>6426</v>
      </c>
      <c r="H60" s="51">
        <v>2438</v>
      </c>
      <c r="I60" s="45">
        <v>3353</v>
      </c>
      <c r="J60" s="52">
        <v>1</v>
      </c>
      <c r="K60" s="53">
        <f t="shared" si="0"/>
        <v>8.174614</v>
      </c>
      <c r="L60" s="54" t="s">
        <v>6440</v>
      </c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6438</v>
      </c>
      <c r="B62" s="45" t="s">
        <v>6439</v>
      </c>
      <c r="C62" s="46">
        <v>24</v>
      </c>
      <c r="D62" s="47" t="s">
        <v>6425</v>
      </c>
      <c r="E62" s="48">
        <v>3</v>
      </c>
      <c r="F62" s="49">
        <v>4.6500000000000004</v>
      </c>
      <c r="G62" s="50" t="s">
        <v>6393</v>
      </c>
      <c r="H62" s="51">
        <v>2438</v>
      </c>
      <c r="I62" s="45">
        <v>3353</v>
      </c>
      <c r="J62" s="52">
        <v>1</v>
      </c>
      <c r="K62" s="53">
        <f t="shared" si="0"/>
        <v>8.174614</v>
      </c>
      <c r="L62" s="54" t="s">
        <v>6441</v>
      </c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6442</v>
      </c>
      <c r="B64" s="45" t="s">
        <v>6443</v>
      </c>
      <c r="C64" s="46">
        <v>24</v>
      </c>
      <c r="D64" s="47" t="s">
        <v>6444</v>
      </c>
      <c r="E64" s="48">
        <v>1</v>
      </c>
      <c r="F64" s="49">
        <v>1</v>
      </c>
      <c r="G64" s="50" t="s">
        <v>6445</v>
      </c>
      <c r="H64" s="51">
        <v>2134</v>
      </c>
      <c r="I64" s="45">
        <v>3353</v>
      </c>
      <c r="J64" s="52">
        <v>1</v>
      </c>
      <c r="K64" s="53">
        <f t="shared" si="0"/>
        <v>7.1553019999999998</v>
      </c>
      <c r="L64" s="54" t="s">
        <v>6446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6447</v>
      </c>
      <c r="B66" s="45" t="s">
        <v>6451</v>
      </c>
      <c r="C66" s="46">
        <v>24</v>
      </c>
      <c r="D66" s="47" t="s">
        <v>6452</v>
      </c>
      <c r="E66" s="48">
        <v>2</v>
      </c>
      <c r="F66" s="49">
        <v>2.35</v>
      </c>
      <c r="G66" s="50" t="s">
        <v>6426</v>
      </c>
      <c r="H66" s="51">
        <v>2438</v>
      </c>
      <c r="I66" s="45">
        <v>3353</v>
      </c>
      <c r="J66" s="52">
        <v>1</v>
      </c>
      <c r="K66" s="53">
        <f t="shared" si="0"/>
        <v>8.174614</v>
      </c>
      <c r="L66" s="54" t="s">
        <v>6453</v>
      </c>
    </row>
    <row r="67" spans="1:12" s="55" customFormat="1" ht="19.5" customHeight="1" x14ac:dyDescent="0.3">
      <c r="A67" s="44" t="s">
        <v>6448</v>
      </c>
      <c r="B67" s="45" t="s">
        <v>6451</v>
      </c>
      <c r="C67" s="46">
        <v>24</v>
      </c>
      <c r="D67" s="47" t="s">
        <v>6425</v>
      </c>
      <c r="E67" s="48">
        <v>1</v>
      </c>
      <c r="F67" s="49">
        <v>1.06</v>
      </c>
      <c r="G67" s="50" t="s">
        <v>6426</v>
      </c>
      <c r="H67" s="51">
        <v>1981</v>
      </c>
      <c r="I67" s="45">
        <v>3353</v>
      </c>
      <c r="J67" s="52">
        <v>1</v>
      </c>
      <c r="K67" s="53">
        <f t="shared" si="0"/>
        <v>6.6422930000000004</v>
      </c>
      <c r="L67" s="54" t="s">
        <v>6453</v>
      </c>
    </row>
    <row r="68" spans="1:12" s="55" customFormat="1" ht="19.5" customHeight="1" x14ac:dyDescent="0.3">
      <c r="A68" s="44" t="s">
        <v>6449</v>
      </c>
      <c r="B68" s="45" t="s">
        <v>6451</v>
      </c>
      <c r="C68" s="46">
        <v>24</v>
      </c>
      <c r="D68" s="47" t="s">
        <v>6425</v>
      </c>
      <c r="E68" s="48">
        <v>5</v>
      </c>
      <c r="F68" s="49">
        <v>4.5</v>
      </c>
      <c r="G68" s="50"/>
      <c r="H68" s="51"/>
      <c r="I68" s="45"/>
      <c r="J68" s="52"/>
      <c r="K68" s="53">
        <f t="shared" si="0"/>
        <v>0</v>
      </c>
      <c r="L68" s="54" t="s">
        <v>6453</v>
      </c>
    </row>
    <row r="69" spans="1:12" s="55" customFormat="1" ht="19.5" customHeight="1" x14ac:dyDescent="0.3">
      <c r="A69" s="44" t="s">
        <v>6450</v>
      </c>
      <c r="B69" s="45" t="s">
        <v>6451</v>
      </c>
      <c r="C69" s="46">
        <v>24</v>
      </c>
      <c r="D69" s="47" t="s">
        <v>6452</v>
      </c>
      <c r="E69" s="48">
        <v>2</v>
      </c>
      <c r="F69" s="49">
        <v>2.64</v>
      </c>
      <c r="G69" s="50"/>
      <c r="H69" s="51"/>
      <c r="I69" s="45"/>
      <c r="J69" s="52"/>
      <c r="K69" s="53">
        <f t="shared" si="0"/>
        <v>0</v>
      </c>
      <c r="L69" s="54" t="s">
        <v>6453</v>
      </c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6449</v>
      </c>
      <c r="B71" s="45" t="s">
        <v>6451</v>
      </c>
      <c r="C71" s="46">
        <v>24</v>
      </c>
      <c r="D71" s="47" t="s">
        <v>6425</v>
      </c>
      <c r="E71" s="48">
        <v>1</v>
      </c>
      <c r="F71" s="49">
        <v>1.73</v>
      </c>
      <c r="G71" s="50"/>
      <c r="H71" s="51"/>
      <c r="I71" s="45"/>
      <c r="J71" s="52"/>
      <c r="K71" s="53">
        <f t="shared" si="0"/>
        <v>0</v>
      </c>
      <c r="L71" s="54" t="s">
        <v>6454</v>
      </c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 t="s">
        <v>6450</v>
      </c>
      <c r="B73" s="45" t="s">
        <v>6451</v>
      </c>
      <c r="C73" s="46">
        <v>24</v>
      </c>
      <c r="D73" s="47" t="s">
        <v>6452</v>
      </c>
      <c r="E73" s="48">
        <v>1</v>
      </c>
      <c r="F73" s="49">
        <v>1.44</v>
      </c>
      <c r="G73" s="50"/>
      <c r="H73" s="51"/>
      <c r="I73" s="45"/>
      <c r="J73" s="52"/>
      <c r="K73" s="53">
        <f t="shared" si="0"/>
        <v>0</v>
      </c>
      <c r="L73" s="54" t="s">
        <v>6455</v>
      </c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 t="s">
        <v>6456</v>
      </c>
      <c r="B75" s="45" t="s">
        <v>6432</v>
      </c>
      <c r="C75" s="46">
        <v>28</v>
      </c>
      <c r="D75" s="47" t="s">
        <v>6457</v>
      </c>
      <c r="E75" s="48">
        <v>42</v>
      </c>
      <c r="F75" s="49">
        <v>80.28</v>
      </c>
      <c r="G75" s="50" t="s">
        <v>6437</v>
      </c>
      <c r="H75" s="51">
        <v>2438</v>
      </c>
      <c r="I75" s="45">
        <v>3353</v>
      </c>
      <c r="J75" s="52">
        <v>12</v>
      </c>
      <c r="K75" s="53">
        <f t="shared" si="0"/>
        <v>98.095368000000008</v>
      </c>
      <c r="L75" s="54"/>
    </row>
    <row r="76" spans="1:12" s="55" customFormat="1" ht="19.5" customHeight="1" x14ac:dyDescent="0.3">
      <c r="A76" s="44"/>
      <c r="B76" s="45"/>
      <c r="C76" s="46">
        <v>28</v>
      </c>
      <c r="D76" s="47" t="s">
        <v>6433</v>
      </c>
      <c r="E76" s="48">
        <v>5</v>
      </c>
      <c r="F76" s="49">
        <v>8.9600000000000009</v>
      </c>
      <c r="G76" s="50" t="s">
        <v>6395</v>
      </c>
      <c r="H76" s="51">
        <v>2438</v>
      </c>
      <c r="I76" s="45">
        <v>3353</v>
      </c>
      <c r="J76" s="52">
        <v>3</v>
      </c>
      <c r="K76" s="53">
        <f t="shared" si="0"/>
        <v>24.523842000000002</v>
      </c>
      <c r="L76" s="54"/>
    </row>
    <row r="77" spans="1:12" s="55" customFormat="1" ht="19.5" customHeight="1" x14ac:dyDescent="0.3">
      <c r="A77" s="44"/>
      <c r="B77" s="45"/>
      <c r="C77" s="46">
        <v>28</v>
      </c>
      <c r="D77" s="47" t="s">
        <v>6434</v>
      </c>
      <c r="E77" s="48">
        <v>1</v>
      </c>
      <c r="F77" s="49">
        <v>0.67</v>
      </c>
      <c r="G77" s="50" t="s">
        <v>6395</v>
      </c>
      <c r="H77" s="51">
        <v>2438</v>
      </c>
      <c r="I77" s="45">
        <v>3048</v>
      </c>
      <c r="J77" s="52">
        <v>9</v>
      </c>
      <c r="K77" s="53">
        <f t="shared" si="0"/>
        <v>66.879216000000014</v>
      </c>
      <c r="L77" s="54"/>
    </row>
    <row r="78" spans="1:12" s="55" customFormat="1" ht="19.5" customHeight="1" x14ac:dyDescent="0.3">
      <c r="A78" s="44"/>
      <c r="B78" s="45"/>
      <c r="C78" s="46">
        <v>28</v>
      </c>
      <c r="D78" s="47" t="s">
        <v>6433</v>
      </c>
      <c r="E78" s="48">
        <v>1</v>
      </c>
      <c r="F78" s="49">
        <v>1.97</v>
      </c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45"/>
      <c r="C79" s="46">
        <v>28</v>
      </c>
      <c r="D79" s="47" t="s">
        <v>6458</v>
      </c>
      <c r="E79" s="48">
        <v>4</v>
      </c>
      <c r="F79" s="49">
        <v>7.32</v>
      </c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/>
      <c r="B80" s="45"/>
      <c r="C80" s="46">
        <v>28</v>
      </c>
      <c r="D80" s="47" t="s">
        <v>6459</v>
      </c>
      <c r="E80" s="48">
        <v>4</v>
      </c>
      <c r="F80" s="49">
        <v>3.35</v>
      </c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45"/>
      <c r="C81" s="46">
        <v>28</v>
      </c>
      <c r="D81" s="47" t="s">
        <v>6458</v>
      </c>
      <c r="E81" s="48">
        <v>4</v>
      </c>
      <c r="F81" s="49">
        <v>11.37</v>
      </c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5" customFormat="1" ht="19.5" customHeight="1" x14ac:dyDescent="0.3">
      <c r="A83" s="44"/>
      <c r="B83" s="45"/>
      <c r="C83" s="46"/>
      <c r="D83" s="47"/>
      <c r="E83" s="48"/>
      <c r="F83" s="49"/>
      <c r="G83" s="50"/>
      <c r="H83" s="51"/>
      <c r="I83" s="45"/>
      <c r="J83" s="52"/>
      <c r="K83" s="53">
        <f t="shared" si="0"/>
        <v>0</v>
      </c>
      <c r="L83" s="54"/>
    </row>
    <row r="84" spans="1:12" s="55" customFormat="1" ht="19.5" customHeight="1" x14ac:dyDescent="0.3">
      <c r="A84" s="44"/>
      <c r="B84" s="45"/>
      <c r="C84" s="46"/>
      <c r="D84" s="47"/>
      <c r="E84" s="48"/>
      <c r="F84" s="49"/>
      <c r="G84" s="50"/>
      <c r="H84" s="51"/>
      <c r="I84" s="45"/>
      <c r="J84" s="52"/>
      <c r="K84" s="53">
        <f t="shared" si="0"/>
        <v>0</v>
      </c>
      <c r="L84" s="54"/>
    </row>
    <row r="85" spans="1:12" s="55" customFormat="1" ht="19.5" customHeight="1" x14ac:dyDescent="0.3">
      <c r="A85" s="44"/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5" customFormat="1" ht="19.5" customHeight="1" x14ac:dyDescent="0.3">
      <c r="A86" s="44"/>
      <c r="B86" s="45"/>
      <c r="C86" s="46"/>
      <c r="D86" s="47"/>
      <c r="E86" s="48"/>
      <c r="F86" s="49"/>
      <c r="G86" s="50"/>
      <c r="H86" s="51"/>
      <c r="I86" s="45"/>
      <c r="J86" s="52"/>
      <c r="K86" s="53">
        <f t="shared" si="0"/>
        <v>0</v>
      </c>
      <c r="L86" s="54"/>
    </row>
    <row r="87" spans="1:12" s="55" customFormat="1" ht="19.5" customHeight="1" x14ac:dyDescent="0.3">
      <c r="A87" s="44"/>
      <c r="B87" s="45"/>
      <c r="C87" s="46"/>
      <c r="D87" s="47"/>
      <c r="E87" s="48"/>
      <c r="F87" s="49"/>
      <c r="G87" s="50"/>
      <c r="H87" s="51"/>
      <c r="I87" s="45"/>
      <c r="J87" s="52"/>
      <c r="K87" s="53">
        <f t="shared" si="0"/>
        <v>0</v>
      </c>
      <c r="L87" s="54"/>
    </row>
    <row r="88" spans="1:12" s="55" customFormat="1" ht="19.5" customHeight="1" x14ac:dyDescent="0.3">
      <c r="A88" s="44"/>
      <c r="B88" s="45"/>
      <c r="C88" s="46"/>
      <c r="D88" s="47"/>
      <c r="E88" s="48"/>
      <c r="F88" s="49"/>
      <c r="G88" s="50"/>
      <c r="H88" s="51"/>
      <c r="I88" s="45"/>
      <c r="J88" s="52"/>
      <c r="K88" s="53">
        <f t="shared" si="0"/>
        <v>0</v>
      </c>
      <c r="L88" s="54"/>
    </row>
    <row r="89" spans="1:12" s="59" customFormat="1" ht="20.100000000000001" customHeight="1" x14ac:dyDescent="0.3">
      <c r="A89" s="44"/>
      <c r="B89" s="45"/>
      <c r="C89" s="46"/>
      <c r="D89" s="47"/>
      <c r="E89" s="56"/>
      <c r="F89" s="57"/>
      <c r="G89" s="50"/>
      <c r="H89" s="51"/>
      <c r="I89" s="45"/>
      <c r="J89" s="52"/>
      <c r="K89" s="53">
        <f t="shared" si="0"/>
        <v>0</v>
      </c>
      <c r="L89" s="58">
        <f>SUM(J44:J90)</f>
        <v>57</v>
      </c>
    </row>
    <row r="90" spans="1:12" s="59" customFormat="1" ht="20.100000000000001" customHeight="1" x14ac:dyDescent="0.3">
      <c r="A90" s="44"/>
      <c r="B90" s="45"/>
      <c r="C90" s="46"/>
      <c r="D90" s="47"/>
      <c r="E90" s="60"/>
      <c r="F90" s="61"/>
      <c r="G90" s="62"/>
      <c r="H90" s="51"/>
      <c r="I90" s="45"/>
      <c r="J90" s="63"/>
      <c r="K90" s="53">
        <f t="shared" si="0"/>
        <v>0</v>
      </c>
      <c r="L90" s="64">
        <f>SUM(K44:K90)</f>
        <v>471.58390500000007</v>
      </c>
    </row>
    <row r="91" spans="1:12" s="59" customFormat="1" ht="20.100000000000001" customHeight="1" thickBot="1" x14ac:dyDescent="0.35">
      <c r="A91" s="114"/>
      <c r="B91" s="115"/>
      <c r="C91" s="115"/>
      <c r="D91" s="115"/>
      <c r="E91" s="115"/>
      <c r="F91" s="115"/>
      <c r="G91" s="115"/>
      <c r="H91" s="115"/>
      <c r="I91" s="115"/>
      <c r="J91" s="65">
        <f>SUM(J7:J90)</f>
        <v>162</v>
      </c>
      <c r="K91" s="66">
        <f>SUM(K7:K90)</f>
        <v>1134.3881800000004</v>
      </c>
      <c r="L91" s="67"/>
    </row>
    <row r="92" spans="1:12" s="59" customFormat="1" ht="20.100000000000001" customHeight="1" thickTop="1" thickBot="1" x14ac:dyDescent="0.35">
      <c r="A92" s="116" t="s">
        <v>52</v>
      </c>
      <c r="B92" s="117"/>
      <c r="C92" s="68"/>
      <c r="D92" s="118">
        <f>J91</f>
        <v>162</v>
      </c>
      <c r="E92" s="119"/>
      <c r="F92" s="119"/>
      <c r="G92" s="120"/>
      <c r="H92" s="121"/>
      <c r="I92" s="121"/>
      <c r="J92" s="122"/>
      <c r="K92" s="119"/>
      <c r="L92" s="123"/>
    </row>
    <row r="93" spans="1:12" s="59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71"/>
    </row>
    <row r="94" spans="1:12" s="59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113"/>
      <c r="B98" s="113"/>
      <c r="C98" s="5"/>
      <c r="D98" s="5"/>
      <c r="E98" s="72"/>
      <c r="F98" s="5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113"/>
      <c r="B99" s="113"/>
      <c r="C99" s="5"/>
      <c r="D99" s="5"/>
      <c r="E99" s="5"/>
      <c r="F99" s="5"/>
      <c r="G99" s="73"/>
      <c r="H99" s="5"/>
      <c r="I99" s="74"/>
      <c r="J99" s="5"/>
      <c r="K99" s="5"/>
      <c r="L99" s="5"/>
    </row>
    <row r="100" spans="1:12" s="59" customFormat="1" ht="20.100000000000001" customHeight="1" x14ac:dyDescent="0.3">
      <c r="A100" s="113"/>
      <c r="B100" s="113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59" customFormat="1" ht="20.100000000000001" customHeight="1" x14ac:dyDescent="0.3">
      <c r="A102" s="113"/>
      <c r="B102" s="113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59" customFormat="1" ht="20.100000000000001" customHeight="1" x14ac:dyDescent="0.3">
      <c r="A103" s="113"/>
      <c r="B103" s="113"/>
      <c r="C103" s="5"/>
      <c r="D103" s="5"/>
      <c r="E103" s="5"/>
      <c r="F103" s="70"/>
      <c r="G103" s="5"/>
      <c r="H103" s="72"/>
      <c r="I103" s="72"/>
      <c r="J103" s="5"/>
      <c r="K103" s="5"/>
      <c r="L103" s="5"/>
    </row>
    <row r="104" spans="1:12" ht="20.100000000000001" customHeight="1" x14ac:dyDescent="0.3">
      <c r="A104" s="113"/>
      <c r="B104" s="113"/>
      <c r="H104" s="72"/>
      <c r="I104" s="72"/>
    </row>
    <row r="105" spans="1:12" ht="20.100000000000001" customHeight="1" x14ac:dyDescent="0.3">
      <c r="H105" s="72"/>
      <c r="I105" s="72"/>
    </row>
    <row r="106" spans="1:12" ht="20.100000000000001" customHeight="1" x14ac:dyDescent="0.3">
      <c r="H106" s="72"/>
      <c r="I106" s="72"/>
    </row>
    <row r="107" spans="1:12" ht="20.100000000000001" customHeight="1" x14ac:dyDescent="0.3">
      <c r="A107" s="113"/>
      <c r="B107" s="113"/>
      <c r="H107" s="72"/>
      <c r="I107" s="72"/>
    </row>
    <row r="108" spans="1:12" ht="20.100000000000001" customHeight="1" x14ac:dyDescent="0.3">
      <c r="A108" s="113"/>
      <c r="B108" s="113"/>
      <c r="H108" s="72"/>
      <c r="I108" s="72"/>
    </row>
    <row r="109" spans="1:12" ht="20.100000000000001" customHeight="1" x14ac:dyDescent="0.3">
      <c r="H109" s="72"/>
      <c r="I109" s="72"/>
    </row>
    <row r="110" spans="1:12" ht="20.100000000000001" customHeight="1" x14ac:dyDescent="0.3">
      <c r="H110" s="72"/>
      <c r="I110" s="72"/>
    </row>
    <row r="111" spans="1:12" ht="20.100000000000001" customHeight="1" x14ac:dyDescent="0.3">
      <c r="H111" s="72"/>
      <c r="I111" s="72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J112" s="5"/>
      <c r="K112" s="5"/>
      <c r="L112" s="5"/>
    </row>
    <row r="113" spans="1:12" s="72" customFormat="1" ht="20.100000000000001" customHeight="1" x14ac:dyDescent="0.3">
      <c r="A113" s="69"/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75" customFormat="1" ht="20.100000000000001" customHeight="1" x14ac:dyDescent="0.3">
      <c r="A114" s="69"/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1:12" s="75" customFormat="1" ht="20.100000000000001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s="75" customFormat="1" ht="19.5" customHeight="1" x14ac:dyDescent="0.3">
      <c r="A116" s="69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s="72" customFormat="1" ht="20.100000000000001" customHeight="1" x14ac:dyDescent="0.3">
      <c r="A117" s="69"/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72" customFormat="1" ht="20.100000000000001" customHeight="1" x14ac:dyDescent="0.3">
      <c r="A118" s="69"/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ht="19.5" customHeight="1" x14ac:dyDescent="0.3"/>
    <row r="120" spans="1:12" ht="19.5" customHeight="1" x14ac:dyDescent="0.3"/>
    <row r="121" spans="1:12" ht="19.5" customHeight="1" x14ac:dyDescent="0.3"/>
    <row r="122" spans="1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ht="19.5" customHeight="1" x14ac:dyDescent="0.3"/>
    <row r="148" spans="2:12" ht="19.5" customHeight="1" x14ac:dyDescent="0.3"/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</sheetData>
  <mergeCells count="30">
    <mergeCell ref="A107:B107"/>
    <mergeCell ref="A108:B108"/>
    <mergeCell ref="A98:B98"/>
    <mergeCell ref="A99:B99"/>
    <mergeCell ref="A100:B100"/>
    <mergeCell ref="A102:B102"/>
    <mergeCell ref="A103:B103"/>
    <mergeCell ref="A104:B104"/>
    <mergeCell ref="A97:B97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91:I91"/>
    <mergeCell ref="A92:B92"/>
    <mergeCell ref="D92:G92"/>
    <mergeCell ref="H92:J92"/>
    <mergeCell ref="K92:L92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L173"/>
  <sheetViews>
    <sheetView view="pageBreakPreview" topLeftCell="A61" zoomScale="85" zoomScaleNormal="100" zoomScaleSheetLayoutView="85" workbookViewId="0">
      <selection activeCell="L80" sqref="L80:L8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46218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1" si="0">(H7/1000*I7/1000)*J7</f>
        <v>0</v>
      </c>
      <c r="L7" s="26">
        <f>SUM(J7:J34)</f>
        <v>100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SUM(K7:K34)</f>
        <v>635.3951350000001</v>
      </c>
    </row>
    <row r="9" spans="1:12" s="27" customFormat="1" ht="19.5" customHeight="1" x14ac:dyDescent="0.3">
      <c r="A9" s="28" t="s">
        <v>6327</v>
      </c>
      <c r="B9" s="16" t="s">
        <v>6328</v>
      </c>
      <c r="C9" s="17">
        <v>22</v>
      </c>
      <c r="D9" s="18" t="s">
        <v>6329</v>
      </c>
      <c r="E9" s="41">
        <v>9</v>
      </c>
      <c r="F9" s="42">
        <v>14.56</v>
      </c>
      <c r="G9" s="34" t="s">
        <v>6330</v>
      </c>
      <c r="H9" s="35">
        <v>1981</v>
      </c>
      <c r="I9" s="36">
        <v>3353</v>
      </c>
      <c r="J9" s="37">
        <v>2</v>
      </c>
      <c r="K9" s="85">
        <f t="shared" si="0"/>
        <v>13.284586000000001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6331</v>
      </c>
      <c r="H10" s="35">
        <v>1981</v>
      </c>
      <c r="I10" s="36">
        <v>3353</v>
      </c>
      <c r="J10" s="37">
        <v>2</v>
      </c>
      <c r="K10" s="85">
        <f t="shared" si="0"/>
        <v>13.284586000000001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6332</v>
      </c>
      <c r="B12" s="16" t="s">
        <v>306</v>
      </c>
      <c r="C12" s="17">
        <v>22</v>
      </c>
      <c r="D12" s="18" t="s">
        <v>307</v>
      </c>
      <c r="E12" s="41">
        <v>79</v>
      </c>
      <c r="F12" s="42">
        <v>68.33</v>
      </c>
      <c r="G12" s="34" t="s">
        <v>49</v>
      </c>
      <c r="H12" s="35">
        <v>1829</v>
      </c>
      <c r="I12" s="36">
        <v>3353</v>
      </c>
      <c r="J12" s="37">
        <v>12</v>
      </c>
      <c r="K12" s="85">
        <f t="shared" si="0"/>
        <v>73.591644000000002</v>
      </c>
      <c r="L12" s="39" t="s">
        <v>6333</v>
      </c>
    </row>
    <row r="13" spans="1:12" s="27" customFormat="1" ht="19.5" customHeight="1" x14ac:dyDescent="0.3">
      <c r="A13" s="28"/>
      <c r="B13" s="16"/>
      <c r="C13" s="17">
        <v>22</v>
      </c>
      <c r="D13" s="18" t="s">
        <v>320</v>
      </c>
      <c r="E13" s="41">
        <v>78</v>
      </c>
      <c r="F13" s="42">
        <v>66.959999999999994</v>
      </c>
      <c r="G13" s="34" t="s">
        <v>18</v>
      </c>
      <c r="H13" s="35">
        <v>1829</v>
      </c>
      <c r="I13" s="36">
        <v>3353</v>
      </c>
      <c r="J13" s="37">
        <v>12</v>
      </c>
      <c r="K13" s="85">
        <f t="shared" si="0"/>
        <v>73.591644000000002</v>
      </c>
      <c r="L13" s="39" t="s">
        <v>6333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39</v>
      </c>
      <c r="H14" s="35">
        <v>1829</v>
      </c>
      <c r="I14" s="36">
        <v>3353</v>
      </c>
      <c r="J14" s="37">
        <v>23</v>
      </c>
      <c r="K14" s="85">
        <f t="shared" si="0"/>
        <v>141.05065099999999</v>
      </c>
      <c r="L14" s="39" t="s">
        <v>6333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85">
        <f t="shared" si="0"/>
        <v>0</v>
      </c>
      <c r="L15" s="39"/>
    </row>
    <row r="16" spans="1:12" s="27" customFormat="1" ht="19.5" customHeight="1" x14ac:dyDescent="0.3">
      <c r="A16" s="28" t="s">
        <v>6334</v>
      </c>
      <c r="B16" s="16" t="s">
        <v>6335</v>
      </c>
      <c r="C16" s="17">
        <v>22</v>
      </c>
      <c r="D16" s="18" t="s">
        <v>6336</v>
      </c>
      <c r="E16" s="41">
        <v>6</v>
      </c>
      <c r="F16" s="42">
        <v>4.6900000000000004</v>
      </c>
      <c r="G16" s="34" t="s">
        <v>6330</v>
      </c>
      <c r="H16" s="35">
        <v>1981</v>
      </c>
      <c r="I16" s="36">
        <v>3353</v>
      </c>
      <c r="J16" s="37">
        <v>1</v>
      </c>
      <c r="K16" s="85">
        <f t="shared" si="0"/>
        <v>6.6422930000000004</v>
      </c>
      <c r="L16" s="39"/>
    </row>
    <row r="17" spans="1:12" s="27" customFormat="1" ht="19.5" customHeight="1" x14ac:dyDescent="0.3">
      <c r="A17" s="28"/>
      <c r="B17" s="16"/>
      <c r="C17" s="17">
        <v>27.76</v>
      </c>
      <c r="D17" s="18" t="s">
        <v>6337</v>
      </c>
      <c r="E17" s="41">
        <v>6</v>
      </c>
      <c r="F17" s="42">
        <v>5.04</v>
      </c>
      <c r="G17" s="34" t="s">
        <v>6338</v>
      </c>
      <c r="H17" s="35">
        <v>1981</v>
      </c>
      <c r="I17" s="36">
        <v>3353</v>
      </c>
      <c r="J17" s="37">
        <v>2</v>
      </c>
      <c r="K17" s="85">
        <f t="shared" si="0"/>
        <v>13.284586000000001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</row>
    <row r="19" spans="1:12" s="27" customFormat="1" ht="19.5" customHeight="1" x14ac:dyDescent="0.3">
      <c r="A19" s="28" t="s">
        <v>6339</v>
      </c>
      <c r="B19" s="16" t="s">
        <v>306</v>
      </c>
      <c r="C19" s="17">
        <v>22</v>
      </c>
      <c r="D19" s="18" t="s">
        <v>307</v>
      </c>
      <c r="E19" s="41">
        <v>90</v>
      </c>
      <c r="F19" s="42">
        <v>71.400000000000006</v>
      </c>
      <c r="G19" s="34" t="s">
        <v>49</v>
      </c>
      <c r="H19" s="35">
        <v>1829</v>
      </c>
      <c r="I19" s="36">
        <v>3353</v>
      </c>
      <c r="J19" s="37">
        <v>12</v>
      </c>
      <c r="K19" s="85">
        <f t="shared" si="0"/>
        <v>73.591644000000002</v>
      </c>
      <c r="L19" s="39" t="s">
        <v>6340</v>
      </c>
    </row>
    <row r="20" spans="1:12" s="27" customFormat="1" ht="19.5" customHeight="1" x14ac:dyDescent="0.3">
      <c r="A20" s="28"/>
      <c r="B20" s="16"/>
      <c r="C20" s="17">
        <v>22</v>
      </c>
      <c r="D20" s="18" t="s">
        <v>320</v>
      </c>
      <c r="E20" s="41">
        <v>90</v>
      </c>
      <c r="F20" s="42">
        <v>71.400000000000006</v>
      </c>
      <c r="G20" s="34" t="s">
        <v>39</v>
      </c>
      <c r="H20" s="35">
        <v>1829</v>
      </c>
      <c r="I20" s="36">
        <v>3353</v>
      </c>
      <c r="J20" s="37">
        <v>25</v>
      </c>
      <c r="K20" s="85">
        <f t="shared" si="0"/>
        <v>153.31592499999999</v>
      </c>
      <c r="L20" s="39" t="s">
        <v>6341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0"/>
        <v>0</v>
      </c>
      <c r="L21" s="39"/>
    </row>
    <row r="22" spans="1:12" s="27" customFormat="1" ht="19.5" customHeight="1" x14ac:dyDescent="0.3">
      <c r="A22" s="28" t="s">
        <v>6342</v>
      </c>
      <c r="B22" s="16" t="s">
        <v>6343</v>
      </c>
      <c r="C22" s="17">
        <v>12</v>
      </c>
      <c r="D22" s="18" t="s">
        <v>6344</v>
      </c>
      <c r="E22" s="41">
        <v>8</v>
      </c>
      <c r="F22" s="42">
        <v>6.63</v>
      </c>
      <c r="G22" s="34" t="s">
        <v>6346</v>
      </c>
      <c r="H22" s="35">
        <v>2743</v>
      </c>
      <c r="I22" s="36">
        <v>3048</v>
      </c>
      <c r="J22" s="37">
        <v>1</v>
      </c>
      <c r="K22" s="85">
        <f t="shared" si="0"/>
        <v>8.3606639999999981</v>
      </c>
      <c r="L22" s="39"/>
    </row>
    <row r="23" spans="1:12" s="27" customFormat="1" ht="19.5" customHeight="1" x14ac:dyDescent="0.3">
      <c r="A23" s="28"/>
      <c r="B23" s="16"/>
      <c r="C23" s="17">
        <v>8</v>
      </c>
      <c r="D23" s="18" t="s">
        <v>6345</v>
      </c>
      <c r="E23" s="41">
        <v>16</v>
      </c>
      <c r="F23" s="42">
        <v>11.68</v>
      </c>
      <c r="G23" s="34" t="s">
        <v>6347</v>
      </c>
      <c r="H23" s="35">
        <v>2438</v>
      </c>
      <c r="I23" s="36">
        <v>3353</v>
      </c>
      <c r="J23" s="37">
        <v>2</v>
      </c>
      <c r="K23" s="85">
        <f t="shared" si="0"/>
        <v>16.349228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 t="s">
        <v>6348</v>
      </c>
      <c r="B25" s="16" t="s">
        <v>6349</v>
      </c>
      <c r="C25" s="17">
        <v>8</v>
      </c>
      <c r="D25" s="18" t="s">
        <v>6345</v>
      </c>
      <c r="E25" s="41">
        <v>18</v>
      </c>
      <c r="F25" s="42">
        <v>35.83</v>
      </c>
      <c r="G25" s="34" t="s">
        <v>6347</v>
      </c>
      <c r="H25" s="35">
        <v>2438</v>
      </c>
      <c r="I25" s="36">
        <v>3353</v>
      </c>
      <c r="J25" s="37">
        <v>6</v>
      </c>
      <c r="K25" s="85">
        <f t="shared" si="0"/>
        <v>49.047684000000004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8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25">
        <f t="shared" si="0"/>
        <v>0</v>
      </c>
      <c r="L34" s="39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6350</v>
      </c>
      <c r="B36" s="45" t="s">
        <v>6351</v>
      </c>
      <c r="C36" s="46">
        <v>28</v>
      </c>
      <c r="D36" s="47" t="s">
        <v>6352</v>
      </c>
      <c r="E36" s="48">
        <v>18</v>
      </c>
      <c r="F36" s="49">
        <v>22.75</v>
      </c>
      <c r="G36" s="50" t="s">
        <v>6354</v>
      </c>
      <c r="H36" s="51">
        <v>2438</v>
      </c>
      <c r="I36" s="45">
        <v>3353</v>
      </c>
      <c r="J36" s="52">
        <v>6</v>
      </c>
      <c r="K36" s="53">
        <f t="shared" si="0"/>
        <v>49.047684000000004</v>
      </c>
      <c r="L36" s="54"/>
    </row>
    <row r="37" spans="1:12" s="55" customFormat="1" ht="19.5" customHeight="1" x14ac:dyDescent="0.3">
      <c r="A37" s="44"/>
      <c r="B37" s="45"/>
      <c r="C37" s="46">
        <v>28</v>
      </c>
      <c r="D37" s="47" t="s">
        <v>6352</v>
      </c>
      <c r="E37" s="48">
        <v>3</v>
      </c>
      <c r="F37" s="49">
        <v>6.39</v>
      </c>
      <c r="G37" s="50" t="s">
        <v>6355</v>
      </c>
      <c r="H37" s="51">
        <v>2438</v>
      </c>
      <c r="I37" s="45">
        <v>3353</v>
      </c>
      <c r="J37" s="52">
        <v>6</v>
      </c>
      <c r="K37" s="53">
        <f t="shared" si="0"/>
        <v>49.047684000000004</v>
      </c>
      <c r="L37" s="54"/>
    </row>
    <row r="38" spans="1:12" s="55" customFormat="1" ht="19.5" customHeight="1" x14ac:dyDescent="0.3">
      <c r="A38" s="44"/>
      <c r="B38" s="45"/>
      <c r="C38" s="46">
        <v>28</v>
      </c>
      <c r="D38" s="47" t="s">
        <v>6353</v>
      </c>
      <c r="E38" s="48">
        <v>12</v>
      </c>
      <c r="F38" s="49">
        <v>16.62</v>
      </c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6356</v>
      </c>
      <c r="B40" s="45" t="s">
        <v>6351</v>
      </c>
      <c r="C40" s="46">
        <v>28</v>
      </c>
      <c r="D40" s="47" t="s">
        <v>6352</v>
      </c>
      <c r="E40" s="48">
        <v>4</v>
      </c>
      <c r="F40" s="49">
        <v>5.44</v>
      </c>
      <c r="G40" s="50" t="s">
        <v>6354</v>
      </c>
      <c r="H40" s="51">
        <v>2438</v>
      </c>
      <c r="I40" s="45">
        <v>3353</v>
      </c>
      <c r="J40" s="52">
        <v>3</v>
      </c>
      <c r="K40" s="53">
        <f t="shared" si="0"/>
        <v>24.523842000000002</v>
      </c>
      <c r="L40" s="54"/>
    </row>
    <row r="41" spans="1:12" s="55" customFormat="1" ht="19.5" customHeight="1" x14ac:dyDescent="0.3">
      <c r="A41" s="44"/>
      <c r="B41" s="45"/>
      <c r="C41" s="46">
        <v>28</v>
      </c>
      <c r="D41" s="47" t="s">
        <v>6352</v>
      </c>
      <c r="E41" s="48">
        <v>7</v>
      </c>
      <c r="F41" s="49">
        <v>17.3</v>
      </c>
      <c r="G41" s="50" t="s">
        <v>6355</v>
      </c>
      <c r="H41" s="51">
        <v>2438</v>
      </c>
      <c r="I41" s="45">
        <v>3353</v>
      </c>
      <c r="J41" s="52">
        <v>4</v>
      </c>
      <c r="K41" s="53">
        <f t="shared" si="0"/>
        <v>32.698456</v>
      </c>
      <c r="L41" s="54"/>
    </row>
    <row r="42" spans="1:12" s="55" customFormat="1" ht="19.5" customHeight="1" x14ac:dyDescent="0.3">
      <c r="A42" s="44"/>
      <c r="B42" s="45"/>
      <c r="C42" s="46">
        <v>28</v>
      </c>
      <c r="D42" s="47" t="s">
        <v>6353</v>
      </c>
      <c r="E42" s="48">
        <v>3</v>
      </c>
      <c r="F42" s="49">
        <v>3.02</v>
      </c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6357</v>
      </c>
      <c r="B44" s="45" t="s">
        <v>6351</v>
      </c>
      <c r="C44" s="46">
        <v>28</v>
      </c>
      <c r="D44" s="47" t="s">
        <v>6352</v>
      </c>
      <c r="E44" s="48">
        <v>1</v>
      </c>
      <c r="F44" s="49">
        <v>1.7</v>
      </c>
      <c r="G44" s="50" t="s">
        <v>6354</v>
      </c>
      <c r="H44" s="51">
        <v>2438</v>
      </c>
      <c r="I44" s="45">
        <v>3353</v>
      </c>
      <c r="J44" s="52">
        <v>3</v>
      </c>
      <c r="K44" s="53">
        <f t="shared" si="0"/>
        <v>24.523842000000002</v>
      </c>
      <c r="L44" s="54"/>
    </row>
    <row r="45" spans="1:12" s="55" customFormat="1" ht="19.5" customHeight="1" x14ac:dyDescent="0.3">
      <c r="A45" s="44"/>
      <c r="B45" s="45"/>
      <c r="C45" s="46">
        <v>28</v>
      </c>
      <c r="D45" s="47" t="s">
        <v>6353</v>
      </c>
      <c r="E45" s="48">
        <v>3</v>
      </c>
      <c r="F45" s="49">
        <v>2.73</v>
      </c>
      <c r="G45" s="50" t="s">
        <v>6355</v>
      </c>
      <c r="H45" s="51">
        <v>2438</v>
      </c>
      <c r="I45" s="45">
        <v>3353</v>
      </c>
      <c r="J45" s="52">
        <v>3</v>
      </c>
      <c r="K45" s="53">
        <f t="shared" si="0"/>
        <v>24.523842000000002</v>
      </c>
      <c r="L45" s="54"/>
    </row>
    <row r="46" spans="1:12" s="55" customFormat="1" ht="19.5" customHeight="1" x14ac:dyDescent="0.3">
      <c r="A46" s="44"/>
      <c r="B46" s="45"/>
      <c r="C46" s="46">
        <v>28</v>
      </c>
      <c r="D46" s="47" t="s">
        <v>6358</v>
      </c>
      <c r="E46" s="48">
        <v>4</v>
      </c>
      <c r="F46" s="49">
        <v>5.24</v>
      </c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>
        <v>28</v>
      </c>
      <c r="D47" s="47" t="s">
        <v>6359</v>
      </c>
      <c r="E47" s="48">
        <v>4</v>
      </c>
      <c r="F47" s="49">
        <v>10.77</v>
      </c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6360</v>
      </c>
      <c r="B49" s="45" t="s">
        <v>6361</v>
      </c>
      <c r="C49" s="46">
        <v>24</v>
      </c>
      <c r="D49" s="47" t="s">
        <v>6362</v>
      </c>
      <c r="E49" s="48">
        <v>1</v>
      </c>
      <c r="F49" s="49">
        <v>1.51</v>
      </c>
      <c r="G49" s="50"/>
      <c r="H49" s="51"/>
      <c r="I49" s="45"/>
      <c r="J49" s="52"/>
      <c r="K49" s="53">
        <f t="shared" si="0"/>
        <v>0</v>
      </c>
      <c r="L49" s="54" t="s">
        <v>6363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6360</v>
      </c>
      <c r="B51" s="45" t="s">
        <v>6361</v>
      </c>
      <c r="C51" s="46">
        <v>24</v>
      </c>
      <c r="D51" s="47" t="s">
        <v>6362</v>
      </c>
      <c r="E51" s="48">
        <v>3</v>
      </c>
      <c r="F51" s="49">
        <v>4.4400000000000004</v>
      </c>
      <c r="G51" s="50"/>
      <c r="H51" s="51"/>
      <c r="I51" s="45"/>
      <c r="J51" s="52"/>
      <c r="K51" s="53">
        <f t="shared" si="0"/>
        <v>0</v>
      </c>
      <c r="L51" s="54" t="s">
        <v>6364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6365</v>
      </c>
      <c r="B53" s="45" t="s">
        <v>6351</v>
      </c>
      <c r="C53" s="46">
        <v>28</v>
      </c>
      <c r="D53" s="47" t="s">
        <v>6366</v>
      </c>
      <c r="E53" s="48">
        <v>19</v>
      </c>
      <c r="F53" s="49">
        <v>38.17</v>
      </c>
      <c r="G53" s="50" t="s">
        <v>6354</v>
      </c>
      <c r="H53" s="51">
        <v>2438</v>
      </c>
      <c r="I53" s="45">
        <v>3353</v>
      </c>
      <c r="J53" s="52">
        <v>6</v>
      </c>
      <c r="K53" s="53">
        <f t="shared" si="0"/>
        <v>49.047684000000004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 t="s">
        <v>6355</v>
      </c>
      <c r="H54" s="51">
        <v>2438</v>
      </c>
      <c r="I54" s="45">
        <v>3048</v>
      </c>
      <c r="J54" s="52">
        <v>7</v>
      </c>
      <c r="K54" s="53">
        <f t="shared" si="0"/>
        <v>52.017168000000005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6367</v>
      </c>
      <c r="B56" s="45" t="s">
        <v>6368</v>
      </c>
      <c r="C56" s="46">
        <v>24</v>
      </c>
      <c r="D56" s="47" t="s">
        <v>6369</v>
      </c>
      <c r="E56" s="48">
        <v>3</v>
      </c>
      <c r="F56" s="49">
        <v>1.67</v>
      </c>
      <c r="G56" s="50"/>
      <c r="H56" s="51"/>
      <c r="I56" s="45"/>
      <c r="J56" s="52"/>
      <c r="K56" s="53">
        <f t="shared" si="0"/>
        <v>0</v>
      </c>
      <c r="L56" s="54" t="s">
        <v>6363</v>
      </c>
    </row>
    <row r="57" spans="1:12" s="55" customFormat="1" ht="19.5" customHeight="1" x14ac:dyDescent="0.3">
      <c r="A57" s="44"/>
      <c r="B57" s="45"/>
      <c r="C57" s="46">
        <v>39</v>
      </c>
      <c r="D57" s="47" t="s">
        <v>6370</v>
      </c>
      <c r="E57" s="48">
        <v>1</v>
      </c>
      <c r="F57" s="49">
        <v>0.35</v>
      </c>
      <c r="G57" s="50"/>
      <c r="H57" s="51"/>
      <c r="I57" s="45"/>
      <c r="J57" s="52"/>
      <c r="K57" s="53">
        <f t="shared" si="0"/>
        <v>0</v>
      </c>
      <c r="L57" s="54" t="s">
        <v>6364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6371</v>
      </c>
      <c r="B59" s="45" t="s">
        <v>6361</v>
      </c>
      <c r="C59" s="46">
        <v>24</v>
      </c>
      <c r="D59" s="47" t="s">
        <v>6372</v>
      </c>
      <c r="E59" s="48">
        <v>1</v>
      </c>
      <c r="F59" s="49">
        <v>1.91</v>
      </c>
      <c r="G59" s="50" t="s">
        <v>6374</v>
      </c>
      <c r="H59" s="51">
        <v>1981</v>
      </c>
      <c r="I59" s="45">
        <v>3353</v>
      </c>
      <c r="J59" s="52">
        <v>1</v>
      </c>
      <c r="K59" s="53">
        <f t="shared" si="0"/>
        <v>6.6422930000000004</v>
      </c>
      <c r="L59" s="54" t="s">
        <v>6375</v>
      </c>
    </row>
    <row r="60" spans="1:12" s="55" customFormat="1" ht="19.5" customHeight="1" x14ac:dyDescent="0.3">
      <c r="A60" s="44"/>
      <c r="B60" s="45"/>
      <c r="C60" s="46">
        <v>24</v>
      </c>
      <c r="D60" s="47" t="s">
        <v>6362</v>
      </c>
      <c r="E60" s="48">
        <v>1</v>
      </c>
      <c r="F60" s="49">
        <v>1.77</v>
      </c>
      <c r="G60" s="50" t="s">
        <v>6330</v>
      </c>
      <c r="H60" s="51">
        <v>1981</v>
      </c>
      <c r="I60" s="45">
        <v>3353</v>
      </c>
      <c r="J60" s="52">
        <v>1</v>
      </c>
      <c r="K60" s="53">
        <f t="shared" si="0"/>
        <v>6.6422930000000004</v>
      </c>
      <c r="L60" s="54" t="s">
        <v>6375</v>
      </c>
    </row>
    <row r="61" spans="1:12" s="55" customFormat="1" ht="19.5" customHeight="1" x14ac:dyDescent="0.3">
      <c r="A61" s="44" t="s">
        <v>6373</v>
      </c>
      <c r="B61" s="45" t="s">
        <v>6361</v>
      </c>
      <c r="C61" s="46">
        <v>24</v>
      </c>
      <c r="D61" s="47" t="s">
        <v>6362</v>
      </c>
      <c r="E61" s="48">
        <v>1</v>
      </c>
      <c r="F61" s="49">
        <v>1.62</v>
      </c>
      <c r="G61" s="50"/>
      <c r="H61" s="51"/>
      <c r="I61" s="45"/>
      <c r="J61" s="52"/>
      <c r="K61" s="53">
        <f t="shared" si="0"/>
        <v>0</v>
      </c>
      <c r="L61" s="54" t="s">
        <v>6375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6376</v>
      </c>
      <c r="B63" s="45" t="s">
        <v>6377</v>
      </c>
      <c r="C63" s="46">
        <v>24</v>
      </c>
      <c r="D63" s="47" t="s">
        <v>6378</v>
      </c>
      <c r="E63" s="48">
        <v>12</v>
      </c>
      <c r="F63" s="49">
        <v>11.22</v>
      </c>
      <c r="G63" s="50" t="s">
        <v>6355</v>
      </c>
      <c r="H63" s="51">
        <v>2438</v>
      </c>
      <c r="I63" s="45">
        <v>3353</v>
      </c>
      <c r="J63" s="52">
        <v>2</v>
      </c>
      <c r="K63" s="53">
        <f t="shared" si="0"/>
        <v>16.349228</v>
      </c>
      <c r="L63" s="54" t="s">
        <v>6381</v>
      </c>
    </row>
    <row r="64" spans="1:12" s="55" customFormat="1" ht="19.5" customHeight="1" x14ac:dyDescent="0.3">
      <c r="A64" s="44" t="s">
        <v>6348</v>
      </c>
      <c r="B64" s="45" t="s">
        <v>6349</v>
      </c>
      <c r="C64" s="46">
        <v>24</v>
      </c>
      <c r="D64" s="47" t="s">
        <v>6379</v>
      </c>
      <c r="E64" s="48">
        <v>1</v>
      </c>
      <c r="F64" s="49">
        <v>3.58</v>
      </c>
      <c r="G64" s="50" t="s">
        <v>6380</v>
      </c>
      <c r="H64" s="51">
        <v>2134</v>
      </c>
      <c r="I64" s="45">
        <v>3353</v>
      </c>
      <c r="J64" s="52">
        <v>2</v>
      </c>
      <c r="K64" s="53">
        <f t="shared" si="0"/>
        <v>14.310604</v>
      </c>
      <c r="L64" s="54" t="s">
        <v>6381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6334</v>
      </c>
      <c r="B66" s="45" t="s">
        <v>6335</v>
      </c>
      <c r="C66" s="46">
        <v>42.76</v>
      </c>
      <c r="D66" s="47" t="s">
        <v>6382</v>
      </c>
      <c r="E66" s="48">
        <v>5</v>
      </c>
      <c r="F66" s="49">
        <v>2.73</v>
      </c>
      <c r="G66" s="50" t="s">
        <v>6384</v>
      </c>
      <c r="H66" s="51">
        <v>2438</v>
      </c>
      <c r="I66" s="45">
        <v>3353</v>
      </c>
      <c r="J66" s="52">
        <v>1</v>
      </c>
      <c r="K66" s="53">
        <f t="shared" si="0"/>
        <v>8.174614</v>
      </c>
      <c r="L66" s="54"/>
    </row>
    <row r="67" spans="1:12" s="55" customFormat="1" ht="19.5" customHeight="1" x14ac:dyDescent="0.3">
      <c r="A67" s="44"/>
      <c r="B67" s="45"/>
      <c r="C67" s="46">
        <v>43</v>
      </c>
      <c r="D67" s="47" t="s">
        <v>6383</v>
      </c>
      <c r="E67" s="48">
        <v>1</v>
      </c>
      <c r="F67" s="49">
        <v>0.28000000000000003</v>
      </c>
      <c r="G67" s="50" t="s">
        <v>6385</v>
      </c>
      <c r="H67" s="51">
        <v>1829</v>
      </c>
      <c r="I67" s="45">
        <v>3048</v>
      </c>
      <c r="J67" s="52">
        <v>1</v>
      </c>
      <c r="K67" s="53">
        <f t="shared" si="0"/>
        <v>5.5747919999999995</v>
      </c>
      <c r="L67" s="54" t="s">
        <v>6387</v>
      </c>
    </row>
    <row r="68" spans="1:12" s="55" customFormat="1" ht="19.5" customHeight="1" x14ac:dyDescent="0.3">
      <c r="A68" s="44"/>
      <c r="B68" s="45"/>
      <c r="C68" s="46">
        <v>27.76</v>
      </c>
      <c r="D68" s="47" t="s">
        <v>6337</v>
      </c>
      <c r="E68" s="48">
        <v>6</v>
      </c>
      <c r="F68" s="49">
        <v>5.04</v>
      </c>
      <c r="G68" s="50" t="s">
        <v>6386</v>
      </c>
      <c r="H68" s="51">
        <v>1981</v>
      </c>
      <c r="I68" s="45">
        <v>3353</v>
      </c>
      <c r="J68" s="52">
        <v>1</v>
      </c>
      <c r="K68" s="53">
        <f t="shared" si="0"/>
        <v>6.6422930000000004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 t="s">
        <v>6388</v>
      </c>
      <c r="B70" s="45" t="s">
        <v>6351</v>
      </c>
      <c r="C70" s="46">
        <v>28</v>
      </c>
      <c r="D70" s="47" t="s">
        <v>6352</v>
      </c>
      <c r="E70" s="48">
        <v>5</v>
      </c>
      <c r="F70" s="49">
        <v>8.9600000000000009</v>
      </c>
      <c r="G70" s="50" t="s">
        <v>6354</v>
      </c>
      <c r="H70" s="51">
        <v>2438</v>
      </c>
      <c r="I70" s="45">
        <v>3353</v>
      </c>
      <c r="J70" s="52">
        <v>5</v>
      </c>
      <c r="K70" s="53">
        <f t="shared" si="0"/>
        <v>40.873069999999998</v>
      </c>
      <c r="L70" s="54"/>
    </row>
    <row r="71" spans="1:12" s="55" customFormat="1" ht="19.5" customHeight="1" x14ac:dyDescent="0.3">
      <c r="A71" s="44"/>
      <c r="B71" s="45"/>
      <c r="C71" s="46">
        <v>28</v>
      </c>
      <c r="D71" s="47" t="s">
        <v>6353</v>
      </c>
      <c r="E71" s="48">
        <v>1</v>
      </c>
      <c r="F71" s="49">
        <v>0.67</v>
      </c>
      <c r="G71" s="50" t="s">
        <v>6355</v>
      </c>
      <c r="H71" s="51">
        <v>2134</v>
      </c>
      <c r="I71" s="45">
        <v>3353</v>
      </c>
      <c r="J71" s="52">
        <v>5</v>
      </c>
      <c r="K71" s="53">
        <f t="shared" si="0"/>
        <v>35.776510000000002</v>
      </c>
      <c r="L71" s="54"/>
    </row>
    <row r="72" spans="1:12" s="55" customFormat="1" ht="19.5" customHeight="1" x14ac:dyDescent="0.3">
      <c r="A72" s="44"/>
      <c r="B72" s="45"/>
      <c r="C72" s="46">
        <v>28</v>
      </c>
      <c r="D72" s="47" t="s">
        <v>6352</v>
      </c>
      <c r="E72" s="48">
        <v>1</v>
      </c>
      <c r="F72" s="49">
        <v>1.97</v>
      </c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45"/>
      <c r="C73" s="46">
        <v>28</v>
      </c>
      <c r="D73" s="47" t="s">
        <v>6359</v>
      </c>
      <c r="E73" s="48">
        <v>4</v>
      </c>
      <c r="F73" s="49">
        <v>7.32</v>
      </c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45"/>
      <c r="C74" s="46">
        <v>28</v>
      </c>
      <c r="D74" s="47" t="s">
        <v>6358</v>
      </c>
      <c r="E74" s="48">
        <v>4</v>
      </c>
      <c r="F74" s="49">
        <v>3.35</v>
      </c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46">
        <v>28</v>
      </c>
      <c r="D75" s="47" t="s">
        <v>6359</v>
      </c>
      <c r="E75" s="48">
        <v>4</v>
      </c>
      <c r="F75" s="49">
        <v>11.37</v>
      </c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9" customFormat="1" ht="20.100000000000001" customHeight="1" x14ac:dyDescent="0.3">
      <c r="A80" s="44"/>
      <c r="B80" s="45"/>
      <c r="C80" s="46"/>
      <c r="D80" s="47"/>
      <c r="E80" s="56"/>
      <c r="F80" s="57"/>
      <c r="G80" s="50"/>
      <c r="H80" s="51"/>
      <c r="I80" s="45"/>
      <c r="J80" s="52"/>
      <c r="K80" s="53">
        <f t="shared" si="0"/>
        <v>0</v>
      </c>
      <c r="L80" s="58">
        <f>SUM(J35:J81)</f>
        <v>57</v>
      </c>
    </row>
    <row r="81" spans="1:12" s="59" customFormat="1" ht="20.100000000000001" customHeight="1" x14ac:dyDescent="0.3">
      <c r="A81" s="44"/>
      <c r="B81" s="45"/>
      <c r="C81" s="46"/>
      <c r="D81" s="47"/>
      <c r="E81" s="60"/>
      <c r="F81" s="61"/>
      <c r="G81" s="62"/>
      <c r="H81" s="51"/>
      <c r="I81" s="45"/>
      <c r="J81" s="63"/>
      <c r="K81" s="53">
        <f t="shared" si="0"/>
        <v>0</v>
      </c>
      <c r="L81" s="64">
        <f>SUM(K35:K81)</f>
        <v>446.41589899999997</v>
      </c>
    </row>
    <row r="82" spans="1:12" s="59" customFormat="1" ht="20.100000000000001" customHeight="1" thickBot="1" x14ac:dyDescent="0.35">
      <c r="A82" s="114"/>
      <c r="B82" s="115"/>
      <c r="C82" s="115"/>
      <c r="D82" s="115"/>
      <c r="E82" s="115"/>
      <c r="F82" s="115"/>
      <c r="G82" s="115"/>
      <c r="H82" s="115"/>
      <c r="I82" s="115"/>
      <c r="J82" s="65">
        <f>SUM(J7:J81)</f>
        <v>157</v>
      </c>
      <c r="K82" s="66">
        <f>SUM(K7:K81)</f>
        <v>1081.8110340000001</v>
      </c>
      <c r="L82" s="67"/>
    </row>
    <row r="83" spans="1:12" s="59" customFormat="1" ht="20.100000000000001" customHeight="1" thickTop="1" thickBot="1" x14ac:dyDescent="0.35">
      <c r="A83" s="116" t="s">
        <v>52</v>
      </c>
      <c r="B83" s="117"/>
      <c r="C83" s="68"/>
      <c r="D83" s="118">
        <f>J82</f>
        <v>157</v>
      </c>
      <c r="E83" s="119"/>
      <c r="F83" s="119"/>
      <c r="G83" s="120"/>
      <c r="H83" s="121"/>
      <c r="I83" s="121"/>
      <c r="J83" s="122"/>
      <c r="K83" s="119"/>
      <c r="L83" s="123"/>
    </row>
    <row r="84" spans="1:12" s="59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71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72"/>
      <c r="F89" s="5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5"/>
      <c r="G90" s="73"/>
      <c r="H90" s="5"/>
      <c r="I90" s="74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72"/>
      <c r="I94" s="72"/>
      <c r="J94" s="5"/>
      <c r="K94" s="5"/>
      <c r="L94" s="5"/>
    </row>
    <row r="95" spans="1:12" ht="20.100000000000001" customHeight="1" x14ac:dyDescent="0.3">
      <c r="A95" s="113"/>
      <c r="B95" s="113"/>
      <c r="H95" s="72"/>
      <c r="I95" s="72"/>
    </row>
    <row r="96" spans="1:12" ht="20.100000000000001" customHeight="1" x14ac:dyDescent="0.3">
      <c r="H96" s="72"/>
      <c r="I96" s="72"/>
    </row>
    <row r="97" spans="1:12" ht="20.100000000000001" customHeight="1" x14ac:dyDescent="0.3">
      <c r="H97" s="72"/>
      <c r="I97" s="72"/>
    </row>
    <row r="98" spans="1:12" ht="20.100000000000001" customHeight="1" x14ac:dyDescent="0.3">
      <c r="A98" s="113"/>
      <c r="B98" s="113"/>
      <c r="H98" s="72"/>
      <c r="I98" s="72"/>
    </row>
    <row r="99" spans="1:12" ht="20.100000000000001" customHeight="1" x14ac:dyDescent="0.3">
      <c r="A99" s="113"/>
      <c r="B99" s="113"/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H101" s="72"/>
      <c r="I101" s="72"/>
    </row>
    <row r="102" spans="1:12" ht="20.100000000000001" customHeight="1" x14ac:dyDescent="0.3">
      <c r="H102" s="72"/>
      <c r="I102" s="72"/>
    </row>
    <row r="103" spans="1:12" s="72" customFormat="1" ht="20.100000000000001" customHeight="1" x14ac:dyDescent="0.3">
      <c r="A103" s="69"/>
      <c r="B103" s="5"/>
      <c r="C103" s="5"/>
      <c r="D103" s="5"/>
      <c r="E103" s="5"/>
      <c r="F103" s="70"/>
      <c r="G103" s="5"/>
      <c r="J103" s="5"/>
      <c r="K103" s="5"/>
      <c r="L103" s="5"/>
    </row>
    <row r="104" spans="1:12" s="72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5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75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5" customFormat="1" ht="19.5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2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2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ht="19.5" customHeight="1" x14ac:dyDescent="0.3"/>
    <row r="111" spans="1:12" ht="19.5" customHeight="1" x14ac:dyDescent="0.3"/>
    <row r="112" spans="1:12" ht="19.5" customHeight="1" x14ac:dyDescent="0.3"/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8:B8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2:I82"/>
    <mergeCell ref="A83:B83"/>
    <mergeCell ref="D83:G83"/>
    <mergeCell ref="H83:J83"/>
    <mergeCell ref="K83:L83"/>
    <mergeCell ref="A98:B98"/>
    <mergeCell ref="A99:B99"/>
    <mergeCell ref="A89:B89"/>
    <mergeCell ref="A90:B90"/>
    <mergeCell ref="A91:B91"/>
    <mergeCell ref="A93:B93"/>
    <mergeCell ref="A94:B94"/>
    <mergeCell ref="A95:B95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L149"/>
  <sheetViews>
    <sheetView view="pageBreakPreview" topLeftCell="A43" zoomScale="85" zoomScaleNormal="100" zoomScaleSheetLayoutView="85" workbookViewId="0">
      <selection activeCell="L56" sqref="L56:L5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46217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7" si="0">(H7/1000*I7/1000)*J7</f>
        <v>0</v>
      </c>
      <c r="L7" s="26">
        <f>SUM(J7:J34)</f>
        <v>177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SUM(K7:K34)</f>
        <v>1114.34292</v>
      </c>
    </row>
    <row r="9" spans="1:12" s="27" customFormat="1" ht="19.5" customHeight="1" x14ac:dyDescent="0.3">
      <c r="A9" s="28" t="s">
        <v>6303</v>
      </c>
      <c r="B9" s="16" t="s">
        <v>2662</v>
      </c>
      <c r="C9" s="17">
        <v>22</v>
      </c>
      <c r="D9" s="18" t="s">
        <v>45</v>
      </c>
      <c r="E9" s="41">
        <v>54</v>
      </c>
      <c r="F9" s="42">
        <v>29.58</v>
      </c>
      <c r="G9" s="34" t="s">
        <v>49</v>
      </c>
      <c r="H9" s="35">
        <v>1981</v>
      </c>
      <c r="I9" s="36">
        <v>3353</v>
      </c>
      <c r="J9" s="37">
        <v>5</v>
      </c>
      <c r="K9" s="85">
        <f t="shared" si="0"/>
        <v>33.211465000000004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17</v>
      </c>
      <c r="E10" s="41">
        <v>72</v>
      </c>
      <c r="F10" s="42">
        <v>66.599999999999994</v>
      </c>
      <c r="G10" s="34" t="s">
        <v>18</v>
      </c>
      <c r="H10" s="35">
        <v>1981</v>
      </c>
      <c r="I10" s="36">
        <v>3353</v>
      </c>
      <c r="J10" s="37">
        <v>10</v>
      </c>
      <c r="K10" s="85">
        <f t="shared" si="0"/>
        <v>66.422930000000008</v>
      </c>
      <c r="L10" s="39"/>
    </row>
    <row r="11" spans="1:12" s="27" customFormat="1" ht="19.5" customHeight="1" x14ac:dyDescent="0.3">
      <c r="A11" s="28"/>
      <c r="B11" s="16"/>
      <c r="C11" s="17">
        <v>22</v>
      </c>
      <c r="D11" s="18" t="s">
        <v>45</v>
      </c>
      <c r="E11" s="41">
        <v>12</v>
      </c>
      <c r="F11" s="42">
        <v>3.36</v>
      </c>
      <c r="G11" s="34" t="s">
        <v>216</v>
      </c>
      <c r="H11" s="35">
        <v>1981</v>
      </c>
      <c r="I11" s="36">
        <v>3353</v>
      </c>
      <c r="J11" s="37">
        <v>15</v>
      </c>
      <c r="K11" s="25">
        <f t="shared" si="0"/>
        <v>99.634395000000012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>
        <f t="shared" si="0"/>
        <v>0</v>
      </c>
      <c r="L12" s="39"/>
    </row>
    <row r="13" spans="1:12" s="27" customFormat="1" ht="19.5" customHeight="1" x14ac:dyDescent="0.3">
      <c r="A13" s="28" t="s">
        <v>6299</v>
      </c>
      <c r="B13" s="16" t="s">
        <v>2662</v>
      </c>
      <c r="C13" s="17">
        <v>22</v>
      </c>
      <c r="D13" s="18" t="s">
        <v>45</v>
      </c>
      <c r="E13" s="41">
        <v>54</v>
      </c>
      <c r="F13" s="42">
        <v>31.26</v>
      </c>
      <c r="G13" s="34" t="s">
        <v>49</v>
      </c>
      <c r="H13" s="35">
        <v>1981</v>
      </c>
      <c r="I13" s="36">
        <v>3353</v>
      </c>
      <c r="J13" s="37">
        <v>5</v>
      </c>
      <c r="K13" s="85">
        <f t="shared" si="0"/>
        <v>33.211465000000004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17</v>
      </c>
      <c r="E14" s="41">
        <v>60</v>
      </c>
      <c r="F14" s="42">
        <v>50.64</v>
      </c>
      <c r="G14" s="34" t="s">
        <v>18</v>
      </c>
      <c r="H14" s="35">
        <v>1981</v>
      </c>
      <c r="I14" s="36">
        <v>3353</v>
      </c>
      <c r="J14" s="37">
        <v>7</v>
      </c>
      <c r="K14" s="85">
        <f t="shared" ref="K14:K21" si="1">(H14/1000*I14/1000)*J14</f>
        <v>46.496051000000001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45</v>
      </c>
      <c r="E15" s="41">
        <v>12</v>
      </c>
      <c r="F15" s="42">
        <v>3.36</v>
      </c>
      <c r="G15" s="34" t="s">
        <v>216</v>
      </c>
      <c r="H15" s="35">
        <v>1981</v>
      </c>
      <c r="I15" s="36">
        <v>3353</v>
      </c>
      <c r="J15" s="37">
        <v>13</v>
      </c>
      <c r="K15" s="85">
        <f t="shared" si="1"/>
        <v>86.349809000000008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1"/>
        <v>0</v>
      </c>
      <c r="L16" s="39"/>
    </row>
    <row r="17" spans="1:12" s="27" customFormat="1" ht="19.5" customHeight="1" x14ac:dyDescent="0.3">
      <c r="A17" s="28" t="s">
        <v>6184</v>
      </c>
      <c r="B17" s="16" t="s">
        <v>218</v>
      </c>
      <c r="C17" s="17">
        <v>24</v>
      </c>
      <c r="D17" s="18" t="s">
        <v>501</v>
      </c>
      <c r="E17" s="41">
        <v>2</v>
      </c>
      <c r="F17" s="42">
        <v>5.42</v>
      </c>
      <c r="G17" s="34" t="s">
        <v>18</v>
      </c>
      <c r="H17" s="35">
        <v>2286</v>
      </c>
      <c r="I17" s="36">
        <v>3048</v>
      </c>
      <c r="J17" s="37">
        <v>1</v>
      </c>
      <c r="K17" s="85">
        <f t="shared" si="1"/>
        <v>6.9677280000000001</v>
      </c>
      <c r="L17" s="39" t="s">
        <v>1407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1"/>
        <v>0</v>
      </c>
      <c r="L18" s="39"/>
    </row>
    <row r="19" spans="1:12" s="27" customFormat="1" ht="19.5" customHeight="1" x14ac:dyDescent="0.3">
      <c r="A19" s="28" t="s">
        <v>6314</v>
      </c>
      <c r="B19" s="16" t="s">
        <v>306</v>
      </c>
      <c r="C19" s="17">
        <v>22</v>
      </c>
      <c r="D19" s="18" t="s">
        <v>307</v>
      </c>
      <c r="E19" s="41">
        <v>124</v>
      </c>
      <c r="F19" s="42">
        <v>107.38</v>
      </c>
      <c r="G19" s="34" t="s">
        <v>49</v>
      </c>
      <c r="H19" s="35">
        <v>1829</v>
      </c>
      <c r="I19" s="36">
        <v>3353</v>
      </c>
      <c r="J19" s="37">
        <v>19</v>
      </c>
      <c r="K19" s="85">
        <f t="shared" si="1"/>
        <v>116.52010299999999</v>
      </c>
      <c r="L19" s="39" t="s">
        <v>2516</v>
      </c>
    </row>
    <row r="20" spans="1:12" s="27" customFormat="1" ht="19.5" customHeight="1" x14ac:dyDescent="0.3">
      <c r="A20" s="28"/>
      <c r="B20" s="16"/>
      <c r="C20" s="17">
        <v>22</v>
      </c>
      <c r="D20" s="18" t="s">
        <v>320</v>
      </c>
      <c r="E20" s="41">
        <v>122</v>
      </c>
      <c r="F20" s="42">
        <v>101.58</v>
      </c>
      <c r="G20" s="34" t="s">
        <v>39</v>
      </c>
      <c r="H20" s="35">
        <v>1829</v>
      </c>
      <c r="I20" s="36">
        <v>3353</v>
      </c>
      <c r="J20" s="37">
        <v>37</v>
      </c>
      <c r="K20" s="85">
        <f t="shared" si="1"/>
        <v>226.907569</v>
      </c>
      <c r="L20" s="39" t="s">
        <v>425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1"/>
        <v>0</v>
      </c>
      <c r="L21" s="39"/>
    </row>
    <row r="22" spans="1:12" s="27" customFormat="1" ht="19.5" customHeight="1" x14ac:dyDescent="0.3">
      <c r="A22" s="28" t="s">
        <v>57</v>
      </c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6314</v>
      </c>
      <c r="B23" s="16" t="s">
        <v>306</v>
      </c>
      <c r="C23" s="17">
        <v>22</v>
      </c>
      <c r="D23" s="18" t="s">
        <v>320</v>
      </c>
      <c r="E23" s="41">
        <v>122</v>
      </c>
      <c r="F23" s="42">
        <v>101.58</v>
      </c>
      <c r="G23" s="34" t="s">
        <v>18</v>
      </c>
      <c r="H23" s="35">
        <v>1829</v>
      </c>
      <c r="I23" s="36">
        <v>3353</v>
      </c>
      <c r="J23" s="37">
        <v>18</v>
      </c>
      <c r="K23" s="85">
        <f t="shared" si="0"/>
        <v>110.387466</v>
      </c>
      <c r="L23" s="39" t="s">
        <v>601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 t="s">
        <v>6320</v>
      </c>
      <c r="B25" s="16" t="s">
        <v>306</v>
      </c>
      <c r="C25" s="17">
        <v>22</v>
      </c>
      <c r="D25" s="18" t="s">
        <v>307</v>
      </c>
      <c r="E25" s="41">
        <v>64</v>
      </c>
      <c r="F25" s="42">
        <v>48.72</v>
      </c>
      <c r="G25" s="34" t="s">
        <v>49</v>
      </c>
      <c r="H25" s="35">
        <v>1829</v>
      </c>
      <c r="I25" s="36">
        <v>3353</v>
      </c>
      <c r="J25" s="37">
        <v>9</v>
      </c>
      <c r="K25" s="85">
        <f t="shared" si="0"/>
        <v>55.193733000000002</v>
      </c>
      <c r="L25" s="39" t="s">
        <v>6321</v>
      </c>
    </row>
    <row r="26" spans="1:12" s="27" customFormat="1" ht="19.5" customHeight="1" x14ac:dyDescent="0.3">
      <c r="A26" s="28"/>
      <c r="B26" s="16"/>
      <c r="C26" s="17">
        <v>22</v>
      </c>
      <c r="D26" s="18" t="s">
        <v>320</v>
      </c>
      <c r="E26" s="41">
        <v>64</v>
      </c>
      <c r="F26" s="42">
        <v>48.72</v>
      </c>
      <c r="G26" s="34" t="s">
        <v>18</v>
      </c>
      <c r="H26" s="35">
        <v>1829</v>
      </c>
      <c r="I26" s="36">
        <v>3353</v>
      </c>
      <c r="J26" s="37">
        <v>9</v>
      </c>
      <c r="K26" s="85">
        <f t="shared" si="0"/>
        <v>55.193733000000002</v>
      </c>
      <c r="L26" s="39" t="s">
        <v>6321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 t="s">
        <v>39</v>
      </c>
      <c r="H27" s="35">
        <v>1829</v>
      </c>
      <c r="I27" s="36">
        <v>3353</v>
      </c>
      <c r="J27" s="37">
        <v>17</v>
      </c>
      <c r="K27" s="85">
        <f t="shared" si="0"/>
        <v>104.254829</v>
      </c>
      <c r="L27" s="39" t="s">
        <v>6321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 t="s">
        <v>6322</v>
      </c>
      <c r="B29" s="16" t="s">
        <v>306</v>
      </c>
      <c r="C29" s="17">
        <v>22</v>
      </c>
      <c r="D29" s="18" t="s">
        <v>320</v>
      </c>
      <c r="E29" s="41">
        <v>90</v>
      </c>
      <c r="F29" s="42">
        <v>71.400000000000006</v>
      </c>
      <c r="G29" s="34" t="s">
        <v>18</v>
      </c>
      <c r="H29" s="35">
        <v>1829</v>
      </c>
      <c r="I29" s="36">
        <v>3353</v>
      </c>
      <c r="J29" s="37">
        <v>12</v>
      </c>
      <c r="K29" s="85">
        <f t="shared" si="0"/>
        <v>73.591644000000002</v>
      </c>
      <c r="L29" s="39" t="s">
        <v>601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25">
        <f t="shared" si="0"/>
        <v>0</v>
      </c>
      <c r="L34" s="39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6315</v>
      </c>
      <c r="B36" s="45" t="s">
        <v>132</v>
      </c>
      <c r="C36" s="46">
        <v>26</v>
      </c>
      <c r="D36" s="47" t="s">
        <v>6316</v>
      </c>
      <c r="E36" s="48">
        <v>1</v>
      </c>
      <c r="F36" s="49">
        <v>0.8</v>
      </c>
      <c r="G36" s="50" t="s">
        <v>6317</v>
      </c>
      <c r="H36" s="51">
        <v>2134</v>
      </c>
      <c r="I36" s="45">
        <v>3048</v>
      </c>
      <c r="J36" s="52">
        <v>1</v>
      </c>
      <c r="K36" s="53">
        <f t="shared" si="0"/>
        <v>6.5044319999999995</v>
      </c>
      <c r="L36" s="54" t="s">
        <v>166</v>
      </c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6318</v>
      </c>
      <c r="B38" s="45" t="s">
        <v>21</v>
      </c>
      <c r="C38" s="46">
        <v>25.76</v>
      </c>
      <c r="D38" s="47" t="s">
        <v>227</v>
      </c>
      <c r="E38" s="48">
        <v>10</v>
      </c>
      <c r="F38" s="49">
        <v>6.37</v>
      </c>
      <c r="G38" s="50" t="s">
        <v>18</v>
      </c>
      <c r="H38" s="51">
        <v>2134</v>
      </c>
      <c r="I38" s="45">
        <v>3353</v>
      </c>
      <c r="J38" s="52">
        <v>2</v>
      </c>
      <c r="K38" s="53">
        <f t="shared" si="0"/>
        <v>14.310604</v>
      </c>
      <c r="L38" s="54"/>
    </row>
    <row r="39" spans="1:12" s="55" customFormat="1" ht="19.5" customHeight="1" x14ac:dyDescent="0.3">
      <c r="A39" s="44"/>
      <c r="B39" s="45"/>
      <c r="C39" s="46">
        <v>22</v>
      </c>
      <c r="D39" s="47" t="s">
        <v>228</v>
      </c>
      <c r="E39" s="48">
        <v>5</v>
      </c>
      <c r="F39" s="49">
        <v>5.99</v>
      </c>
      <c r="G39" s="50" t="s">
        <v>18</v>
      </c>
      <c r="H39" s="51">
        <v>1981</v>
      </c>
      <c r="I39" s="45">
        <v>3353</v>
      </c>
      <c r="J39" s="52">
        <v>12</v>
      </c>
      <c r="K39" s="53">
        <f t="shared" si="0"/>
        <v>79.707515999999998</v>
      </c>
      <c r="L39" s="54"/>
    </row>
    <row r="40" spans="1:12" s="55" customFormat="1" ht="19.5" customHeight="1" x14ac:dyDescent="0.3">
      <c r="A40" s="44"/>
      <c r="B40" s="45"/>
      <c r="C40" s="46">
        <v>22</v>
      </c>
      <c r="D40" s="47" t="s">
        <v>17</v>
      </c>
      <c r="E40" s="48">
        <v>62</v>
      </c>
      <c r="F40" s="49">
        <v>76.95</v>
      </c>
      <c r="G40" s="50" t="s">
        <v>39</v>
      </c>
      <c r="H40" s="51">
        <v>2134</v>
      </c>
      <c r="I40" s="45">
        <v>3353</v>
      </c>
      <c r="J40" s="52">
        <v>2</v>
      </c>
      <c r="K40" s="53">
        <f t="shared" si="0"/>
        <v>14.310604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 t="s">
        <v>19</v>
      </c>
      <c r="H41" s="51">
        <v>1981</v>
      </c>
      <c r="I41" s="45">
        <v>3353</v>
      </c>
      <c r="J41" s="52">
        <v>12</v>
      </c>
      <c r="K41" s="53">
        <f t="shared" si="0"/>
        <v>79.707515999999998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 t="s">
        <v>19</v>
      </c>
      <c r="H42" s="51">
        <v>2134</v>
      </c>
      <c r="I42" s="45">
        <v>3353</v>
      </c>
      <c r="J42" s="52">
        <v>1</v>
      </c>
      <c r="K42" s="53">
        <f t="shared" si="0"/>
        <v>7.1553019999999998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6319</v>
      </c>
      <c r="B44" s="45" t="s">
        <v>5493</v>
      </c>
      <c r="C44" s="46">
        <v>24</v>
      </c>
      <c r="D44" s="47" t="s">
        <v>55</v>
      </c>
      <c r="E44" s="48">
        <v>424</v>
      </c>
      <c r="F44" s="49">
        <v>431.8</v>
      </c>
      <c r="G44" s="50" t="s">
        <v>56</v>
      </c>
      <c r="H44" s="51">
        <v>2438</v>
      </c>
      <c r="I44" s="45">
        <v>3353</v>
      </c>
      <c r="J44" s="52">
        <v>17</v>
      </c>
      <c r="K44" s="53">
        <f t="shared" ref="K44:K51" si="2">(H44/1000*I44/1000)*J44</f>
        <v>138.96843799999999</v>
      </c>
      <c r="L44" s="54" t="s">
        <v>106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56</v>
      </c>
      <c r="H45" s="51">
        <v>1981</v>
      </c>
      <c r="I45" s="45">
        <v>3353</v>
      </c>
      <c r="J45" s="52">
        <v>52</v>
      </c>
      <c r="K45" s="53">
        <f t="shared" si="2"/>
        <v>345.39923600000003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2"/>
        <v>0</v>
      </c>
      <c r="L46" s="54"/>
    </row>
    <row r="47" spans="1:12" s="55" customFormat="1" ht="19.5" customHeight="1" x14ac:dyDescent="0.3">
      <c r="A47" s="44" t="s">
        <v>57</v>
      </c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2"/>
        <v>0</v>
      </c>
      <c r="L47" s="54"/>
    </row>
    <row r="48" spans="1:12" s="55" customFormat="1" ht="19.5" customHeight="1" x14ac:dyDescent="0.3">
      <c r="A48" s="44" t="s">
        <v>6323</v>
      </c>
      <c r="B48" s="45" t="s">
        <v>6324</v>
      </c>
      <c r="C48" s="46">
        <v>24</v>
      </c>
      <c r="D48" s="47" t="s">
        <v>55</v>
      </c>
      <c r="E48" s="48">
        <v>424</v>
      </c>
      <c r="F48" s="49">
        <v>431.8</v>
      </c>
      <c r="G48" s="50" t="s">
        <v>6325</v>
      </c>
      <c r="H48" s="51">
        <v>2438</v>
      </c>
      <c r="I48" s="45">
        <v>3353</v>
      </c>
      <c r="J48" s="52">
        <v>17</v>
      </c>
      <c r="K48" s="53">
        <f t="shared" si="2"/>
        <v>138.96843799999999</v>
      </c>
      <c r="L48" s="54" t="s">
        <v>6326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6325</v>
      </c>
      <c r="H49" s="51">
        <v>1981</v>
      </c>
      <c r="I49" s="45">
        <v>3353</v>
      </c>
      <c r="J49" s="52">
        <v>52</v>
      </c>
      <c r="K49" s="53">
        <f t="shared" si="2"/>
        <v>345.39923600000003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2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2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9" customFormat="1" ht="20.100000000000001" customHeight="1" x14ac:dyDescent="0.3">
      <c r="A56" s="44"/>
      <c r="B56" s="45"/>
      <c r="C56" s="46"/>
      <c r="D56" s="47"/>
      <c r="E56" s="56"/>
      <c r="F56" s="57"/>
      <c r="G56" s="50"/>
      <c r="H56" s="51"/>
      <c r="I56" s="45"/>
      <c r="J56" s="52"/>
      <c r="K56" s="53">
        <f t="shared" si="0"/>
        <v>0</v>
      </c>
      <c r="L56" s="58">
        <f>SUM(J35:J57)</f>
        <v>168</v>
      </c>
    </row>
    <row r="57" spans="1:12" s="59" customFormat="1" ht="20.100000000000001" customHeight="1" x14ac:dyDescent="0.3">
      <c r="A57" s="44"/>
      <c r="B57" s="45"/>
      <c r="C57" s="46"/>
      <c r="D57" s="47"/>
      <c r="E57" s="60"/>
      <c r="F57" s="61"/>
      <c r="G57" s="62"/>
      <c r="H57" s="51"/>
      <c r="I57" s="45"/>
      <c r="J57" s="63"/>
      <c r="K57" s="53">
        <f t="shared" si="0"/>
        <v>0</v>
      </c>
      <c r="L57" s="64">
        <f>SUM(K35:K57)</f>
        <v>1170.4313220000001</v>
      </c>
    </row>
    <row r="58" spans="1:12" s="59" customFormat="1" ht="20.100000000000001" customHeight="1" thickBot="1" x14ac:dyDescent="0.35">
      <c r="A58" s="114"/>
      <c r="B58" s="115"/>
      <c r="C58" s="115"/>
      <c r="D58" s="115"/>
      <c r="E58" s="115"/>
      <c r="F58" s="115"/>
      <c r="G58" s="115"/>
      <c r="H58" s="115"/>
      <c r="I58" s="115"/>
      <c r="J58" s="65">
        <f>SUM(J7:J57)</f>
        <v>345</v>
      </c>
      <c r="K58" s="66">
        <f>SUM(K7:K57)</f>
        <v>2284.774242</v>
      </c>
      <c r="L58" s="67"/>
    </row>
    <row r="59" spans="1:12" s="59" customFormat="1" ht="20.100000000000001" customHeight="1" thickTop="1" thickBot="1" x14ac:dyDescent="0.35">
      <c r="A59" s="116" t="s">
        <v>52</v>
      </c>
      <c r="B59" s="117"/>
      <c r="C59" s="68"/>
      <c r="D59" s="118">
        <f>J58</f>
        <v>345</v>
      </c>
      <c r="E59" s="119"/>
      <c r="F59" s="119"/>
      <c r="G59" s="120"/>
      <c r="H59" s="121"/>
      <c r="I59" s="121"/>
      <c r="J59" s="122"/>
      <c r="K59" s="119"/>
      <c r="L59" s="123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71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72"/>
      <c r="F65" s="5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5"/>
      <c r="G66" s="73"/>
      <c r="H66" s="5"/>
      <c r="I66" s="74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72"/>
      <c r="I70" s="72"/>
      <c r="J70" s="5"/>
      <c r="K70" s="5"/>
      <c r="L70" s="5"/>
    </row>
    <row r="71" spans="1:12" ht="20.100000000000001" customHeight="1" x14ac:dyDescent="0.3">
      <c r="A71" s="113"/>
      <c r="B71" s="113"/>
      <c r="H71" s="72"/>
      <c r="I71" s="72"/>
    </row>
    <row r="72" spans="1:12" ht="20.100000000000001" customHeight="1" x14ac:dyDescent="0.3"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A74" s="113"/>
      <c r="B74" s="113"/>
      <c r="H74" s="72"/>
      <c r="I74" s="72"/>
    </row>
    <row r="75" spans="1:12" ht="20.100000000000001" customHeight="1" x14ac:dyDescent="0.3">
      <c r="A75" s="113"/>
      <c r="B75" s="113"/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H78" s="72"/>
      <c r="I78" s="72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J79" s="5"/>
      <c r="K79" s="5"/>
      <c r="L79" s="5"/>
    </row>
    <row r="80" spans="1:12" s="72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5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5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19.5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ht="19.5" customHeight="1" x14ac:dyDescent="0.3"/>
    <row r="87" spans="1:12" ht="19.5" customHeight="1" x14ac:dyDescent="0.3"/>
    <row r="88" spans="1:12" ht="19.5" customHeight="1" x14ac:dyDescent="0.3"/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</sheetData>
  <mergeCells count="30">
    <mergeCell ref="A74:B74"/>
    <mergeCell ref="A75:B75"/>
    <mergeCell ref="A65:B65"/>
    <mergeCell ref="A66:B66"/>
    <mergeCell ref="A67:B67"/>
    <mergeCell ref="A69:B69"/>
    <mergeCell ref="A70:B70"/>
    <mergeCell ref="A71:B71"/>
    <mergeCell ref="A64:B6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8:I58"/>
    <mergeCell ref="A59:B59"/>
    <mergeCell ref="D59:G59"/>
    <mergeCell ref="H59:J59"/>
    <mergeCell ref="K59:L59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L147"/>
  <sheetViews>
    <sheetView view="pageBreakPreview" topLeftCell="A38" zoomScale="85" zoomScaleNormal="100" zoomScaleSheetLayoutView="85" workbookViewId="0">
      <selection activeCell="L54" sqref="L54:L55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46216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5" si="0">(H7/1000*I7/1000)*J7</f>
        <v>0</v>
      </c>
      <c r="L7" s="26">
        <f>SUM(J7:J30)</f>
        <v>75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SUM(K7:K30)</f>
        <v>490.42618499999992</v>
      </c>
    </row>
    <row r="9" spans="1:12" s="27" customFormat="1" ht="19.5" customHeight="1" x14ac:dyDescent="0.3">
      <c r="A9" s="28" t="s">
        <v>6273</v>
      </c>
      <c r="B9" s="16" t="s">
        <v>6274</v>
      </c>
      <c r="C9" s="17">
        <v>24</v>
      </c>
      <c r="D9" s="18" t="s">
        <v>6275</v>
      </c>
      <c r="E9" s="41">
        <v>30</v>
      </c>
      <c r="F9" s="42">
        <v>16.3</v>
      </c>
      <c r="G9" s="34" t="s">
        <v>6279</v>
      </c>
      <c r="H9" s="35">
        <v>1981</v>
      </c>
      <c r="I9" s="36">
        <v>3048</v>
      </c>
      <c r="J9" s="37">
        <v>11</v>
      </c>
      <c r="K9" s="85">
        <f t="shared" ref="K9:K10" si="1">(H9/1000*I9/1000)*J9</f>
        <v>66.418968000000007</v>
      </c>
      <c r="L9" s="39" t="s">
        <v>6281</v>
      </c>
    </row>
    <row r="10" spans="1:12" s="27" customFormat="1" ht="19.5" customHeight="1" x14ac:dyDescent="0.3">
      <c r="A10" s="28" t="s">
        <v>6280</v>
      </c>
      <c r="B10" s="16" t="s">
        <v>6274</v>
      </c>
      <c r="C10" s="17">
        <v>24</v>
      </c>
      <c r="D10" s="18" t="s">
        <v>6275</v>
      </c>
      <c r="E10" s="41">
        <v>70</v>
      </c>
      <c r="F10" s="42">
        <v>43.3</v>
      </c>
      <c r="G10" s="34" t="s">
        <v>6286</v>
      </c>
      <c r="H10" s="35">
        <v>2134</v>
      </c>
      <c r="I10" s="36">
        <v>3048</v>
      </c>
      <c r="J10" s="37">
        <v>10</v>
      </c>
      <c r="K10" s="85">
        <f t="shared" si="1"/>
        <v>65.044319999999999</v>
      </c>
      <c r="L10" s="39" t="s">
        <v>6281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6254</v>
      </c>
      <c r="B12" s="16" t="s">
        <v>3843</v>
      </c>
      <c r="C12" s="17">
        <v>22</v>
      </c>
      <c r="D12" s="18" t="s">
        <v>17</v>
      </c>
      <c r="E12" s="41">
        <v>180</v>
      </c>
      <c r="F12" s="42">
        <v>150.80000000000001</v>
      </c>
      <c r="G12" s="34" t="s">
        <v>6277</v>
      </c>
      <c r="H12" s="35">
        <v>1981</v>
      </c>
      <c r="I12" s="36">
        <v>3353</v>
      </c>
      <c r="J12" s="37">
        <v>22</v>
      </c>
      <c r="K12" s="85">
        <f t="shared" si="0"/>
        <v>146.13044600000001</v>
      </c>
      <c r="L12" s="39" t="s">
        <v>6282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 t="s">
        <v>6283</v>
      </c>
      <c r="B14" s="16" t="s">
        <v>6284</v>
      </c>
      <c r="C14" s="17">
        <v>22</v>
      </c>
      <c r="D14" s="18" t="s">
        <v>6285</v>
      </c>
      <c r="E14" s="41">
        <v>48</v>
      </c>
      <c r="F14" s="42">
        <v>35.99</v>
      </c>
      <c r="G14" s="34" t="s">
        <v>6277</v>
      </c>
      <c r="H14" s="35">
        <v>1981</v>
      </c>
      <c r="I14" s="36">
        <v>3353</v>
      </c>
      <c r="J14" s="37">
        <v>6</v>
      </c>
      <c r="K14" s="85">
        <f t="shared" si="0"/>
        <v>39.853757999999999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6278</v>
      </c>
      <c r="H15" s="35">
        <v>1981</v>
      </c>
      <c r="I15" s="36">
        <v>3353</v>
      </c>
      <c r="J15" s="37">
        <v>6</v>
      </c>
      <c r="K15" s="85">
        <f t="shared" si="0"/>
        <v>39.853757999999999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 t="s">
        <v>6287</v>
      </c>
      <c r="B17" s="16" t="s">
        <v>6288</v>
      </c>
      <c r="C17" s="17">
        <v>10</v>
      </c>
      <c r="D17" s="18" t="s">
        <v>6289</v>
      </c>
      <c r="E17" s="41">
        <v>4</v>
      </c>
      <c r="F17" s="42">
        <v>7.35</v>
      </c>
      <c r="G17" s="34" t="s">
        <v>6293</v>
      </c>
      <c r="H17" s="35">
        <v>2438</v>
      </c>
      <c r="I17" s="36">
        <v>3048</v>
      </c>
      <c r="J17" s="37">
        <v>1</v>
      </c>
      <c r="K17" s="85">
        <f t="shared" si="0"/>
        <v>7.4310240000000007</v>
      </c>
      <c r="L17" s="39"/>
    </row>
    <row r="18" spans="1:12" s="27" customFormat="1" ht="19.5" customHeight="1" x14ac:dyDescent="0.3">
      <c r="A18" s="28"/>
      <c r="B18" s="16"/>
      <c r="C18" s="17">
        <v>28</v>
      </c>
      <c r="D18" s="18" t="s">
        <v>6291</v>
      </c>
      <c r="E18" s="41">
        <v>2</v>
      </c>
      <c r="F18" s="42">
        <v>2.4</v>
      </c>
      <c r="G18" s="34"/>
      <c r="H18" s="35"/>
      <c r="I18" s="36"/>
      <c r="J18" s="37"/>
      <c r="K18" s="85">
        <f t="shared" si="0"/>
        <v>0</v>
      </c>
      <c r="L18" s="39" t="s">
        <v>6292</v>
      </c>
    </row>
    <row r="19" spans="1:12" s="27" customFormat="1" ht="19.5" customHeight="1" x14ac:dyDescent="0.3">
      <c r="A19" s="28"/>
      <c r="B19" s="16"/>
      <c r="C19" s="17">
        <v>8</v>
      </c>
      <c r="D19" s="18" t="s">
        <v>6290</v>
      </c>
      <c r="E19" s="41">
        <v>4</v>
      </c>
      <c r="F19" s="42">
        <v>1.24</v>
      </c>
      <c r="G19" s="34"/>
      <c r="H19" s="35"/>
      <c r="I19" s="36"/>
      <c r="J19" s="37"/>
      <c r="K19" s="85">
        <f t="shared" si="0"/>
        <v>0</v>
      </c>
      <c r="L19" s="39" t="s">
        <v>6292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6294</v>
      </c>
      <c r="B21" s="16" t="s">
        <v>6295</v>
      </c>
      <c r="C21" s="17">
        <v>28</v>
      </c>
      <c r="D21" s="18" t="s">
        <v>6296</v>
      </c>
      <c r="E21" s="41">
        <v>15</v>
      </c>
      <c r="F21" s="42">
        <v>4.2</v>
      </c>
      <c r="G21" s="34" t="s">
        <v>6297</v>
      </c>
      <c r="H21" s="35">
        <v>1829</v>
      </c>
      <c r="I21" s="36">
        <v>3353</v>
      </c>
      <c r="J21" s="37">
        <v>1</v>
      </c>
      <c r="K21" s="85">
        <f t="shared" si="0"/>
        <v>6.1326369999999999</v>
      </c>
      <c r="L21" s="39" t="s">
        <v>6298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6299</v>
      </c>
      <c r="B23" s="16" t="s">
        <v>6300</v>
      </c>
      <c r="C23" s="17">
        <v>22</v>
      </c>
      <c r="D23" s="18" t="s">
        <v>6301</v>
      </c>
      <c r="E23" s="41">
        <v>6</v>
      </c>
      <c r="F23" s="42">
        <v>19.38</v>
      </c>
      <c r="G23" s="34" t="s">
        <v>6276</v>
      </c>
      <c r="H23" s="35">
        <v>1981</v>
      </c>
      <c r="I23" s="36">
        <v>3353</v>
      </c>
      <c r="J23" s="37">
        <v>3</v>
      </c>
      <c r="K23" s="85">
        <f t="shared" si="0"/>
        <v>19.926879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6302</v>
      </c>
      <c r="H24" s="35">
        <v>1981</v>
      </c>
      <c r="I24" s="36">
        <v>3353</v>
      </c>
      <c r="J24" s="37">
        <v>3</v>
      </c>
      <c r="K24" s="85">
        <f t="shared" si="0"/>
        <v>19.926879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 t="s">
        <v>6303</v>
      </c>
      <c r="B26" s="16" t="s">
        <v>6300</v>
      </c>
      <c r="C26" s="17">
        <v>22</v>
      </c>
      <c r="D26" s="18" t="s">
        <v>6304</v>
      </c>
      <c r="E26" s="41">
        <v>12</v>
      </c>
      <c r="F26" s="42">
        <v>17.64</v>
      </c>
      <c r="G26" s="34" t="s">
        <v>6276</v>
      </c>
      <c r="H26" s="35">
        <v>1981</v>
      </c>
      <c r="I26" s="36">
        <v>3353</v>
      </c>
      <c r="J26" s="37">
        <v>6</v>
      </c>
      <c r="K26" s="85">
        <f t="shared" ref="K26:K28" si="2">(H26/1000*I26/1000)*J26</f>
        <v>39.853757999999999</v>
      </c>
      <c r="L26" s="39"/>
    </row>
    <row r="27" spans="1:12" s="27" customFormat="1" ht="19.5" customHeight="1" x14ac:dyDescent="0.3">
      <c r="A27" s="28"/>
      <c r="B27" s="16"/>
      <c r="C27" s="17">
        <v>22</v>
      </c>
      <c r="D27" s="18" t="s">
        <v>6301</v>
      </c>
      <c r="E27" s="41">
        <v>6</v>
      </c>
      <c r="F27" s="42">
        <v>19.38</v>
      </c>
      <c r="G27" s="34" t="s">
        <v>6302</v>
      </c>
      <c r="H27" s="35">
        <v>1981</v>
      </c>
      <c r="I27" s="36">
        <v>3353</v>
      </c>
      <c r="J27" s="37">
        <v>6</v>
      </c>
      <c r="K27" s="85">
        <f t="shared" si="2"/>
        <v>39.853757999999999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2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43"/>
      <c r="H30" s="35"/>
      <c r="I30" s="36"/>
      <c r="J30" s="37"/>
      <c r="K30" s="25">
        <f t="shared" si="0"/>
        <v>0</v>
      </c>
      <c r="L30" s="39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6305</v>
      </c>
      <c r="B32" s="45" t="s">
        <v>6306</v>
      </c>
      <c r="C32" s="46">
        <v>24</v>
      </c>
      <c r="D32" s="47" t="s">
        <v>6307</v>
      </c>
      <c r="E32" s="48">
        <v>7</v>
      </c>
      <c r="F32" s="49">
        <v>19.829999999999998</v>
      </c>
      <c r="G32" s="50" t="s">
        <v>6308</v>
      </c>
      <c r="H32" s="51">
        <v>2438</v>
      </c>
      <c r="I32" s="45">
        <v>3353</v>
      </c>
      <c r="J32" s="52">
        <v>3</v>
      </c>
      <c r="K32" s="53">
        <f t="shared" si="0"/>
        <v>24.523842000000002</v>
      </c>
      <c r="L32" s="54" t="s">
        <v>6309</v>
      </c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6305</v>
      </c>
      <c r="B34" s="45" t="s">
        <v>6306</v>
      </c>
      <c r="C34" s="46">
        <v>24</v>
      </c>
      <c r="D34" s="47" t="s">
        <v>6307</v>
      </c>
      <c r="E34" s="48">
        <v>5</v>
      </c>
      <c r="F34" s="49">
        <v>15.17</v>
      </c>
      <c r="G34" s="50" t="s">
        <v>6277</v>
      </c>
      <c r="H34" s="51">
        <v>2134</v>
      </c>
      <c r="I34" s="45">
        <v>3353</v>
      </c>
      <c r="J34" s="52">
        <v>2</v>
      </c>
      <c r="K34" s="53">
        <f t="shared" si="0"/>
        <v>14.310604</v>
      </c>
      <c r="L34" s="54" t="s">
        <v>6310</v>
      </c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6311</v>
      </c>
      <c r="B36" s="45" t="s">
        <v>6306</v>
      </c>
      <c r="C36" s="46">
        <v>43</v>
      </c>
      <c r="D36" s="47" t="s">
        <v>6312</v>
      </c>
      <c r="E36" s="48">
        <v>9</v>
      </c>
      <c r="F36" s="49">
        <v>8.02</v>
      </c>
      <c r="G36" s="50" t="s">
        <v>6308</v>
      </c>
      <c r="H36" s="51">
        <v>2134</v>
      </c>
      <c r="I36" s="45">
        <v>3353</v>
      </c>
      <c r="J36" s="52">
        <v>5</v>
      </c>
      <c r="K36" s="53">
        <f t="shared" si="0"/>
        <v>35.776510000000002</v>
      </c>
      <c r="L36" s="54"/>
    </row>
    <row r="37" spans="1:12" s="55" customFormat="1" ht="19.5" customHeight="1" x14ac:dyDescent="0.3">
      <c r="A37" s="44"/>
      <c r="B37" s="45"/>
      <c r="C37" s="46">
        <v>24</v>
      </c>
      <c r="D37" s="47" t="s">
        <v>6307</v>
      </c>
      <c r="E37" s="48">
        <v>20</v>
      </c>
      <c r="F37" s="49">
        <v>10.52</v>
      </c>
      <c r="G37" s="50" t="s">
        <v>6277</v>
      </c>
      <c r="H37" s="51">
        <v>2134</v>
      </c>
      <c r="I37" s="45">
        <v>3353</v>
      </c>
      <c r="J37" s="52">
        <v>3</v>
      </c>
      <c r="K37" s="53">
        <f t="shared" si="0"/>
        <v>21.465906</v>
      </c>
      <c r="L37" s="54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5686</v>
      </c>
      <c r="B39" s="45" t="s">
        <v>1890</v>
      </c>
      <c r="C39" s="46">
        <v>28</v>
      </c>
      <c r="D39" s="47" t="s">
        <v>1891</v>
      </c>
      <c r="E39" s="48">
        <v>179</v>
      </c>
      <c r="F39" s="49">
        <v>325.55</v>
      </c>
      <c r="G39" s="50" t="s">
        <v>6297</v>
      </c>
      <c r="H39" s="51">
        <v>2438</v>
      </c>
      <c r="I39" s="45">
        <v>3353</v>
      </c>
      <c r="J39" s="52">
        <v>69</v>
      </c>
      <c r="K39" s="53">
        <f t="shared" si="0"/>
        <v>564.04836599999999</v>
      </c>
      <c r="L39" s="54" t="s">
        <v>6282</v>
      </c>
    </row>
    <row r="40" spans="1:12" s="55" customFormat="1" ht="19.5" customHeight="1" x14ac:dyDescent="0.3">
      <c r="A40" s="44"/>
      <c r="B40" s="45"/>
      <c r="C40" s="46">
        <v>28</v>
      </c>
      <c r="D40" s="47" t="s">
        <v>1894</v>
      </c>
      <c r="E40" s="48">
        <v>66</v>
      </c>
      <c r="F40" s="49">
        <v>60.8</v>
      </c>
      <c r="G40" s="50"/>
      <c r="H40" s="51"/>
      <c r="I40" s="45"/>
      <c r="J40" s="52"/>
      <c r="K40" s="53">
        <f t="shared" si="0"/>
        <v>0</v>
      </c>
      <c r="L40" s="54" t="s">
        <v>6282</v>
      </c>
    </row>
    <row r="41" spans="1:12" s="55" customFormat="1" ht="19.5" customHeight="1" x14ac:dyDescent="0.3">
      <c r="A41" s="44"/>
      <c r="B41" s="45"/>
      <c r="C41" s="46">
        <v>28</v>
      </c>
      <c r="D41" s="47" t="s">
        <v>1891</v>
      </c>
      <c r="E41" s="48">
        <v>48</v>
      </c>
      <c r="F41" s="49">
        <v>119.04</v>
      </c>
      <c r="G41" s="50"/>
      <c r="H41" s="51"/>
      <c r="I41" s="45"/>
      <c r="J41" s="52"/>
      <c r="K41" s="53">
        <f t="shared" si="0"/>
        <v>0</v>
      </c>
      <c r="L41" s="54" t="s">
        <v>6282</v>
      </c>
    </row>
    <row r="42" spans="1:12" s="55" customFormat="1" ht="19.5" customHeight="1" x14ac:dyDescent="0.3">
      <c r="A42" s="44"/>
      <c r="B42" s="45"/>
      <c r="C42" s="46">
        <v>28</v>
      </c>
      <c r="D42" s="47" t="s">
        <v>6264</v>
      </c>
      <c r="E42" s="48">
        <v>8</v>
      </c>
      <c r="F42" s="49">
        <v>15.79</v>
      </c>
      <c r="G42" s="50"/>
      <c r="H42" s="51"/>
      <c r="I42" s="45"/>
      <c r="J42" s="52"/>
      <c r="K42" s="53">
        <f t="shared" si="0"/>
        <v>0</v>
      </c>
      <c r="L42" s="54" t="s">
        <v>6282</v>
      </c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6305</v>
      </c>
      <c r="B44" s="45" t="s">
        <v>6306</v>
      </c>
      <c r="C44" s="46">
        <v>24</v>
      </c>
      <c r="D44" s="47" t="s">
        <v>6307</v>
      </c>
      <c r="E44" s="48">
        <v>21</v>
      </c>
      <c r="F44" s="49">
        <v>45.78</v>
      </c>
      <c r="G44" s="50" t="s">
        <v>6277</v>
      </c>
      <c r="H44" s="51">
        <v>2438</v>
      </c>
      <c r="I44" s="45">
        <v>3353</v>
      </c>
      <c r="J44" s="52">
        <v>7</v>
      </c>
      <c r="K44" s="53">
        <f t="shared" si="0"/>
        <v>57.222298000000002</v>
      </c>
      <c r="L44" s="54" t="s">
        <v>6313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76"/>
      <c r="C47" s="46"/>
      <c r="D47" s="78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76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9" customFormat="1" ht="20.100000000000001" customHeight="1" x14ac:dyDescent="0.3">
      <c r="A54" s="44"/>
      <c r="B54" s="45"/>
      <c r="C54" s="46"/>
      <c r="D54" s="47"/>
      <c r="E54" s="56"/>
      <c r="F54" s="57"/>
      <c r="G54" s="50"/>
      <c r="H54" s="51"/>
      <c r="I54" s="45"/>
      <c r="J54" s="52"/>
      <c r="K54" s="53">
        <f t="shared" si="0"/>
        <v>0</v>
      </c>
      <c r="L54" s="58">
        <f>SUM(J31:J55)</f>
        <v>89</v>
      </c>
    </row>
    <row r="55" spans="1:12" s="59" customFormat="1" ht="20.100000000000001" customHeight="1" x14ac:dyDescent="0.3">
      <c r="A55" s="44"/>
      <c r="B55" s="45"/>
      <c r="C55" s="46"/>
      <c r="D55" s="47"/>
      <c r="E55" s="60"/>
      <c r="F55" s="61"/>
      <c r="G55" s="62"/>
      <c r="H55" s="51"/>
      <c r="I55" s="45"/>
      <c r="J55" s="63"/>
      <c r="K55" s="53">
        <f t="shared" si="0"/>
        <v>0</v>
      </c>
      <c r="L55" s="64">
        <f>SUM(K31:K55)</f>
        <v>717.34752600000002</v>
      </c>
    </row>
    <row r="56" spans="1:12" s="59" customFormat="1" ht="20.100000000000001" customHeight="1" thickBot="1" x14ac:dyDescent="0.35">
      <c r="A56" s="114"/>
      <c r="B56" s="115"/>
      <c r="C56" s="115"/>
      <c r="D56" s="115"/>
      <c r="E56" s="115"/>
      <c r="F56" s="115"/>
      <c r="G56" s="115"/>
      <c r="H56" s="115"/>
      <c r="I56" s="115"/>
      <c r="J56" s="65">
        <f>SUM(J7:J55)</f>
        <v>164</v>
      </c>
      <c r="K56" s="66">
        <f>SUM(K7:K55)</f>
        <v>1207.7737109999998</v>
      </c>
      <c r="L56" s="67"/>
    </row>
    <row r="57" spans="1:12" s="59" customFormat="1" ht="20.100000000000001" customHeight="1" thickTop="1" thickBot="1" x14ac:dyDescent="0.35">
      <c r="A57" s="116" t="s">
        <v>52</v>
      </c>
      <c r="B57" s="117"/>
      <c r="C57" s="68"/>
      <c r="D57" s="118">
        <f>J56</f>
        <v>164</v>
      </c>
      <c r="E57" s="119"/>
      <c r="F57" s="119"/>
      <c r="G57" s="120"/>
      <c r="H57" s="121"/>
      <c r="I57" s="121"/>
      <c r="J57" s="122"/>
      <c r="K57" s="119"/>
      <c r="L57" s="123"/>
    </row>
    <row r="58" spans="1:12" s="59" customFormat="1" ht="20.100000000000001" customHeight="1" x14ac:dyDescent="0.3">
      <c r="A58" s="69"/>
      <c r="B58" s="5"/>
      <c r="C58" s="5"/>
      <c r="D58" s="5"/>
      <c r="E58" s="5"/>
      <c r="F58" s="70"/>
      <c r="G58" s="5"/>
      <c r="H58" s="5"/>
      <c r="I58" s="5"/>
      <c r="J58" s="5"/>
      <c r="K58" s="5"/>
      <c r="L58" s="71"/>
    </row>
    <row r="59" spans="1:12" s="59" customFormat="1" ht="20.100000000000001" customHeight="1" x14ac:dyDescent="0.3">
      <c r="A59" s="69"/>
      <c r="B59" s="5"/>
      <c r="C59" s="5"/>
      <c r="D59" s="5"/>
      <c r="E59" s="5"/>
      <c r="F59" s="70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113"/>
      <c r="B62" s="113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72"/>
      <c r="F63" s="5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5"/>
      <c r="G64" s="73"/>
      <c r="H64" s="5"/>
      <c r="I64" s="74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70"/>
      <c r="G68" s="5"/>
      <c r="H68" s="72"/>
      <c r="I68" s="72"/>
      <c r="J68" s="5"/>
      <c r="K68" s="5"/>
      <c r="L68" s="5"/>
    </row>
    <row r="69" spans="1:12" ht="20.100000000000001" customHeight="1" x14ac:dyDescent="0.3">
      <c r="A69" s="113"/>
      <c r="B69" s="113"/>
      <c r="H69" s="72"/>
      <c r="I69" s="72"/>
    </row>
    <row r="70" spans="1:12" ht="20.100000000000001" customHeight="1" x14ac:dyDescent="0.3">
      <c r="H70" s="72"/>
      <c r="I70" s="72"/>
    </row>
    <row r="71" spans="1:12" ht="20.100000000000001" customHeight="1" x14ac:dyDescent="0.3">
      <c r="H71" s="72"/>
      <c r="I71" s="72"/>
    </row>
    <row r="72" spans="1:12" ht="20.100000000000001" customHeight="1" x14ac:dyDescent="0.3">
      <c r="A72" s="113"/>
      <c r="B72" s="113"/>
      <c r="H72" s="72"/>
      <c r="I72" s="72"/>
    </row>
    <row r="73" spans="1:12" ht="20.100000000000001" customHeight="1" x14ac:dyDescent="0.3">
      <c r="A73" s="113"/>
      <c r="B73" s="113"/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H75" s="72"/>
      <c r="I75" s="72"/>
    </row>
    <row r="76" spans="1:12" ht="20.100000000000001" customHeight="1" x14ac:dyDescent="0.3">
      <c r="H76" s="72"/>
      <c r="I76" s="72"/>
    </row>
    <row r="77" spans="1:12" s="72" customFormat="1" ht="20.100000000000001" customHeight="1" x14ac:dyDescent="0.3">
      <c r="A77" s="69"/>
      <c r="B77" s="5"/>
      <c r="C77" s="5"/>
      <c r="D77" s="5"/>
      <c r="E77" s="5"/>
      <c r="F77" s="70"/>
      <c r="G77" s="5"/>
      <c r="J77" s="5"/>
      <c r="K77" s="5"/>
      <c r="L77" s="5"/>
    </row>
    <row r="78" spans="1:12" s="72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75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75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5" customFormat="1" ht="19.5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2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2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ht="19.5" customHeight="1" x14ac:dyDescent="0.3"/>
    <row r="85" spans="1:12" ht="19.5" customHeight="1" x14ac:dyDescent="0.3"/>
    <row r="86" spans="1:12" ht="19.5" customHeight="1" x14ac:dyDescent="0.3"/>
    <row r="87" spans="1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2:B62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6:I56"/>
    <mergeCell ref="A57:B57"/>
    <mergeCell ref="D57:G57"/>
    <mergeCell ref="H57:J57"/>
    <mergeCell ref="K57:L57"/>
    <mergeCell ref="A72:B72"/>
    <mergeCell ref="A73:B73"/>
    <mergeCell ref="A63:B63"/>
    <mergeCell ref="A64:B64"/>
    <mergeCell ref="A65:B65"/>
    <mergeCell ref="A67:B67"/>
    <mergeCell ref="A68:B68"/>
    <mergeCell ref="A69:B69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L145"/>
  <sheetViews>
    <sheetView view="pageBreakPreview" topLeftCell="A43" zoomScale="85" zoomScaleNormal="100" zoomScaleSheetLayoutView="85" workbookViewId="0">
      <selection activeCell="L52" sqref="L52:L5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46214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3" si="0">(H7/1000*I7/1000)*J7</f>
        <v>0</v>
      </c>
      <c r="L7" s="26">
        <f>SUM(J7:J28)</f>
        <v>148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SUM(K7:K28)</f>
        <v>988.70246299999997</v>
      </c>
    </row>
    <row r="9" spans="1:12" s="27" customFormat="1" ht="19.5" customHeight="1" x14ac:dyDescent="0.3">
      <c r="A9" s="28" t="s">
        <v>6244</v>
      </c>
      <c r="B9" s="16" t="s">
        <v>59</v>
      </c>
      <c r="C9" s="17">
        <v>22</v>
      </c>
      <c r="D9" s="18" t="s">
        <v>5625</v>
      </c>
      <c r="E9" s="41">
        <v>132</v>
      </c>
      <c r="F9" s="42">
        <v>163.68</v>
      </c>
      <c r="G9" s="34" t="s">
        <v>6246</v>
      </c>
      <c r="H9" s="35">
        <v>1981</v>
      </c>
      <c r="I9" s="36">
        <v>3353</v>
      </c>
      <c r="J9" s="37">
        <v>26</v>
      </c>
      <c r="K9" s="85">
        <f t="shared" si="0"/>
        <v>172.69961800000002</v>
      </c>
      <c r="L9" s="39" t="s">
        <v>6245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6247</v>
      </c>
      <c r="B11" s="16" t="s">
        <v>6248</v>
      </c>
      <c r="C11" s="17">
        <v>22</v>
      </c>
      <c r="D11" s="18" t="s">
        <v>48</v>
      </c>
      <c r="E11" s="41">
        <v>14</v>
      </c>
      <c r="F11" s="42">
        <v>34.799999999999997</v>
      </c>
      <c r="G11" s="34" t="s">
        <v>6249</v>
      </c>
      <c r="H11" s="35">
        <v>1981</v>
      </c>
      <c r="I11" s="36">
        <v>3353</v>
      </c>
      <c r="J11" s="37">
        <v>6</v>
      </c>
      <c r="K11" s="25">
        <f t="shared" si="0"/>
        <v>39.853757999999999</v>
      </c>
      <c r="L11" s="39"/>
    </row>
    <row r="12" spans="1:12" s="27" customFormat="1" ht="19.5" customHeight="1" x14ac:dyDescent="0.3">
      <c r="A12" s="28"/>
      <c r="B12" s="16"/>
      <c r="C12" s="17">
        <v>22</v>
      </c>
      <c r="D12" s="18" t="s">
        <v>4352</v>
      </c>
      <c r="E12" s="41">
        <v>1</v>
      </c>
      <c r="F12" s="42">
        <v>3.23</v>
      </c>
      <c r="G12" s="34" t="s">
        <v>6250</v>
      </c>
      <c r="H12" s="35">
        <v>1981</v>
      </c>
      <c r="I12" s="36">
        <v>3353</v>
      </c>
      <c r="J12" s="37">
        <v>6</v>
      </c>
      <c r="K12" s="85">
        <f t="shared" si="0"/>
        <v>39.853757999999999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 t="s">
        <v>6251</v>
      </c>
      <c r="B14" s="16" t="s">
        <v>6252</v>
      </c>
      <c r="C14" s="17">
        <v>22</v>
      </c>
      <c r="D14" s="18" t="s">
        <v>45</v>
      </c>
      <c r="E14" s="41">
        <v>100</v>
      </c>
      <c r="F14" s="42">
        <v>79.2</v>
      </c>
      <c r="G14" s="34" t="s">
        <v>6249</v>
      </c>
      <c r="H14" s="35">
        <v>1981</v>
      </c>
      <c r="I14" s="36">
        <v>3353</v>
      </c>
      <c r="J14" s="37">
        <v>11</v>
      </c>
      <c r="K14" s="85">
        <f t="shared" si="0"/>
        <v>73.065223000000003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17</v>
      </c>
      <c r="E15" s="41">
        <v>100</v>
      </c>
      <c r="F15" s="42">
        <v>78.2</v>
      </c>
      <c r="G15" s="34" t="s">
        <v>6246</v>
      </c>
      <c r="H15" s="35">
        <v>2134</v>
      </c>
      <c r="I15" s="36">
        <v>3353</v>
      </c>
      <c r="J15" s="37">
        <v>11</v>
      </c>
      <c r="K15" s="85">
        <f t="shared" si="0"/>
        <v>78.708321999999995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6253</v>
      </c>
      <c r="H16" s="35">
        <v>1981</v>
      </c>
      <c r="I16" s="36">
        <v>3353</v>
      </c>
      <c r="J16" s="37">
        <v>22</v>
      </c>
      <c r="K16" s="85">
        <f t="shared" si="0"/>
        <v>146.13044600000001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0"/>
        <v>0</v>
      </c>
      <c r="L17" s="39"/>
    </row>
    <row r="18" spans="1:12" s="27" customFormat="1" ht="19.5" customHeight="1" x14ac:dyDescent="0.3">
      <c r="A18" s="28" t="s">
        <v>6254</v>
      </c>
      <c r="B18" s="16" t="s">
        <v>6252</v>
      </c>
      <c r="C18" s="17">
        <v>22</v>
      </c>
      <c r="D18" s="18" t="s">
        <v>45</v>
      </c>
      <c r="E18" s="41">
        <v>180</v>
      </c>
      <c r="F18" s="42">
        <v>152.80000000000001</v>
      </c>
      <c r="G18" s="34" t="s">
        <v>6249</v>
      </c>
      <c r="H18" s="35">
        <v>1981</v>
      </c>
      <c r="I18" s="36">
        <v>3353</v>
      </c>
      <c r="J18" s="37">
        <v>22</v>
      </c>
      <c r="K18" s="85">
        <f t="shared" si="0"/>
        <v>146.13044600000001</v>
      </c>
      <c r="L18" s="39" t="s">
        <v>6255</v>
      </c>
    </row>
    <row r="19" spans="1:12" s="27" customFormat="1" ht="19.5" customHeight="1" x14ac:dyDescent="0.3">
      <c r="A19" s="28"/>
      <c r="B19" s="16"/>
      <c r="C19" s="17">
        <v>22</v>
      </c>
      <c r="D19" s="18" t="s">
        <v>17</v>
      </c>
      <c r="E19" s="41">
        <v>180</v>
      </c>
      <c r="F19" s="42">
        <v>150.80000000000001</v>
      </c>
      <c r="G19" s="34" t="s">
        <v>6253</v>
      </c>
      <c r="H19" s="35">
        <v>1981</v>
      </c>
      <c r="I19" s="36">
        <v>3353</v>
      </c>
      <c r="J19" s="37">
        <v>44</v>
      </c>
      <c r="K19" s="85">
        <f t="shared" si="0"/>
        <v>292.26089200000001</v>
      </c>
      <c r="L19" s="39" t="s">
        <v>6256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43"/>
      <c r="H28" s="35"/>
      <c r="I28" s="36"/>
      <c r="J28" s="37"/>
      <c r="K28" s="25">
        <f t="shared" si="0"/>
        <v>0</v>
      </c>
      <c r="L28" s="39"/>
    </row>
    <row r="29" spans="1:12" s="55" customFormat="1" ht="19.5" customHeight="1" x14ac:dyDescent="0.3">
      <c r="A29" s="44"/>
      <c r="B29" s="45"/>
      <c r="C29" s="46"/>
      <c r="D29" s="47"/>
      <c r="E29" s="48"/>
      <c r="F29" s="49"/>
      <c r="G29" s="50"/>
      <c r="H29" s="51"/>
      <c r="I29" s="45"/>
      <c r="J29" s="52"/>
      <c r="K29" s="53">
        <f t="shared" si="0"/>
        <v>0</v>
      </c>
      <c r="L29" s="54"/>
    </row>
    <row r="30" spans="1:12" s="55" customFormat="1" ht="19.5" customHeight="1" x14ac:dyDescent="0.3">
      <c r="A30" s="44" t="s">
        <v>6257</v>
      </c>
      <c r="B30" s="45" t="s">
        <v>6258</v>
      </c>
      <c r="C30" s="46">
        <v>22</v>
      </c>
      <c r="D30" s="47" t="s">
        <v>6259</v>
      </c>
      <c r="E30" s="48">
        <v>168</v>
      </c>
      <c r="F30" s="49">
        <v>152.32</v>
      </c>
      <c r="G30" s="50" t="s">
        <v>6246</v>
      </c>
      <c r="H30" s="51">
        <v>2134</v>
      </c>
      <c r="I30" s="45">
        <v>3353</v>
      </c>
      <c r="J30" s="52">
        <v>25</v>
      </c>
      <c r="K30" s="53">
        <f t="shared" si="0"/>
        <v>178.88255000000001</v>
      </c>
      <c r="L30" s="54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 t="s">
        <v>6253</v>
      </c>
      <c r="H31" s="51">
        <v>1981</v>
      </c>
      <c r="I31" s="45">
        <v>3353</v>
      </c>
      <c r="J31" s="52">
        <v>24</v>
      </c>
      <c r="K31" s="53">
        <f t="shared" si="0"/>
        <v>159.415032</v>
      </c>
      <c r="L31" s="54"/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6260</v>
      </c>
      <c r="B33" s="45" t="s">
        <v>6261</v>
      </c>
      <c r="C33" s="46">
        <v>28</v>
      </c>
      <c r="D33" s="47" t="s">
        <v>6262</v>
      </c>
      <c r="E33" s="48">
        <v>179</v>
      </c>
      <c r="F33" s="49">
        <v>325.55</v>
      </c>
      <c r="G33" s="50" t="s">
        <v>6265</v>
      </c>
      <c r="H33" s="51">
        <v>2438</v>
      </c>
      <c r="I33" s="45">
        <v>3353</v>
      </c>
      <c r="J33" s="52">
        <v>69</v>
      </c>
      <c r="K33" s="53">
        <f t="shared" si="0"/>
        <v>564.04836599999999</v>
      </c>
      <c r="L33" s="54" t="s">
        <v>6256</v>
      </c>
    </row>
    <row r="34" spans="1:12" s="55" customFormat="1" ht="19.5" customHeight="1" x14ac:dyDescent="0.3">
      <c r="A34" s="44"/>
      <c r="B34" s="45"/>
      <c r="C34" s="46">
        <v>28</v>
      </c>
      <c r="D34" s="47" t="s">
        <v>6263</v>
      </c>
      <c r="E34" s="48">
        <v>66</v>
      </c>
      <c r="F34" s="49">
        <v>60.8</v>
      </c>
      <c r="G34" s="50"/>
      <c r="H34" s="51"/>
      <c r="I34" s="45"/>
      <c r="J34" s="52"/>
      <c r="K34" s="53">
        <f t="shared" si="0"/>
        <v>0</v>
      </c>
      <c r="L34" s="54" t="s">
        <v>6256</v>
      </c>
    </row>
    <row r="35" spans="1:12" s="55" customFormat="1" ht="19.5" customHeight="1" x14ac:dyDescent="0.3">
      <c r="A35" s="44"/>
      <c r="B35" s="45"/>
      <c r="C35" s="46">
        <v>28</v>
      </c>
      <c r="D35" s="47" t="s">
        <v>6262</v>
      </c>
      <c r="E35" s="48">
        <v>48</v>
      </c>
      <c r="F35" s="49">
        <v>119.04</v>
      </c>
      <c r="G35" s="50"/>
      <c r="H35" s="51"/>
      <c r="I35" s="45"/>
      <c r="J35" s="52"/>
      <c r="K35" s="53">
        <f t="shared" si="0"/>
        <v>0</v>
      </c>
      <c r="L35" s="54" t="s">
        <v>6256</v>
      </c>
    </row>
    <row r="36" spans="1:12" s="55" customFormat="1" ht="19.5" customHeight="1" x14ac:dyDescent="0.3">
      <c r="A36" s="44"/>
      <c r="B36" s="45"/>
      <c r="C36" s="46">
        <v>28</v>
      </c>
      <c r="D36" s="47" t="s">
        <v>6264</v>
      </c>
      <c r="E36" s="48">
        <v>8</v>
      </c>
      <c r="F36" s="49">
        <v>15.79</v>
      </c>
      <c r="G36" s="50"/>
      <c r="H36" s="51"/>
      <c r="I36" s="45"/>
      <c r="J36" s="52"/>
      <c r="K36" s="53">
        <f t="shared" si="0"/>
        <v>0</v>
      </c>
      <c r="L36" s="54" t="s">
        <v>6256</v>
      </c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6266</v>
      </c>
      <c r="B38" s="45" t="s">
        <v>6267</v>
      </c>
      <c r="C38" s="46">
        <v>24</v>
      </c>
      <c r="D38" s="47" t="s">
        <v>6268</v>
      </c>
      <c r="E38" s="48">
        <v>216</v>
      </c>
      <c r="F38" s="49">
        <v>236.68</v>
      </c>
      <c r="G38" s="50" t="s">
        <v>6269</v>
      </c>
      <c r="H38" s="51">
        <v>2134</v>
      </c>
      <c r="I38" s="45">
        <v>3353</v>
      </c>
      <c r="J38" s="52">
        <v>39</v>
      </c>
      <c r="K38" s="53">
        <f t="shared" si="0"/>
        <v>279.05677800000001</v>
      </c>
      <c r="L38" s="54" t="s">
        <v>6270</v>
      </c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/>
      <c r="B45" s="76"/>
      <c r="C45" s="46"/>
      <c r="D45" s="78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76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9" customFormat="1" ht="20.100000000000001" customHeight="1" x14ac:dyDescent="0.3">
      <c r="A52" s="44"/>
      <c r="B52" s="45"/>
      <c r="C52" s="46"/>
      <c r="D52" s="47"/>
      <c r="E52" s="56"/>
      <c r="F52" s="57"/>
      <c r="G52" s="50"/>
      <c r="H52" s="51"/>
      <c r="I52" s="45"/>
      <c r="J52" s="52"/>
      <c r="K52" s="53">
        <f t="shared" si="0"/>
        <v>0</v>
      </c>
      <c r="L52" s="58">
        <f>SUM(J29:J53)</f>
        <v>157</v>
      </c>
    </row>
    <row r="53" spans="1:12" s="59" customFormat="1" ht="20.100000000000001" customHeight="1" x14ac:dyDescent="0.3">
      <c r="A53" s="44"/>
      <c r="B53" s="45"/>
      <c r="C53" s="46"/>
      <c r="D53" s="47"/>
      <c r="E53" s="60"/>
      <c r="F53" s="61"/>
      <c r="G53" s="62"/>
      <c r="H53" s="51"/>
      <c r="I53" s="45"/>
      <c r="J53" s="63"/>
      <c r="K53" s="53">
        <f t="shared" si="0"/>
        <v>0</v>
      </c>
      <c r="L53" s="64">
        <f>SUM(K29:K53)</f>
        <v>1181.402726</v>
      </c>
    </row>
    <row r="54" spans="1:12" s="59" customFormat="1" ht="20.100000000000001" customHeight="1" thickBot="1" x14ac:dyDescent="0.35">
      <c r="A54" s="114"/>
      <c r="B54" s="115"/>
      <c r="C54" s="115"/>
      <c r="D54" s="115"/>
      <c r="E54" s="115"/>
      <c r="F54" s="115"/>
      <c r="G54" s="115"/>
      <c r="H54" s="115"/>
      <c r="I54" s="115"/>
      <c r="J54" s="65">
        <f>SUM(J7:J53)</f>
        <v>305</v>
      </c>
      <c r="K54" s="66">
        <f>SUM(K7:K53)</f>
        <v>2170.1051889999999</v>
      </c>
      <c r="L54" s="67"/>
    </row>
    <row r="55" spans="1:12" s="59" customFormat="1" ht="20.100000000000001" customHeight="1" thickTop="1" thickBot="1" x14ac:dyDescent="0.35">
      <c r="A55" s="116" t="s">
        <v>52</v>
      </c>
      <c r="B55" s="117"/>
      <c r="C55" s="68"/>
      <c r="D55" s="118">
        <f>J54</f>
        <v>305</v>
      </c>
      <c r="E55" s="119"/>
      <c r="F55" s="119"/>
      <c r="G55" s="120"/>
      <c r="H55" s="121"/>
      <c r="I55" s="121"/>
      <c r="J55" s="122"/>
      <c r="K55" s="119"/>
      <c r="L55" s="123"/>
    </row>
    <row r="56" spans="1:12" s="59" customFormat="1" ht="20.100000000000001" customHeight="1" x14ac:dyDescent="0.3">
      <c r="A56" s="69"/>
      <c r="B56" s="5"/>
      <c r="C56" s="5"/>
      <c r="D56" s="5"/>
      <c r="E56" s="5"/>
      <c r="F56" s="70"/>
      <c r="G56" s="5"/>
      <c r="H56" s="5"/>
      <c r="I56" s="5"/>
      <c r="J56" s="5"/>
      <c r="K56" s="5"/>
      <c r="L56" s="71"/>
    </row>
    <row r="57" spans="1:12" s="59" customFormat="1" ht="20.100000000000001" customHeight="1" x14ac:dyDescent="0.3">
      <c r="A57" s="69"/>
      <c r="B57" s="5"/>
      <c r="C57" s="5"/>
      <c r="D57" s="5"/>
      <c r="E57" s="5"/>
      <c r="F57" s="70"/>
      <c r="G57" s="5"/>
      <c r="H57" s="5"/>
      <c r="I57" s="5"/>
      <c r="J57" s="5"/>
      <c r="K57" s="5"/>
      <c r="L57" s="5"/>
    </row>
    <row r="58" spans="1:12" s="59" customFormat="1" ht="20.100000000000001" customHeight="1" x14ac:dyDescent="0.3">
      <c r="A58" s="69"/>
      <c r="B58" s="5"/>
      <c r="C58" s="5"/>
      <c r="D58" s="5"/>
      <c r="E58" s="5"/>
      <c r="F58" s="70"/>
      <c r="G58" s="5"/>
      <c r="H58" s="5"/>
      <c r="I58" s="5"/>
      <c r="J58" s="5"/>
      <c r="K58" s="5"/>
      <c r="L58" s="5"/>
    </row>
    <row r="59" spans="1:12" s="59" customFormat="1" ht="20.100000000000001" customHeight="1" x14ac:dyDescent="0.3">
      <c r="A59" s="69"/>
      <c r="B59" s="5"/>
      <c r="C59" s="5"/>
      <c r="D59" s="5"/>
      <c r="E59" s="5"/>
      <c r="F59" s="70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113"/>
      <c r="B60" s="113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72"/>
      <c r="F61" s="5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113"/>
      <c r="B62" s="113"/>
      <c r="C62" s="5"/>
      <c r="D62" s="5"/>
      <c r="E62" s="5"/>
      <c r="F62" s="5"/>
      <c r="G62" s="73"/>
      <c r="H62" s="5"/>
      <c r="I62" s="74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72"/>
      <c r="I66" s="72"/>
      <c r="J66" s="5"/>
      <c r="K66" s="5"/>
      <c r="L66" s="5"/>
    </row>
    <row r="67" spans="1:12" ht="20.100000000000001" customHeight="1" x14ac:dyDescent="0.3">
      <c r="A67" s="113"/>
      <c r="B67" s="113"/>
      <c r="H67" s="72"/>
      <c r="I67" s="72"/>
    </row>
    <row r="68" spans="1:12" ht="20.100000000000001" customHeight="1" x14ac:dyDescent="0.3">
      <c r="H68" s="72"/>
      <c r="I68" s="72"/>
    </row>
    <row r="69" spans="1:12" ht="20.100000000000001" customHeight="1" x14ac:dyDescent="0.3">
      <c r="H69" s="72"/>
      <c r="I69" s="72"/>
    </row>
    <row r="70" spans="1:12" ht="20.100000000000001" customHeight="1" x14ac:dyDescent="0.3">
      <c r="A70" s="113"/>
      <c r="B70" s="113"/>
      <c r="H70" s="72"/>
      <c r="I70" s="72"/>
    </row>
    <row r="71" spans="1:12" ht="20.100000000000001" customHeight="1" x14ac:dyDescent="0.3">
      <c r="A71" s="113"/>
      <c r="B71" s="113"/>
      <c r="H71" s="72"/>
      <c r="I71" s="72"/>
    </row>
    <row r="72" spans="1:12" ht="20.100000000000001" customHeight="1" x14ac:dyDescent="0.3"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H74" s="72"/>
      <c r="I74" s="72"/>
    </row>
    <row r="75" spans="1:12" s="72" customFormat="1" ht="20.100000000000001" customHeight="1" x14ac:dyDescent="0.3">
      <c r="A75" s="69"/>
      <c r="B75" s="5"/>
      <c r="C75" s="5"/>
      <c r="D75" s="5"/>
      <c r="E75" s="5"/>
      <c r="F75" s="70"/>
      <c r="G75" s="5"/>
      <c r="J75" s="5"/>
      <c r="K75" s="5"/>
      <c r="L75" s="5"/>
    </row>
    <row r="76" spans="1:12" s="72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75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75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75" customFormat="1" ht="19.5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72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2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ht="19.5" customHeight="1" x14ac:dyDescent="0.3"/>
    <row r="83" spans="1:12" ht="19.5" customHeight="1" x14ac:dyDescent="0.3"/>
    <row r="84" spans="1:12" ht="19.5" customHeight="1" x14ac:dyDescent="0.3"/>
    <row r="85" spans="1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ht="19.5" customHeight="1" x14ac:dyDescent="0.3"/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</sheetData>
  <mergeCells count="30">
    <mergeCell ref="A70:B70"/>
    <mergeCell ref="A71:B71"/>
    <mergeCell ref="A61:B61"/>
    <mergeCell ref="A62:B62"/>
    <mergeCell ref="A63:B63"/>
    <mergeCell ref="A65:B65"/>
    <mergeCell ref="A66:B66"/>
    <mergeCell ref="A67:B67"/>
    <mergeCell ref="A60:B6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4:I54"/>
    <mergeCell ref="A55:B55"/>
    <mergeCell ref="D55:G55"/>
    <mergeCell ref="H55:J55"/>
    <mergeCell ref="K55:L55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L161"/>
  <sheetViews>
    <sheetView view="pageBreakPreview" topLeftCell="A58" zoomScale="85" zoomScaleNormal="100" zoomScaleSheetLayoutView="85" workbookViewId="0">
      <selection activeCell="L68" sqref="L68:L6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46213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9" si="0">(H7/1000*I7/1000)*J7</f>
        <v>0</v>
      </c>
      <c r="L7" s="26">
        <f>SUM(J7:J28)</f>
        <v>168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SUM(K7:K28)</f>
        <v>1119.023514</v>
      </c>
    </row>
    <row r="9" spans="1:12" s="27" customFormat="1" ht="19.5" customHeight="1" x14ac:dyDescent="0.3">
      <c r="A9" s="28" t="s">
        <v>6208</v>
      </c>
      <c r="B9" s="16" t="s">
        <v>6209</v>
      </c>
      <c r="C9" s="17">
        <v>22</v>
      </c>
      <c r="D9" s="18" t="s">
        <v>6210</v>
      </c>
      <c r="E9" s="41">
        <v>192</v>
      </c>
      <c r="F9" s="42">
        <v>117.52</v>
      </c>
      <c r="G9" s="34" t="s">
        <v>6211</v>
      </c>
      <c r="H9" s="35">
        <v>1981</v>
      </c>
      <c r="I9" s="36">
        <v>3353</v>
      </c>
      <c r="J9" s="37">
        <v>19</v>
      </c>
      <c r="K9" s="85">
        <f t="shared" si="0"/>
        <v>126.20356700000001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6210</v>
      </c>
      <c r="E10" s="41">
        <v>48</v>
      </c>
      <c r="F10" s="42">
        <v>13.44</v>
      </c>
      <c r="G10" s="34" t="s">
        <v>6212</v>
      </c>
      <c r="H10" s="35">
        <v>1981</v>
      </c>
      <c r="I10" s="36">
        <v>3353</v>
      </c>
      <c r="J10" s="37">
        <v>19</v>
      </c>
      <c r="K10" s="85">
        <f t="shared" si="0"/>
        <v>126.20356700000001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6213</v>
      </c>
      <c r="B12" s="16" t="s">
        <v>6209</v>
      </c>
      <c r="C12" s="17">
        <v>22</v>
      </c>
      <c r="D12" s="18" t="s">
        <v>6215</v>
      </c>
      <c r="E12" s="41">
        <v>216</v>
      </c>
      <c r="F12" s="42">
        <v>181.12</v>
      </c>
      <c r="G12" s="34" t="s">
        <v>6216</v>
      </c>
      <c r="H12" s="35">
        <v>1981</v>
      </c>
      <c r="I12" s="36">
        <v>3353</v>
      </c>
      <c r="J12" s="37">
        <v>27</v>
      </c>
      <c r="K12" s="25">
        <f t="shared" si="0"/>
        <v>179.34191100000001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6212</v>
      </c>
      <c r="H13" s="35">
        <v>1981</v>
      </c>
      <c r="I13" s="36">
        <v>3353</v>
      </c>
      <c r="J13" s="37">
        <v>27</v>
      </c>
      <c r="K13" s="85">
        <f t="shared" si="0"/>
        <v>179.34191100000001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 t="shared" ref="K14:K22" si="1">(H14/1000*I14/1000)*J14</f>
        <v>0</v>
      </c>
      <c r="L14" s="39"/>
    </row>
    <row r="15" spans="1:12" s="27" customFormat="1" ht="19.5" customHeight="1" x14ac:dyDescent="0.3">
      <c r="A15" s="28" t="s">
        <v>6195</v>
      </c>
      <c r="B15" s="16" t="s">
        <v>6191</v>
      </c>
      <c r="C15" s="17">
        <v>5</v>
      </c>
      <c r="D15" s="18" t="s">
        <v>2829</v>
      </c>
      <c r="E15" s="41">
        <v>172</v>
      </c>
      <c r="F15" s="42">
        <v>65.36</v>
      </c>
      <c r="G15" s="34" t="s">
        <v>49</v>
      </c>
      <c r="H15" s="35">
        <v>1829</v>
      </c>
      <c r="I15" s="36">
        <v>3353</v>
      </c>
      <c r="J15" s="37">
        <v>12</v>
      </c>
      <c r="K15" s="85">
        <f t="shared" si="1"/>
        <v>73.591644000000002</v>
      </c>
      <c r="L15" s="39" t="s">
        <v>6217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1"/>
        <v>0</v>
      </c>
      <c r="L16" s="39"/>
    </row>
    <row r="17" spans="1:12" s="27" customFormat="1" ht="19.5" customHeight="1" x14ac:dyDescent="0.3">
      <c r="A17" s="28" t="s">
        <v>6218</v>
      </c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1"/>
        <v>0</v>
      </c>
      <c r="L17" s="39"/>
    </row>
    <row r="18" spans="1:12" s="27" customFormat="1" ht="19.5" customHeight="1" x14ac:dyDescent="0.3">
      <c r="A18" s="28" t="s">
        <v>6236</v>
      </c>
      <c r="B18" s="16" t="s">
        <v>6237</v>
      </c>
      <c r="C18" s="17">
        <v>22</v>
      </c>
      <c r="D18" s="18" t="s">
        <v>45</v>
      </c>
      <c r="E18" s="41">
        <v>141</v>
      </c>
      <c r="F18" s="42">
        <v>83.67</v>
      </c>
      <c r="G18" s="34" t="s">
        <v>6238</v>
      </c>
      <c r="H18" s="35">
        <v>1981</v>
      </c>
      <c r="I18" s="36">
        <v>3353</v>
      </c>
      <c r="J18" s="37">
        <v>14</v>
      </c>
      <c r="K18" s="85">
        <f t="shared" si="1"/>
        <v>92.992102000000003</v>
      </c>
      <c r="L18" s="39"/>
    </row>
    <row r="19" spans="1:12" s="27" customFormat="1" ht="19.5" customHeight="1" x14ac:dyDescent="0.3">
      <c r="A19" s="28"/>
      <c r="B19" s="16"/>
      <c r="C19" s="17">
        <v>22</v>
      </c>
      <c r="D19" s="18" t="s">
        <v>17</v>
      </c>
      <c r="E19" s="41">
        <v>156</v>
      </c>
      <c r="F19" s="42">
        <v>121.68</v>
      </c>
      <c r="G19" s="34" t="s">
        <v>6239</v>
      </c>
      <c r="H19" s="35">
        <v>2134</v>
      </c>
      <c r="I19" s="36">
        <v>3353</v>
      </c>
      <c r="J19" s="37">
        <v>18</v>
      </c>
      <c r="K19" s="85">
        <f t="shared" si="1"/>
        <v>128.795436</v>
      </c>
      <c r="L19" s="39"/>
    </row>
    <row r="20" spans="1:12" s="27" customFormat="1" ht="19.5" customHeight="1" x14ac:dyDescent="0.3">
      <c r="A20" s="28"/>
      <c r="B20" s="16"/>
      <c r="C20" s="17">
        <v>22</v>
      </c>
      <c r="D20" s="18" t="s">
        <v>45</v>
      </c>
      <c r="E20" s="41">
        <v>36</v>
      </c>
      <c r="F20" s="42">
        <v>10.08</v>
      </c>
      <c r="G20" s="34" t="s">
        <v>216</v>
      </c>
      <c r="H20" s="35">
        <v>1981</v>
      </c>
      <c r="I20" s="36">
        <v>3353</v>
      </c>
      <c r="J20" s="37">
        <v>32</v>
      </c>
      <c r="K20" s="85">
        <f t="shared" si="1"/>
        <v>212.55337600000001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1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1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43"/>
      <c r="H28" s="35"/>
      <c r="I28" s="36"/>
      <c r="J28" s="37"/>
      <c r="K28" s="25">
        <f t="shared" si="0"/>
        <v>0</v>
      </c>
      <c r="L28" s="39"/>
    </row>
    <row r="29" spans="1:12" s="55" customFormat="1" ht="19.5" customHeight="1" x14ac:dyDescent="0.3">
      <c r="A29" s="44"/>
      <c r="B29" s="45"/>
      <c r="C29" s="46"/>
      <c r="D29" s="47"/>
      <c r="E29" s="48"/>
      <c r="F29" s="49"/>
      <c r="G29" s="50"/>
      <c r="H29" s="51"/>
      <c r="I29" s="45"/>
      <c r="J29" s="52"/>
      <c r="K29" s="53">
        <f t="shared" si="0"/>
        <v>0</v>
      </c>
      <c r="L29" s="54"/>
    </row>
    <row r="30" spans="1:12" s="55" customFormat="1" ht="19.5" customHeight="1" x14ac:dyDescent="0.3">
      <c r="A30" s="44" t="s">
        <v>6219</v>
      </c>
      <c r="B30" s="45" t="s">
        <v>6220</v>
      </c>
      <c r="C30" s="46">
        <v>24</v>
      </c>
      <c r="D30" s="47" t="s">
        <v>6221</v>
      </c>
      <c r="E30" s="48">
        <v>30</v>
      </c>
      <c r="F30" s="49">
        <v>37.700000000000003</v>
      </c>
      <c r="G30" s="50" t="s">
        <v>6222</v>
      </c>
      <c r="H30" s="51">
        <v>2438</v>
      </c>
      <c r="I30" s="45">
        <v>3353</v>
      </c>
      <c r="J30" s="52">
        <v>5</v>
      </c>
      <c r="K30" s="53">
        <f t="shared" si="0"/>
        <v>40.873069999999998</v>
      </c>
      <c r="L30" s="54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 t="s">
        <v>6216</v>
      </c>
      <c r="H31" s="51">
        <v>2134</v>
      </c>
      <c r="I31" s="45">
        <v>3353</v>
      </c>
      <c r="J31" s="52">
        <v>6</v>
      </c>
      <c r="K31" s="53">
        <f t="shared" si="0"/>
        <v>42.931812000000001</v>
      </c>
      <c r="L31" s="54"/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6223</v>
      </c>
      <c r="B33" s="45" t="s">
        <v>6220</v>
      </c>
      <c r="C33" s="46">
        <v>24</v>
      </c>
      <c r="D33" s="47" t="s">
        <v>6224</v>
      </c>
      <c r="E33" s="48">
        <v>80</v>
      </c>
      <c r="F33" s="49">
        <v>70.64</v>
      </c>
      <c r="G33" s="50" t="s">
        <v>6222</v>
      </c>
      <c r="H33" s="51">
        <v>2438</v>
      </c>
      <c r="I33" s="45">
        <v>3353</v>
      </c>
      <c r="J33" s="52">
        <v>9</v>
      </c>
      <c r="K33" s="53">
        <f t="shared" si="0"/>
        <v>73.571526000000006</v>
      </c>
      <c r="L33" s="54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 t="s">
        <v>6216</v>
      </c>
      <c r="H34" s="51">
        <v>2134</v>
      </c>
      <c r="I34" s="45">
        <v>3353</v>
      </c>
      <c r="J34" s="52">
        <v>11</v>
      </c>
      <c r="K34" s="53">
        <f t="shared" si="0"/>
        <v>78.708321999999995</v>
      </c>
      <c r="L34" s="54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6225</v>
      </c>
      <c r="B36" s="45" t="s">
        <v>6226</v>
      </c>
      <c r="C36" s="46">
        <v>43</v>
      </c>
      <c r="D36" s="47" t="s">
        <v>5226</v>
      </c>
      <c r="E36" s="48">
        <v>1</v>
      </c>
      <c r="F36" s="49">
        <v>1.41</v>
      </c>
      <c r="G36" s="50" t="s">
        <v>5278</v>
      </c>
      <c r="H36" s="51">
        <v>2438</v>
      </c>
      <c r="I36" s="45">
        <v>3353</v>
      </c>
      <c r="J36" s="52">
        <v>2</v>
      </c>
      <c r="K36" s="53">
        <f t="shared" si="0"/>
        <v>16.349228</v>
      </c>
      <c r="L36" s="54" t="s">
        <v>6229</v>
      </c>
    </row>
    <row r="37" spans="1:12" s="55" customFormat="1" ht="19.5" customHeight="1" x14ac:dyDescent="0.3">
      <c r="A37" s="44"/>
      <c r="B37" s="45"/>
      <c r="C37" s="46">
        <v>24</v>
      </c>
      <c r="D37" s="47" t="s">
        <v>289</v>
      </c>
      <c r="E37" s="48">
        <v>3</v>
      </c>
      <c r="F37" s="49">
        <v>1.41</v>
      </c>
      <c r="G37" s="50"/>
      <c r="H37" s="51"/>
      <c r="I37" s="45"/>
      <c r="J37" s="52"/>
      <c r="K37" s="53">
        <f t="shared" ref="K37" si="2">(H37/1000*I37/1000)*J37</f>
        <v>0</v>
      </c>
      <c r="L37" s="54" t="s">
        <v>6229</v>
      </c>
    </row>
    <row r="38" spans="1:12" s="55" customFormat="1" ht="19.5" customHeight="1" x14ac:dyDescent="0.3">
      <c r="A38" s="44" t="s">
        <v>6227</v>
      </c>
      <c r="B38" s="45" t="s">
        <v>6226</v>
      </c>
      <c r="C38" s="46">
        <v>43</v>
      </c>
      <c r="D38" s="47" t="s">
        <v>5226</v>
      </c>
      <c r="E38" s="48">
        <v>2</v>
      </c>
      <c r="F38" s="49">
        <v>3.06</v>
      </c>
      <c r="G38" s="50"/>
      <c r="H38" s="51"/>
      <c r="I38" s="45"/>
      <c r="J38" s="52"/>
      <c r="K38" s="53">
        <f t="shared" si="0"/>
        <v>0</v>
      </c>
      <c r="L38" s="54" t="s">
        <v>6229</v>
      </c>
    </row>
    <row r="39" spans="1:12" s="55" customFormat="1" ht="19.5" customHeight="1" x14ac:dyDescent="0.3">
      <c r="A39" s="44"/>
      <c r="B39" s="45"/>
      <c r="C39" s="46">
        <v>24</v>
      </c>
      <c r="D39" s="47" t="s">
        <v>289</v>
      </c>
      <c r="E39" s="48">
        <v>2</v>
      </c>
      <c r="F39" s="49">
        <v>1.37</v>
      </c>
      <c r="G39" s="50"/>
      <c r="H39" s="51"/>
      <c r="I39" s="45"/>
      <c r="J39" s="52"/>
      <c r="K39" s="53">
        <f t="shared" si="0"/>
        <v>0</v>
      </c>
      <c r="L39" s="54" t="s">
        <v>6229</v>
      </c>
    </row>
    <row r="40" spans="1:12" s="55" customFormat="1" ht="19.5" customHeight="1" x14ac:dyDescent="0.3">
      <c r="A40" s="44" t="s">
        <v>6228</v>
      </c>
      <c r="B40" s="45" t="s">
        <v>6226</v>
      </c>
      <c r="C40" s="46">
        <v>43</v>
      </c>
      <c r="D40" s="47" t="s">
        <v>5226</v>
      </c>
      <c r="E40" s="48">
        <v>2</v>
      </c>
      <c r="F40" s="49">
        <v>3.56</v>
      </c>
      <c r="G40" s="50"/>
      <c r="H40" s="51"/>
      <c r="I40" s="45"/>
      <c r="J40" s="52"/>
      <c r="K40" s="53">
        <f t="shared" si="0"/>
        <v>0</v>
      </c>
      <c r="L40" s="54" t="s">
        <v>6229</v>
      </c>
    </row>
    <row r="41" spans="1:12" s="55" customFormat="1" ht="19.5" customHeight="1" x14ac:dyDescent="0.3">
      <c r="A41" s="44"/>
      <c r="B41" s="45"/>
      <c r="C41" s="46">
        <v>24</v>
      </c>
      <c r="D41" s="47" t="s">
        <v>289</v>
      </c>
      <c r="E41" s="48">
        <v>3</v>
      </c>
      <c r="F41" s="49">
        <v>1.68</v>
      </c>
      <c r="G41" s="50"/>
      <c r="H41" s="51"/>
      <c r="I41" s="45"/>
      <c r="J41" s="52"/>
      <c r="K41" s="53">
        <f t="shared" si="0"/>
        <v>0</v>
      </c>
      <c r="L41" s="54" t="s">
        <v>6229</v>
      </c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6225</v>
      </c>
      <c r="B43" s="45" t="s">
        <v>6226</v>
      </c>
      <c r="C43" s="46">
        <v>24</v>
      </c>
      <c r="D43" s="47" t="s">
        <v>289</v>
      </c>
      <c r="E43" s="48">
        <v>1</v>
      </c>
      <c r="F43" s="49">
        <v>0.56000000000000005</v>
      </c>
      <c r="G43" s="50"/>
      <c r="H43" s="51"/>
      <c r="I43" s="45"/>
      <c r="J43" s="52"/>
      <c r="K43" s="53">
        <f t="shared" si="0"/>
        <v>0</v>
      </c>
      <c r="L43" s="54" t="s">
        <v>6230</v>
      </c>
    </row>
    <row r="44" spans="1:12" s="55" customFormat="1" ht="19.5" customHeight="1" x14ac:dyDescent="0.3">
      <c r="A44" s="44" t="s">
        <v>6228</v>
      </c>
      <c r="B44" s="45" t="s">
        <v>6226</v>
      </c>
      <c r="C44" s="46">
        <v>24</v>
      </c>
      <c r="D44" s="47" t="s">
        <v>289</v>
      </c>
      <c r="E44" s="48">
        <v>2</v>
      </c>
      <c r="F44" s="49">
        <v>1.1200000000000001</v>
      </c>
      <c r="G44" s="50"/>
      <c r="H44" s="51"/>
      <c r="I44" s="45"/>
      <c r="J44" s="52"/>
      <c r="K44" s="53">
        <f t="shared" si="0"/>
        <v>0</v>
      </c>
      <c r="L44" s="54" t="s">
        <v>6230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6231</v>
      </c>
      <c r="B46" s="45" t="s">
        <v>6232</v>
      </c>
      <c r="C46" s="46">
        <v>24</v>
      </c>
      <c r="D46" s="47" t="s">
        <v>6221</v>
      </c>
      <c r="E46" s="48">
        <v>79</v>
      </c>
      <c r="F46" s="49">
        <v>113.05</v>
      </c>
      <c r="G46" s="50" t="s">
        <v>6222</v>
      </c>
      <c r="H46" s="51">
        <v>2438</v>
      </c>
      <c r="I46" s="45">
        <v>3353</v>
      </c>
      <c r="J46" s="52">
        <v>15</v>
      </c>
      <c r="K46" s="53">
        <f t="shared" si="0"/>
        <v>122.61921</v>
      </c>
      <c r="L46" s="54" t="s">
        <v>6233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6234</v>
      </c>
      <c r="B48" s="45" t="s">
        <v>6232</v>
      </c>
      <c r="C48" s="46">
        <v>24</v>
      </c>
      <c r="D48" s="47" t="s">
        <v>6221</v>
      </c>
      <c r="E48" s="48">
        <v>80</v>
      </c>
      <c r="F48" s="49">
        <v>119.56</v>
      </c>
      <c r="G48" s="50" t="s">
        <v>6222</v>
      </c>
      <c r="H48" s="51">
        <v>2438</v>
      </c>
      <c r="I48" s="45">
        <v>3353</v>
      </c>
      <c r="J48" s="52">
        <v>52</v>
      </c>
      <c r="K48" s="53">
        <f t="shared" si="0"/>
        <v>425.079928</v>
      </c>
      <c r="L48" s="54" t="s">
        <v>6233</v>
      </c>
    </row>
    <row r="49" spans="1:12" s="55" customFormat="1" ht="19.5" customHeight="1" x14ac:dyDescent="0.3">
      <c r="A49" s="44" t="s">
        <v>6235</v>
      </c>
      <c r="B49" s="45" t="s">
        <v>6232</v>
      </c>
      <c r="C49" s="46">
        <v>24</v>
      </c>
      <c r="D49" s="47" t="s">
        <v>6224</v>
      </c>
      <c r="E49" s="48">
        <v>216</v>
      </c>
      <c r="F49" s="49">
        <v>236.68</v>
      </c>
      <c r="G49" s="50"/>
      <c r="H49" s="51"/>
      <c r="I49" s="45"/>
      <c r="J49" s="52"/>
      <c r="K49" s="53">
        <f t="shared" si="0"/>
        <v>0</v>
      </c>
      <c r="L49" s="54" t="s">
        <v>6233</v>
      </c>
    </row>
    <row r="50" spans="1:12" s="55" customFormat="1" ht="19.5" customHeight="1" x14ac:dyDescent="0.3">
      <c r="A50" s="44"/>
      <c r="B50" s="76"/>
      <c r="C50" s="77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6218</v>
      </c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6240</v>
      </c>
      <c r="B52" s="45" t="s">
        <v>6241</v>
      </c>
      <c r="C52" s="46">
        <v>24</v>
      </c>
      <c r="D52" s="47" t="s">
        <v>6242</v>
      </c>
      <c r="E52" s="48">
        <v>80</v>
      </c>
      <c r="F52" s="49">
        <v>119.56</v>
      </c>
      <c r="G52" s="50" t="s">
        <v>6239</v>
      </c>
      <c r="H52" s="51">
        <v>2134</v>
      </c>
      <c r="I52" s="45">
        <v>3353</v>
      </c>
      <c r="J52" s="52">
        <v>20</v>
      </c>
      <c r="K52" s="53">
        <f t="shared" si="0"/>
        <v>143.10604000000001</v>
      </c>
      <c r="L52" s="54" t="s">
        <v>100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6243</v>
      </c>
      <c r="B54" s="45" t="s">
        <v>6241</v>
      </c>
      <c r="C54" s="46">
        <v>24</v>
      </c>
      <c r="D54" s="47" t="s">
        <v>6242</v>
      </c>
      <c r="E54" s="48">
        <v>79</v>
      </c>
      <c r="F54" s="49">
        <v>113.05</v>
      </c>
      <c r="G54" s="50" t="s">
        <v>6239</v>
      </c>
      <c r="H54" s="51">
        <v>2134</v>
      </c>
      <c r="I54" s="45">
        <v>3353</v>
      </c>
      <c r="J54" s="52">
        <v>19</v>
      </c>
      <c r="K54" s="53">
        <f t="shared" si="0"/>
        <v>135.950738</v>
      </c>
      <c r="L54" s="54" t="s">
        <v>100</v>
      </c>
    </row>
    <row r="55" spans="1:12" s="55" customFormat="1" ht="19.5" customHeight="1" x14ac:dyDescent="0.3">
      <c r="A55" s="44"/>
      <c r="B55" s="45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76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76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76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76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76"/>
      <c r="C61" s="46"/>
      <c r="D61" s="78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76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9" customFormat="1" ht="20.100000000000001" customHeight="1" x14ac:dyDescent="0.3">
      <c r="A68" s="44"/>
      <c r="B68" s="45"/>
      <c r="C68" s="46"/>
      <c r="D68" s="47"/>
      <c r="E68" s="56"/>
      <c r="F68" s="57"/>
      <c r="G68" s="50"/>
      <c r="H68" s="51"/>
      <c r="I68" s="45"/>
      <c r="J68" s="52"/>
      <c r="K68" s="53">
        <f t="shared" si="0"/>
        <v>0</v>
      </c>
      <c r="L68" s="58">
        <f>SUM(J29:J69)</f>
        <v>139</v>
      </c>
    </row>
    <row r="69" spans="1:12" s="59" customFormat="1" ht="20.100000000000001" customHeight="1" x14ac:dyDescent="0.3">
      <c r="A69" s="44"/>
      <c r="B69" s="45"/>
      <c r="C69" s="46"/>
      <c r="D69" s="47"/>
      <c r="E69" s="60"/>
      <c r="F69" s="61"/>
      <c r="G69" s="62"/>
      <c r="H69" s="51"/>
      <c r="I69" s="45"/>
      <c r="J69" s="63"/>
      <c r="K69" s="53">
        <f t="shared" si="0"/>
        <v>0</v>
      </c>
      <c r="L69" s="64">
        <f>SUM(K29:K69)</f>
        <v>1079.1898740000001</v>
      </c>
    </row>
    <row r="70" spans="1:12" s="59" customFormat="1" ht="20.100000000000001" customHeight="1" thickBot="1" x14ac:dyDescent="0.35">
      <c r="A70" s="114"/>
      <c r="B70" s="115"/>
      <c r="C70" s="115"/>
      <c r="D70" s="115"/>
      <c r="E70" s="115"/>
      <c r="F70" s="115"/>
      <c r="G70" s="115"/>
      <c r="H70" s="115"/>
      <c r="I70" s="115"/>
      <c r="J70" s="65">
        <f>SUM(J7:J69)</f>
        <v>307</v>
      </c>
      <c r="K70" s="66">
        <f>SUM(K7:K69)</f>
        <v>2198.2133880000001</v>
      </c>
      <c r="L70" s="67"/>
    </row>
    <row r="71" spans="1:12" s="59" customFormat="1" ht="20.100000000000001" customHeight="1" thickTop="1" thickBot="1" x14ac:dyDescent="0.35">
      <c r="A71" s="116" t="s">
        <v>52</v>
      </c>
      <c r="B71" s="117"/>
      <c r="C71" s="68"/>
      <c r="D71" s="118">
        <f>J70</f>
        <v>307</v>
      </c>
      <c r="E71" s="119"/>
      <c r="F71" s="119"/>
      <c r="G71" s="120"/>
      <c r="H71" s="121"/>
      <c r="I71" s="121"/>
      <c r="J71" s="122"/>
      <c r="K71" s="119"/>
      <c r="L71" s="123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71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72"/>
      <c r="F77" s="5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5"/>
      <c r="G78" s="73"/>
      <c r="H78" s="5"/>
      <c r="I78" s="74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70"/>
      <c r="G82" s="5"/>
      <c r="H82" s="72"/>
      <c r="I82" s="72"/>
      <c r="J82" s="5"/>
      <c r="K82" s="5"/>
      <c r="L82" s="5"/>
    </row>
    <row r="83" spans="1:12" ht="20.100000000000001" customHeight="1" x14ac:dyDescent="0.3">
      <c r="A83" s="113"/>
      <c r="B83" s="113"/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H85" s="72"/>
      <c r="I85" s="72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A87" s="113"/>
      <c r="B87" s="113"/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H89" s="72"/>
      <c r="I89" s="72"/>
    </row>
    <row r="90" spans="1:12" ht="20.100000000000001" customHeight="1" x14ac:dyDescent="0.3">
      <c r="H90" s="72"/>
      <c r="I90" s="72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J91" s="5"/>
      <c r="K91" s="5"/>
      <c r="L91" s="5"/>
    </row>
    <row r="92" spans="1:12" s="72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5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5" customFormat="1" ht="19.5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2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ht="19.5" customHeight="1" x14ac:dyDescent="0.3"/>
    <row r="99" spans="1:12" ht="19.5" customHeight="1" x14ac:dyDescent="0.3"/>
    <row r="100" spans="1:12" ht="19.5" customHeight="1" x14ac:dyDescent="0.3"/>
    <row r="101" spans="1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6:B7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0:I70"/>
    <mergeCell ref="A71:B71"/>
    <mergeCell ref="D71:G71"/>
    <mergeCell ref="H71:J71"/>
    <mergeCell ref="K71:L71"/>
    <mergeCell ref="A86:B86"/>
    <mergeCell ref="A87:B87"/>
    <mergeCell ref="A77:B77"/>
    <mergeCell ref="A78:B78"/>
    <mergeCell ref="A79:B79"/>
    <mergeCell ref="A81:B81"/>
    <mergeCell ref="A82:B82"/>
    <mergeCell ref="A83:B83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L162"/>
  <sheetViews>
    <sheetView view="pageBreakPreview" topLeftCell="A64" zoomScale="85" zoomScaleNormal="100" zoomScaleSheetLayoutView="85" workbookViewId="0">
      <selection activeCell="L69" sqref="L69:L7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46212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0" si="0">(H7/1000*I7/1000)*J7</f>
        <v>0</v>
      </c>
      <c r="L7" s="26">
        <f>SUM(J7:J30)</f>
        <v>143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SUM(K7:K30)</f>
        <v>1092.1533479999998</v>
      </c>
    </row>
    <row r="9" spans="1:12" s="27" customFormat="1" ht="19.5" customHeight="1" x14ac:dyDescent="0.3">
      <c r="A9" s="28" t="s">
        <v>6008</v>
      </c>
      <c r="B9" s="16" t="s">
        <v>1890</v>
      </c>
      <c r="C9" s="17">
        <v>28</v>
      </c>
      <c r="D9" s="18" t="s">
        <v>1891</v>
      </c>
      <c r="E9" s="41">
        <v>75</v>
      </c>
      <c r="F9" s="42">
        <v>119.70000000000002</v>
      </c>
      <c r="G9" s="34" t="s">
        <v>6161</v>
      </c>
      <c r="H9" s="35">
        <v>2438</v>
      </c>
      <c r="I9" s="36">
        <v>3353</v>
      </c>
      <c r="J9" s="37">
        <v>87</v>
      </c>
      <c r="K9" s="85">
        <f t="shared" si="0"/>
        <v>711.191418</v>
      </c>
      <c r="L9" s="39" t="s">
        <v>6164</v>
      </c>
    </row>
    <row r="10" spans="1:12" s="27" customFormat="1" ht="19.5" customHeight="1" x14ac:dyDescent="0.3">
      <c r="A10" s="28"/>
      <c r="B10" s="16"/>
      <c r="C10" s="17">
        <v>28</v>
      </c>
      <c r="D10" s="18" t="s">
        <v>1894</v>
      </c>
      <c r="E10" s="41">
        <v>189</v>
      </c>
      <c r="F10" s="42">
        <v>187.43</v>
      </c>
      <c r="G10" s="34"/>
      <c r="H10" s="35"/>
      <c r="I10" s="36"/>
      <c r="J10" s="37"/>
      <c r="K10" s="85">
        <f t="shared" si="0"/>
        <v>0</v>
      </c>
      <c r="L10" s="39" t="s">
        <v>6165</v>
      </c>
    </row>
    <row r="11" spans="1:12" s="27" customFormat="1" ht="19.5" customHeight="1" x14ac:dyDescent="0.3">
      <c r="A11" s="28"/>
      <c r="B11" s="16"/>
      <c r="C11" s="17">
        <v>28</v>
      </c>
      <c r="D11" s="18" t="s">
        <v>1891</v>
      </c>
      <c r="E11" s="41">
        <v>119</v>
      </c>
      <c r="F11" s="42">
        <v>310.39</v>
      </c>
      <c r="G11" s="34"/>
      <c r="H11" s="35"/>
      <c r="I11" s="36"/>
      <c r="J11" s="37"/>
      <c r="K11" s="25">
        <f t="shared" si="0"/>
        <v>0</v>
      </c>
      <c r="L11" s="39" t="s">
        <v>6165</v>
      </c>
    </row>
    <row r="12" spans="1:12" s="27" customFormat="1" ht="19.5" customHeight="1" x14ac:dyDescent="0.3">
      <c r="A12" s="28" t="s">
        <v>6163</v>
      </c>
      <c r="B12" s="16" t="s">
        <v>1890</v>
      </c>
      <c r="C12" s="17">
        <v>26.76</v>
      </c>
      <c r="D12" s="18" t="s">
        <v>5681</v>
      </c>
      <c r="E12" s="41">
        <v>2</v>
      </c>
      <c r="F12" s="42">
        <v>1.18</v>
      </c>
      <c r="G12" s="34"/>
      <c r="H12" s="35"/>
      <c r="I12" s="36"/>
      <c r="J12" s="37"/>
      <c r="K12" s="25">
        <f t="shared" si="0"/>
        <v>0</v>
      </c>
      <c r="L12" s="39" t="s">
        <v>6166</v>
      </c>
    </row>
    <row r="13" spans="1:12" s="27" customFormat="1" ht="19.5" customHeight="1" x14ac:dyDescent="0.3">
      <c r="A13" s="28"/>
      <c r="B13" s="16"/>
      <c r="C13" s="17">
        <v>28</v>
      </c>
      <c r="D13" s="18" t="s">
        <v>1891</v>
      </c>
      <c r="E13" s="41">
        <v>1</v>
      </c>
      <c r="F13" s="42">
        <v>3</v>
      </c>
      <c r="G13" s="34"/>
      <c r="H13" s="35"/>
      <c r="I13" s="36"/>
      <c r="J13" s="37"/>
      <c r="K13" s="85">
        <f t="shared" si="0"/>
        <v>0</v>
      </c>
      <c r="L13" s="39" t="s">
        <v>6166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 t="shared" si="0"/>
        <v>0</v>
      </c>
      <c r="L14" s="39"/>
    </row>
    <row r="15" spans="1:12" s="27" customFormat="1" ht="19.5" customHeight="1" x14ac:dyDescent="0.3">
      <c r="A15" s="28" t="s">
        <v>6008</v>
      </c>
      <c r="B15" s="16" t="s">
        <v>1890</v>
      </c>
      <c r="C15" s="17">
        <v>28</v>
      </c>
      <c r="D15" s="18" t="s">
        <v>1894</v>
      </c>
      <c r="E15" s="41">
        <v>91</v>
      </c>
      <c r="F15" s="42">
        <v>69.91</v>
      </c>
      <c r="G15" s="34" t="s">
        <v>6162</v>
      </c>
      <c r="H15" s="35">
        <v>2438</v>
      </c>
      <c r="I15" s="36">
        <v>3048</v>
      </c>
      <c r="J15" s="37">
        <v>1</v>
      </c>
      <c r="K15" s="85">
        <f t="shared" si="0"/>
        <v>7.4310240000000007</v>
      </c>
      <c r="L15" s="39" t="s">
        <v>6167</v>
      </c>
    </row>
    <row r="16" spans="1:12" s="27" customFormat="1" ht="19.5" customHeight="1" x14ac:dyDescent="0.3">
      <c r="A16" s="28" t="s">
        <v>6163</v>
      </c>
      <c r="B16" s="16" t="s">
        <v>1890</v>
      </c>
      <c r="C16" s="17">
        <v>28</v>
      </c>
      <c r="D16" s="18" t="s">
        <v>1891</v>
      </c>
      <c r="E16" s="41">
        <v>1</v>
      </c>
      <c r="F16" s="42">
        <v>3</v>
      </c>
      <c r="G16" s="34" t="s">
        <v>6162</v>
      </c>
      <c r="H16" s="35">
        <v>2438</v>
      </c>
      <c r="I16" s="36">
        <v>3353</v>
      </c>
      <c r="J16" s="37">
        <v>15</v>
      </c>
      <c r="K16" s="85">
        <f t="shared" si="0"/>
        <v>122.61921</v>
      </c>
      <c r="L16" s="39" t="s">
        <v>6168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ref="K17:K18" si="1">(H17/1000*I17/1000)*J17</f>
        <v>0</v>
      </c>
      <c r="L17" s="39"/>
    </row>
    <row r="18" spans="1:12" s="27" customFormat="1" ht="19.5" customHeight="1" x14ac:dyDescent="0.3">
      <c r="A18" s="28" t="s">
        <v>6169</v>
      </c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1"/>
        <v>0</v>
      </c>
      <c r="L18" s="39"/>
    </row>
    <row r="19" spans="1:12" s="27" customFormat="1" ht="19.5" customHeight="1" x14ac:dyDescent="0.3">
      <c r="A19" s="28" t="s">
        <v>6190</v>
      </c>
      <c r="B19" s="16" t="s">
        <v>6191</v>
      </c>
      <c r="C19" s="17">
        <v>5</v>
      </c>
      <c r="D19" s="18" t="s">
        <v>6192</v>
      </c>
      <c r="E19" s="41">
        <v>308</v>
      </c>
      <c r="F19" s="42">
        <v>117.04</v>
      </c>
      <c r="G19" s="34" t="s">
        <v>6193</v>
      </c>
      <c r="H19" s="35">
        <v>1981</v>
      </c>
      <c r="I19" s="36">
        <v>3353</v>
      </c>
      <c r="J19" s="37">
        <v>5</v>
      </c>
      <c r="K19" s="85">
        <f t="shared" si="0"/>
        <v>33.211465000000004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 t="s">
        <v>6193</v>
      </c>
      <c r="H20" s="35">
        <v>1829</v>
      </c>
      <c r="I20" s="36">
        <v>3353</v>
      </c>
      <c r="J20" s="37">
        <v>15</v>
      </c>
      <c r="K20" s="85">
        <f t="shared" si="0"/>
        <v>91.989554999999996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0"/>
        <v>0</v>
      </c>
      <c r="L21" s="39"/>
    </row>
    <row r="22" spans="1:12" s="27" customFormat="1" ht="19.5" customHeight="1" x14ac:dyDescent="0.3">
      <c r="A22" s="28" t="s">
        <v>6194</v>
      </c>
      <c r="B22" s="16" t="s">
        <v>6191</v>
      </c>
      <c r="C22" s="17">
        <v>5</v>
      </c>
      <c r="D22" s="18" t="s">
        <v>6192</v>
      </c>
      <c r="E22" s="41">
        <v>96</v>
      </c>
      <c r="F22" s="42">
        <v>36.479999999999997</v>
      </c>
      <c r="G22" s="34" t="s">
        <v>6193</v>
      </c>
      <c r="H22" s="35">
        <v>1981</v>
      </c>
      <c r="I22" s="36">
        <v>3353</v>
      </c>
      <c r="J22" s="37">
        <v>6</v>
      </c>
      <c r="K22" s="85">
        <f t="shared" si="0"/>
        <v>39.853757999999999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</row>
    <row r="24" spans="1:12" s="27" customFormat="1" ht="19.5" customHeight="1" x14ac:dyDescent="0.3">
      <c r="A24" s="28" t="s">
        <v>6195</v>
      </c>
      <c r="B24" s="16" t="s">
        <v>6191</v>
      </c>
      <c r="C24" s="17">
        <v>5</v>
      </c>
      <c r="D24" s="18" t="s">
        <v>6192</v>
      </c>
      <c r="E24" s="41">
        <v>210</v>
      </c>
      <c r="F24" s="42">
        <v>79.8</v>
      </c>
      <c r="G24" s="34" t="s">
        <v>6193</v>
      </c>
      <c r="H24" s="35">
        <v>1829</v>
      </c>
      <c r="I24" s="36">
        <v>3353</v>
      </c>
      <c r="J24" s="37">
        <v>14</v>
      </c>
      <c r="K24" s="85">
        <f t="shared" si="0"/>
        <v>85.856917999999993</v>
      </c>
      <c r="L24" s="39" t="s">
        <v>6196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43"/>
      <c r="H30" s="35"/>
      <c r="I30" s="36"/>
      <c r="J30" s="37"/>
      <c r="K30" s="25">
        <f t="shared" si="0"/>
        <v>0</v>
      </c>
      <c r="L30" s="39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6170</v>
      </c>
      <c r="B32" s="45" t="s">
        <v>6171</v>
      </c>
      <c r="C32" s="46">
        <v>24</v>
      </c>
      <c r="D32" s="47" t="s">
        <v>6172</v>
      </c>
      <c r="E32" s="48">
        <v>1</v>
      </c>
      <c r="F32" s="49">
        <v>0.28000000000000003</v>
      </c>
      <c r="G32" s="50"/>
      <c r="H32" s="51"/>
      <c r="I32" s="45"/>
      <c r="J32" s="52"/>
      <c r="K32" s="53">
        <f t="shared" si="0"/>
        <v>0</v>
      </c>
      <c r="L32" s="54" t="s">
        <v>6175</v>
      </c>
    </row>
    <row r="33" spans="1:12" s="55" customFormat="1" ht="19.5" customHeight="1" x14ac:dyDescent="0.3">
      <c r="A33" s="44"/>
      <c r="B33" s="45"/>
      <c r="C33" s="46">
        <v>39</v>
      </c>
      <c r="D33" s="47" t="s">
        <v>6173</v>
      </c>
      <c r="E33" s="48">
        <v>1</v>
      </c>
      <c r="F33" s="49">
        <v>0.28000000000000003</v>
      </c>
      <c r="G33" s="50"/>
      <c r="H33" s="51"/>
      <c r="I33" s="45"/>
      <c r="J33" s="52"/>
      <c r="K33" s="53">
        <f t="shared" si="0"/>
        <v>0</v>
      </c>
      <c r="L33" s="54" t="s">
        <v>6175</v>
      </c>
    </row>
    <row r="34" spans="1:12" s="55" customFormat="1" ht="19.5" customHeight="1" x14ac:dyDescent="0.3">
      <c r="A34" s="44"/>
      <c r="B34" s="45"/>
      <c r="C34" s="46">
        <v>42</v>
      </c>
      <c r="D34" s="47" t="s">
        <v>6174</v>
      </c>
      <c r="E34" s="48">
        <v>1</v>
      </c>
      <c r="F34" s="49">
        <v>0.28000000000000003</v>
      </c>
      <c r="G34" s="50"/>
      <c r="H34" s="51"/>
      <c r="I34" s="45"/>
      <c r="J34" s="52"/>
      <c r="K34" s="53">
        <f t="shared" si="0"/>
        <v>0</v>
      </c>
      <c r="L34" s="54" t="s">
        <v>6175</v>
      </c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6176</v>
      </c>
      <c r="B36" s="45" t="s">
        <v>6177</v>
      </c>
      <c r="C36" s="46">
        <v>22</v>
      </c>
      <c r="D36" s="47" t="s">
        <v>6178</v>
      </c>
      <c r="E36" s="48">
        <v>9</v>
      </c>
      <c r="F36" s="49">
        <v>13.68</v>
      </c>
      <c r="G36" s="50" t="s">
        <v>6180</v>
      </c>
      <c r="H36" s="51">
        <v>1981</v>
      </c>
      <c r="I36" s="45">
        <v>3353</v>
      </c>
      <c r="J36" s="52">
        <v>2</v>
      </c>
      <c r="K36" s="53">
        <f t="shared" si="0"/>
        <v>13.284586000000001</v>
      </c>
      <c r="L36" s="54"/>
    </row>
    <row r="37" spans="1:12" s="55" customFormat="1" ht="19.5" customHeight="1" x14ac:dyDescent="0.3">
      <c r="A37" s="44"/>
      <c r="B37" s="45"/>
      <c r="C37" s="46">
        <v>24</v>
      </c>
      <c r="D37" s="47" t="s">
        <v>6179</v>
      </c>
      <c r="E37" s="48">
        <v>2</v>
      </c>
      <c r="F37" s="49">
        <v>3.17</v>
      </c>
      <c r="G37" s="50" t="s">
        <v>6181</v>
      </c>
      <c r="H37" s="51">
        <v>1981</v>
      </c>
      <c r="I37" s="45">
        <v>3353</v>
      </c>
      <c r="J37" s="52">
        <v>2</v>
      </c>
      <c r="K37" s="53">
        <f t="shared" si="0"/>
        <v>13.284586000000001</v>
      </c>
      <c r="L37" s="54" t="s">
        <v>6183</v>
      </c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 t="s">
        <v>6182</v>
      </c>
      <c r="H38" s="51">
        <v>2438</v>
      </c>
      <c r="I38" s="45">
        <v>3048</v>
      </c>
      <c r="J38" s="52">
        <v>1</v>
      </c>
      <c r="K38" s="53">
        <f t="shared" si="0"/>
        <v>7.4310240000000007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6184</v>
      </c>
      <c r="B40" s="45" t="s">
        <v>6185</v>
      </c>
      <c r="C40" s="46">
        <v>24</v>
      </c>
      <c r="D40" s="47" t="s">
        <v>6186</v>
      </c>
      <c r="E40" s="48">
        <v>16</v>
      </c>
      <c r="F40" s="49">
        <v>16.850000000000001</v>
      </c>
      <c r="G40" s="50" t="s">
        <v>6187</v>
      </c>
      <c r="H40" s="51">
        <v>2438</v>
      </c>
      <c r="I40" s="45">
        <v>3353</v>
      </c>
      <c r="J40" s="52">
        <v>3</v>
      </c>
      <c r="K40" s="53">
        <f t="shared" si="0"/>
        <v>24.523842000000002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 t="s">
        <v>6180</v>
      </c>
      <c r="H41" s="51">
        <v>2134</v>
      </c>
      <c r="I41" s="45">
        <v>3353</v>
      </c>
      <c r="J41" s="52">
        <v>3</v>
      </c>
      <c r="K41" s="53">
        <f t="shared" si="0"/>
        <v>21.465906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6154</v>
      </c>
      <c r="B43" s="45" t="s">
        <v>5493</v>
      </c>
      <c r="C43" s="46">
        <v>43</v>
      </c>
      <c r="D43" s="47" t="s">
        <v>4425</v>
      </c>
      <c r="E43" s="48">
        <v>84</v>
      </c>
      <c r="F43" s="49">
        <v>35.28</v>
      </c>
      <c r="G43" s="50" t="s">
        <v>6188</v>
      </c>
      <c r="H43" s="51">
        <v>2438</v>
      </c>
      <c r="I43" s="45">
        <v>3353</v>
      </c>
      <c r="J43" s="52">
        <v>10</v>
      </c>
      <c r="K43" s="53">
        <f t="shared" si="0"/>
        <v>81.746139999999997</v>
      </c>
      <c r="L43" s="54" t="s">
        <v>6189</v>
      </c>
    </row>
    <row r="44" spans="1:12" s="55" customFormat="1" ht="19.5" customHeight="1" x14ac:dyDescent="0.3">
      <c r="A44" s="44"/>
      <c r="B44" s="45"/>
      <c r="C44" s="46">
        <v>24</v>
      </c>
      <c r="D44" s="47" t="s">
        <v>289</v>
      </c>
      <c r="E44" s="48">
        <v>134</v>
      </c>
      <c r="F44" s="49">
        <v>318.51</v>
      </c>
      <c r="G44" s="50" t="s">
        <v>6180</v>
      </c>
      <c r="H44" s="51">
        <v>1981</v>
      </c>
      <c r="I44" s="45">
        <v>3353</v>
      </c>
      <c r="J44" s="52">
        <v>23</v>
      </c>
      <c r="K44" s="53">
        <f t="shared" si="0"/>
        <v>152.772739</v>
      </c>
      <c r="L44" s="54" t="s">
        <v>6271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6180</v>
      </c>
      <c r="H45" s="51">
        <v>2134</v>
      </c>
      <c r="I45" s="45">
        <v>3353</v>
      </c>
      <c r="J45" s="52">
        <v>32</v>
      </c>
      <c r="K45" s="53">
        <f t="shared" si="0"/>
        <v>228.96966399999999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6169</v>
      </c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6197</v>
      </c>
      <c r="B48" s="45" t="s">
        <v>6198</v>
      </c>
      <c r="C48" s="46">
        <v>22</v>
      </c>
      <c r="D48" s="47" t="s">
        <v>6199</v>
      </c>
      <c r="E48" s="48">
        <v>2</v>
      </c>
      <c r="F48" s="49">
        <v>6.36</v>
      </c>
      <c r="G48" s="50" t="s">
        <v>6193</v>
      </c>
      <c r="H48" s="51">
        <v>2134</v>
      </c>
      <c r="I48" s="45">
        <v>3353</v>
      </c>
      <c r="J48" s="52">
        <v>1</v>
      </c>
      <c r="K48" s="53">
        <f t="shared" si="0"/>
        <v>7.1553019999999998</v>
      </c>
      <c r="L48" s="54"/>
    </row>
    <row r="49" spans="1:12" s="55" customFormat="1" ht="19.5" customHeight="1" x14ac:dyDescent="0.3">
      <c r="A49" s="44"/>
      <c r="B49" s="45"/>
      <c r="C49" s="77">
        <v>22</v>
      </c>
      <c r="D49" s="47" t="s">
        <v>6200</v>
      </c>
      <c r="E49" s="48">
        <v>26</v>
      </c>
      <c r="F49" s="49">
        <v>21.28</v>
      </c>
      <c r="G49" s="50" t="s">
        <v>6193</v>
      </c>
      <c r="H49" s="51">
        <v>1981</v>
      </c>
      <c r="I49" s="45">
        <v>3353</v>
      </c>
      <c r="J49" s="52">
        <v>4</v>
      </c>
      <c r="K49" s="53">
        <f t="shared" si="0"/>
        <v>26.569172000000002</v>
      </c>
      <c r="L49" s="54"/>
    </row>
    <row r="50" spans="1:12" s="55" customFormat="1" ht="19.5" customHeight="1" x14ac:dyDescent="0.3">
      <c r="A50" s="44"/>
      <c r="B50" s="45"/>
      <c r="C50" s="77">
        <v>22</v>
      </c>
      <c r="D50" s="47" t="s">
        <v>6201</v>
      </c>
      <c r="E50" s="48">
        <v>22</v>
      </c>
      <c r="F50" s="49">
        <v>23.76</v>
      </c>
      <c r="G50" s="50" t="s">
        <v>6202</v>
      </c>
      <c r="H50" s="51">
        <v>2134</v>
      </c>
      <c r="I50" s="45">
        <v>3353</v>
      </c>
      <c r="J50" s="52">
        <v>4</v>
      </c>
      <c r="K50" s="53">
        <f t="shared" si="0"/>
        <v>28.621207999999999</v>
      </c>
      <c r="L50" s="54"/>
    </row>
    <row r="51" spans="1:12" s="55" customFormat="1" ht="19.5" customHeight="1" x14ac:dyDescent="0.3">
      <c r="A51" s="44"/>
      <c r="B51" s="76"/>
      <c r="C51" s="77"/>
      <c r="D51" s="47"/>
      <c r="E51" s="48"/>
      <c r="F51" s="49"/>
      <c r="G51" s="50" t="s">
        <v>39</v>
      </c>
      <c r="H51" s="51">
        <v>2134</v>
      </c>
      <c r="I51" s="45">
        <v>3353</v>
      </c>
      <c r="J51" s="52">
        <v>1</v>
      </c>
      <c r="K51" s="53">
        <f t="shared" si="0"/>
        <v>7.1553019999999998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 t="s">
        <v>19</v>
      </c>
      <c r="H52" s="51">
        <v>1981</v>
      </c>
      <c r="I52" s="45">
        <v>3353</v>
      </c>
      <c r="J52" s="52">
        <v>4</v>
      </c>
      <c r="K52" s="53">
        <f t="shared" si="0"/>
        <v>26.569172000000002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 t="s">
        <v>19</v>
      </c>
      <c r="H53" s="51">
        <v>2134</v>
      </c>
      <c r="I53" s="45">
        <v>3353</v>
      </c>
      <c r="J53" s="52">
        <v>4</v>
      </c>
      <c r="K53" s="53">
        <f t="shared" si="0"/>
        <v>28.621207999999999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6203</v>
      </c>
      <c r="B55" s="45" t="s">
        <v>6198</v>
      </c>
      <c r="C55" s="46">
        <v>22</v>
      </c>
      <c r="D55" s="47" t="s">
        <v>6199</v>
      </c>
      <c r="E55" s="48">
        <v>2</v>
      </c>
      <c r="F55" s="49">
        <v>5.94</v>
      </c>
      <c r="G55" s="50" t="s">
        <v>6193</v>
      </c>
      <c r="H55" s="51">
        <v>2134</v>
      </c>
      <c r="I55" s="45">
        <v>3353</v>
      </c>
      <c r="J55" s="52">
        <v>1</v>
      </c>
      <c r="K55" s="53">
        <f t="shared" si="0"/>
        <v>7.1553019999999998</v>
      </c>
      <c r="L55" s="54"/>
    </row>
    <row r="56" spans="1:12" s="55" customFormat="1" ht="19.5" customHeight="1" x14ac:dyDescent="0.3">
      <c r="A56" s="44"/>
      <c r="B56" s="45"/>
      <c r="C56" s="77">
        <v>22</v>
      </c>
      <c r="D56" s="47" t="s">
        <v>6200</v>
      </c>
      <c r="E56" s="48">
        <v>30</v>
      </c>
      <c r="F56" s="49">
        <v>23.9</v>
      </c>
      <c r="G56" s="50" t="s">
        <v>6193</v>
      </c>
      <c r="H56" s="51">
        <v>1981</v>
      </c>
      <c r="I56" s="45">
        <v>3353</v>
      </c>
      <c r="J56" s="52">
        <v>4</v>
      </c>
      <c r="K56" s="53">
        <f t="shared" si="0"/>
        <v>26.569172000000002</v>
      </c>
      <c r="L56" s="54"/>
    </row>
    <row r="57" spans="1:12" s="55" customFormat="1" ht="19.5" customHeight="1" x14ac:dyDescent="0.3">
      <c r="A57" s="44"/>
      <c r="B57" s="76"/>
      <c r="C57" s="77">
        <v>22</v>
      </c>
      <c r="D57" s="47" t="s">
        <v>6201</v>
      </c>
      <c r="E57" s="48">
        <v>26</v>
      </c>
      <c r="F57" s="49">
        <v>25.58</v>
      </c>
      <c r="G57" s="50" t="s">
        <v>6202</v>
      </c>
      <c r="H57" s="51">
        <v>2134</v>
      </c>
      <c r="I57" s="45">
        <v>3353</v>
      </c>
      <c r="J57" s="52">
        <v>4</v>
      </c>
      <c r="K57" s="53">
        <f t="shared" si="0"/>
        <v>28.621207999999999</v>
      </c>
      <c r="L57" s="54"/>
    </row>
    <row r="58" spans="1:12" s="55" customFormat="1" ht="19.5" customHeight="1" x14ac:dyDescent="0.3">
      <c r="A58" s="44"/>
      <c r="B58" s="76"/>
      <c r="C58" s="77"/>
      <c r="D58" s="47"/>
      <c r="E58" s="48"/>
      <c r="F58" s="49"/>
      <c r="G58" s="50" t="s">
        <v>39</v>
      </c>
      <c r="H58" s="51">
        <v>2134</v>
      </c>
      <c r="I58" s="45">
        <v>3353</v>
      </c>
      <c r="J58" s="52">
        <v>1</v>
      </c>
      <c r="K58" s="53">
        <f t="shared" si="0"/>
        <v>7.1553019999999998</v>
      </c>
      <c r="L58" s="54"/>
    </row>
    <row r="59" spans="1:12" s="55" customFormat="1" ht="19.5" customHeight="1" x14ac:dyDescent="0.3">
      <c r="A59" s="44"/>
      <c r="B59" s="76"/>
      <c r="C59" s="46"/>
      <c r="D59" s="47"/>
      <c r="E59" s="48"/>
      <c r="F59" s="49"/>
      <c r="G59" s="50" t="s">
        <v>19</v>
      </c>
      <c r="H59" s="51">
        <v>1981</v>
      </c>
      <c r="I59" s="45">
        <v>3353</v>
      </c>
      <c r="J59" s="52">
        <v>8</v>
      </c>
      <c r="K59" s="53">
        <f t="shared" si="0"/>
        <v>53.138344000000004</v>
      </c>
      <c r="L59" s="54"/>
    </row>
    <row r="60" spans="1:12" s="55" customFormat="1" ht="19.5" customHeight="1" x14ac:dyDescent="0.3">
      <c r="A60" s="44"/>
      <c r="B60" s="76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6204</v>
      </c>
      <c r="B61" s="76" t="s">
        <v>6205</v>
      </c>
      <c r="C61" s="46">
        <v>22</v>
      </c>
      <c r="D61" s="47" t="s">
        <v>6206</v>
      </c>
      <c r="E61" s="48">
        <v>27</v>
      </c>
      <c r="F61" s="49">
        <v>34.049999999999997</v>
      </c>
      <c r="G61" s="50" t="s">
        <v>6193</v>
      </c>
      <c r="H61" s="51">
        <v>2134</v>
      </c>
      <c r="I61" s="45">
        <v>3048</v>
      </c>
      <c r="J61" s="52">
        <v>6</v>
      </c>
      <c r="K61" s="53">
        <f t="shared" si="0"/>
        <v>39.026591999999994</v>
      </c>
      <c r="L61" s="54"/>
    </row>
    <row r="62" spans="1:12" s="55" customFormat="1" ht="19.5" customHeight="1" x14ac:dyDescent="0.3">
      <c r="A62" s="44"/>
      <c r="B62" s="76"/>
      <c r="C62" s="46">
        <v>22</v>
      </c>
      <c r="D62" s="78" t="s">
        <v>6207</v>
      </c>
      <c r="E62" s="48">
        <v>27</v>
      </c>
      <c r="F62" s="49">
        <v>34.049999999999997</v>
      </c>
      <c r="G62" s="50" t="s">
        <v>6202</v>
      </c>
      <c r="H62" s="51">
        <v>2134</v>
      </c>
      <c r="I62" s="45">
        <v>3048</v>
      </c>
      <c r="J62" s="52">
        <v>6</v>
      </c>
      <c r="K62" s="53">
        <f t="shared" si="0"/>
        <v>39.026591999999994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 t="s">
        <v>19</v>
      </c>
      <c r="H63" s="51">
        <v>2134</v>
      </c>
      <c r="I63" s="45">
        <v>3048</v>
      </c>
      <c r="J63" s="52">
        <v>12</v>
      </c>
      <c r="K63" s="53">
        <f t="shared" si="0"/>
        <v>78.053183999999987</v>
      </c>
      <c r="L63" s="54"/>
    </row>
    <row r="64" spans="1:12" s="55" customFormat="1" ht="19.5" customHeight="1" x14ac:dyDescent="0.3">
      <c r="A64" s="44"/>
      <c r="B64" s="76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9" customFormat="1" ht="20.100000000000001" customHeight="1" x14ac:dyDescent="0.3">
      <c r="A69" s="44"/>
      <c r="B69" s="45"/>
      <c r="C69" s="46"/>
      <c r="D69" s="47"/>
      <c r="E69" s="56"/>
      <c r="F69" s="57"/>
      <c r="G69" s="50"/>
      <c r="H69" s="51"/>
      <c r="I69" s="45"/>
      <c r="J69" s="52"/>
      <c r="K69" s="53">
        <f t="shared" si="0"/>
        <v>0</v>
      </c>
      <c r="L69" s="58">
        <f>SUM(J31:J70)</f>
        <v>136</v>
      </c>
    </row>
    <row r="70" spans="1:12" s="59" customFormat="1" ht="20.100000000000001" customHeight="1" x14ac:dyDescent="0.3">
      <c r="A70" s="44"/>
      <c r="B70" s="45"/>
      <c r="C70" s="46"/>
      <c r="D70" s="47"/>
      <c r="E70" s="60"/>
      <c r="F70" s="61"/>
      <c r="G70" s="62"/>
      <c r="H70" s="51"/>
      <c r="I70" s="45"/>
      <c r="J70" s="63"/>
      <c r="K70" s="53">
        <f t="shared" si="0"/>
        <v>0</v>
      </c>
      <c r="L70" s="64">
        <f>SUM(K31:K70)</f>
        <v>946.91554699999995</v>
      </c>
    </row>
    <row r="71" spans="1:12" s="59" customFormat="1" ht="20.100000000000001" customHeight="1" thickBot="1" x14ac:dyDescent="0.35">
      <c r="A71" s="114"/>
      <c r="B71" s="115"/>
      <c r="C71" s="115"/>
      <c r="D71" s="115"/>
      <c r="E71" s="115"/>
      <c r="F71" s="115"/>
      <c r="G71" s="115"/>
      <c r="H71" s="115"/>
      <c r="I71" s="115"/>
      <c r="J71" s="65">
        <f>SUM(J7:J70)</f>
        <v>279</v>
      </c>
      <c r="K71" s="66">
        <f>SUM(K7:K70)</f>
        <v>2039.068894999999</v>
      </c>
      <c r="L71" s="67"/>
    </row>
    <row r="72" spans="1:12" s="59" customFormat="1" ht="20.100000000000001" customHeight="1" thickTop="1" thickBot="1" x14ac:dyDescent="0.35">
      <c r="A72" s="116" t="s">
        <v>52</v>
      </c>
      <c r="B72" s="117"/>
      <c r="C72" s="68"/>
      <c r="D72" s="118">
        <f>J71</f>
        <v>279</v>
      </c>
      <c r="E72" s="119"/>
      <c r="F72" s="119"/>
      <c r="G72" s="120"/>
      <c r="H72" s="121"/>
      <c r="I72" s="121"/>
      <c r="J72" s="122"/>
      <c r="K72" s="119"/>
      <c r="L72" s="123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71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72"/>
      <c r="F78" s="5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5"/>
      <c r="G79" s="73"/>
      <c r="H79" s="5"/>
      <c r="I79" s="74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70"/>
      <c r="G83" s="5"/>
      <c r="H83" s="72"/>
      <c r="I83" s="72"/>
      <c r="J83" s="5"/>
      <c r="K83" s="5"/>
      <c r="L83" s="5"/>
    </row>
    <row r="84" spans="1:12" ht="20.100000000000001" customHeight="1" x14ac:dyDescent="0.3">
      <c r="A84" s="113"/>
      <c r="B84" s="113"/>
      <c r="H84" s="72"/>
      <c r="I84" s="72"/>
    </row>
    <row r="85" spans="1:12" ht="20.100000000000001" customHeight="1" x14ac:dyDescent="0.3"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A87" s="113"/>
      <c r="B87" s="113"/>
      <c r="H87" s="72"/>
      <c r="I87" s="72"/>
    </row>
    <row r="88" spans="1:12" ht="20.100000000000001" customHeight="1" x14ac:dyDescent="0.3">
      <c r="A88" s="113"/>
      <c r="B88" s="113"/>
      <c r="H88" s="72"/>
      <c r="I88" s="72"/>
    </row>
    <row r="89" spans="1:12" ht="20.100000000000001" customHeight="1" x14ac:dyDescent="0.3"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H91" s="72"/>
      <c r="I91" s="72"/>
    </row>
    <row r="92" spans="1:12" s="72" customFormat="1" ht="20.100000000000001" customHeight="1" x14ac:dyDescent="0.3">
      <c r="A92" s="69"/>
      <c r="B92" s="5"/>
      <c r="C92" s="5"/>
      <c r="D92" s="5"/>
      <c r="E92" s="5"/>
      <c r="F92" s="70"/>
      <c r="G92" s="5"/>
      <c r="J92" s="5"/>
      <c r="K92" s="5"/>
      <c r="L92" s="5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5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5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5" customFormat="1" ht="19.5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2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2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ht="19.5" customHeight="1" x14ac:dyDescent="0.3"/>
    <row r="100" spans="1:12" ht="19.5" customHeight="1" x14ac:dyDescent="0.3"/>
    <row r="101" spans="1:12" ht="19.5" customHeight="1" x14ac:dyDescent="0.3"/>
    <row r="102" spans="1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7:B77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1:I71"/>
    <mergeCell ref="A72:B72"/>
    <mergeCell ref="D72:G72"/>
    <mergeCell ref="H72:J72"/>
    <mergeCell ref="K72:L72"/>
    <mergeCell ref="A87:B87"/>
    <mergeCell ref="A88:B88"/>
    <mergeCell ref="A78:B78"/>
    <mergeCell ref="A79:B79"/>
    <mergeCell ref="A80:B80"/>
    <mergeCell ref="A82:B82"/>
    <mergeCell ref="A83:B83"/>
    <mergeCell ref="A84:B8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L170"/>
  <sheetViews>
    <sheetView view="pageBreakPreview" topLeftCell="A70" zoomScale="85" zoomScaleNormal="100" zoomScaleSheetLayoutView="85" workbookViewId="0">
      <selection activeCell="L77" sqref="L77:L7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46211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8" si="0">(H7/1000*I7/1000)*J7</f>
        <v>0</v>
      </c>
      <c r="L7" s="26">
        <f>SUM(J7:J34)</f>
        <v>190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SUM(K7:K34)</f>
        <v>1291.1497689999999</v>
      </c>
    </row>
    <row r="9" spans="1:12" s="27" customFormat="1" ht="19.5" customHeight="1" x14ac:dyDescent="0.3">
      <c r="A9" s="28" t="s">
        <v>6121</v>
      </c>
      <c r="B9" s="16" t="s">
        <v>6122</v>
      </c>
      <c r="C9" s="17">
        <v>22</v>
      </c>
      <c r="D9" s="18" t="s">
        <v>6123</v>
      </c>
      <c r="E9" s="41">
        <v>1</v>
      </c>
      <c r="F9" s="42">
        <v>1.68</v>
      </c>
      <c r="G9" s="34" t="s">
        <v>6106</v>
      </c>
      <c r="H9" s="35"/>
      <c r="I9" s="36"/>
      <c r="J9" s="37"/>
      <c r="K9" s="85">
        <f t="shared" si="0"/>
        <v>0</v>
      </c>
      <c r="L9" s="39" t="s">
        <v>6124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6120</v>
      </c>
      <c r="H10" s="35">
        <v>1981</v>
      </c>
      <c r="I10" s="36">
        <v>3353</v>
      </c>
      <c r="J10" s="37">
        <v>1</v>
      </c>
      <c r="K10" s="85">
        <f t="shared" si="0"/>
        <v>6.6422930000000004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 t="s">
        <v>6125</v>
      </c>
      <c r="B12" s="16" t="s">
        <v>6082</v>
      </c>
      <c r="C12" s="17">
        <v>22</v>
      </c>
      <c r="D12" s="18" t="s">
        <v>6126</v>
      </c>
      <c r="E12" s="41">
        <v>16</v>
      </c>
      <c r="F12" s="42">
        <v>37.76</v>
      </c>
      <c r="G12" s="34" t="s">
        <v>6128</v>
      </c>
      <c r="H12" s="35">
        <v>1981</v>
      </c>
      <c r="I12" s="36">
        <v>3353</v>
      </c>
      <c r="J12" s="37">
        <v>29</v>
      </c>
      <c r="K12" s="85">
        <f t="shared" si="0"/>
        <v>192.626497</v>
      </c>
      <c r="L12" s="39"/>
    </row>
    <row r="13" spans="1:12" s="27" customFormat="1" ht="19.5" customHeight="1" x14ac:dyDescent="0.3">
      <c r="A13" s="28"/>
      <c r="B13" s="16"/>
      <c r="C13" s="17">
        <v>22</v>
      </c>
      <c r="D13" s="18" t="s">
        <v>6127</v>
      </c>
      <c r="E13" s="41">
        <v>8</v>
      </c>
      <c r="F13" s="42">
        <v>25.84</v>
      </c>
      <c r="G13" s="34" t="s">
        <v>6129</v>
      </c>
      <c r="H13" s="35">
        <v>1981</v>
      </c>
      <c r="I13" s="36">
        <v>3353</v>
      </c>
      <c r="J13" s="37">
        <v>29</v>
      </c>
      <c r="K13" s="85">
        <f t="shared" si="0"/>
        <v>192.626497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45</v>
      </c>
      <c r="E14" s="41">
        <v>192</v>
      </c>
      <c r="F14" s="42">
        <v>117.52</v>
      </c>
      <c r="G14" s="34"/>
      <c r="H14" s="35"/>
      <c r="I14" s="36"/>
      <c r="J14" s="37"/>
      <c r="K14" s="85">
        <f t="shared" si="0"/>
        <v>0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6132</v>
      </c>
      <c r="E15" s="41">
        <v>48</v>
      </c>
      <c r="F15" s="42">
        <v>13.44</v>
      </c>
      <c r="G15" s="34"/>
      <c r="H15" s="35"/>
      <c r="I15" s="36"/>
      <c r="J15" s="37"/>
      <c r="K15" s="85">
        <f t="shared" si="0"/>
        <v>0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0"/>
        <v>0</v>
      </c>
      <c r="L17" s="39"/>
    </row>
    <row r="18" spans="1:12" s="27" customFormat="1" ht="19.5" customHeight="1" x14ac:dyDescent="0.3">
      <c r="A18" s="28" t="s">
        <v>6133</v>
      </c>
      <c r="B18" s="16" t="s">
        <v>6082</v>
      </c>
      <c r="C18" s="17">
        <v>22</v>
      </c>
      <c r="D18" s="18" t="s">
        <v>6126</v>
      </c>
      <c r="E18" s="41">
        <v>16</v>
      </c>
      <c r="F18" s="42">
        <v>37.76</v>
      </c>
      <c r="G18" s="34" t="s">
        <v>6128</v>
      </c>
      <c r="H18" s="35">
        <v>1981</v>
      </c>
      <c r="I18" s="36">
        <v>3353</v>
      </c>
      <c r="J18" s="37">
        <v>10</v>
      </c>
      <c r="K18" s="85">
        <f t="shared" si="0"/>
        <v>66.422930000000008</v>
      </c>
      <c r="L18" s="39" t="s">
        <v>6130</v>
      </c>
    </row>
    <row r="19" spans="1:12" s="27" customFormat="1" ht="19.5" customHeight="1" x14ac:dyDescent="0.3">
      <c r="A19" s="28"/>
      <c r="B19" s="16"/>
      <c r="C19" s="17"/>
      <c r="D19" s="18" t="s">
        <v>6127</v>
      </c>
      <c r="E19" s="41">
        <v>8</v>
      </c>
      <c r="F19" s="42">
        <v>25.84</v>
      </c>
      <c r="G19" s="34" t="s">
        <v>6129</v>
      </c>
      <c r="H19" s="35">
        <v>1981</v>
      </c>
      <c r="I19" s="36">
        <v>3353</v>
      </c>
      <c r="J19" s="37">
        <v>10</v>
      </c>
      <c r="K19" s="85">
        <f t="shared" si="0"/>
        <v>66.422930000000008</v>
      </c>
      <c r="L19" s="39" t="s">
        <v>6131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6134</v>
      </c>
      <c r="B21" s="16" t="s">
        <v>6135</v>
      </c>
      <c r="C21" s="17">
        <v>22</v>
      </c>
      <c r="D21" s="18" t="s">
        <v>6127</v>
      </c>
      <c r="E21" s="41">
        <v>192</v>
      </c>
      <c r="F21" s="42">
        <v>117.52</v>
      </c>
      <c r="G21" s="34" t="s">
        <v>6100</v>
      </c>
      <c r="H21" s="35">
        <v>1981</v>
      </c>
      <c r="I21" s="36">
        <v>3353</v>
      </c>
      <c r="J21" s="37">
        <v>19</v>
      </c>
      <c r="K21" s="85">
        <f t="shared" si="0"/>
        <v>126.20356700000001</v>
      </c>
      <c r="L21" s="39"/>
    </row>
    <row r="22" spans="1:12" s="27" customFormat="1" ht="19.5" customHeight="1" x14ac:dyDescent="0.3">
      <c r="A22" s="28"/>
      <c r="B22" s="16"/>
      <c r="C22" s="17">
        <v>22</v>
      </c>
      <c r="D22" s="18" t="s">
        <v>45</v>
      </c>
      <c r="E22" s="41">
        <v>48</v>
      </c>
      <c r="F22" s="42">
        <v>13.44</v>
      </c>
      <c r="G22" s="34" t="s">
        <v>6129</v>
      </c>
      <c r="H22" s="35">
        <v>1981</v>
      </c>
      <c r="I22" s="36">
        <v>3353</v>
      </c>
      <c r="J22" s="37">
        <v>12</v>
      </c>
      <c r="K22" s="85">
        <f t="shared" si="0"/>
        <v>79.707515999999998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</row>
    <row r="24" spans="1:12" s="27" customFormat="1" ht="19.5" customHeight="1" x14ac:dyDescent="0.3">
      <c r="A24" s="28" t="s">
        <v>6136</v>
      </c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 t="s">
        <v>6137</v>
      </c>
      <c r="B25" s="16" t="s">
        <v>6138</v>
      </c>
      <c r="C25" s="17">
        <v>22</v>
      </c>
      <c r="D25" s="18" t="s">
        <v>6139</v>
      </c>
      <c r="E25" s="41">
        <v>216</v>
      </c>
      <c r="F25" s="42">
        <v>181.12</v>
      </c>
      <c r="G25" s="34" t="s">
        <v>6140</v>
      </c>
      <c r="H25" s="35">
        <v>1981</v>
      </c>
      <c r="I25" s="36">
        <v>3353</v>
      </c>
      <c r="J25" s="37">
        <v>27</v>
      </c>
      <c r="K25" s="85">
        <f t="shared" si="0"/>
        <v>179.34191100000001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 t="s">
        <v>6129</v>
      </c>
      <c r="H26" s="35">
        <v>1981</v>
      </c>
      <c r="I26" s="36">
        <v>3353</v>
      </c>
      <c r="J26" s="37">
        <v>27</v>
      </c>
      <c r="K26" s="85">
        <f t="shared" si="0"/>
        <v>179.34191100000001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 t="s">
        <v>6141</v>
      </c>
      <c r="B28" s="16" t="s">
        <v>6142</v>
      </c>
      <c r="C28" s="17">
        <v>28</v>
      </c>
      <c r="D28" s="18" t="s">
        <v>6143</v>
      </c>
      <c r="E28" s="41">
        <v>52</v>
      </c>
      <c r="F28" s="42">
        <v>145.91999999999999</v>
      </c>
      <c r="G28" s="34" t="s">
        <v>6144</v>
      </c>
      <c r="H28" s="35">
        <v>2438</v>
      </c>
      <c r="I28" s="36">
        <v>3353</v>
      </c>
      <c r="J28" s="37">
        <v>19</v>
      </c>
      <c r="K28" s="85">
        <f t="shared" si="0"/>
        <v>155.317666</v>
      </c>
      <c r="L28" s="39" t="s">
        <v>6145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85">
        <f>(H29/1000*I29/1000)*J29</f>
        <v>0</v>
      </c>
      <c r="L29" s="39"/>
    </row>
    <row r="30" spans="1:12" s="27" customFormat="1" ht="19.5" customHeight="1" x14ac:dyDescent="0.3">
      <c r="A30" s="28" t="s">
        <v>6069</v>
      </c>
      <c r="B30" s="16" t="s">
        <v>2662</v>
      </c>
      <c r="C30" s="17">
        <v>22</v>
      </c>
      <c r="D30" s="18" t="s">
        <v>45</v>
      </c>
      <c r="E30" s="41">
        <v>32</v>
      </c>
      <c r="F30" s="42">
        <v>44.08</v>
      </c>
      <c r="G30" s="34" t="s">
        <v>216</v>
      </c>
      <c r="H30" s="35">
        <v>1981</v>
      </c>
      <c r="I30" s="36">
        <v>3353</v>
      </c>
      <c r="J30" s="37">
        <v>7</v>
      </c>
      <c r="K30" s="25">
        <f t="shared" ref="K30" si="1">(H30/1000*I30/1000)*J30</f>
        <v>46.496051000000001</v>
      </c>
      <c r="L30" s="39" t="s">
        <v>6214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25">
        <f t="shared" si="0"/>
        <v>0</v>
      </c>
      <c r="L34" s="39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6080</v>
      </c>
      <c r="B36" s="45" t="s">
        <v>6081</v>
      </c>
      <c r="C36" s="46">
        <v>24</v>
      </c>
      <c r="D36" s="47" t="s">
        <v>6083</v>
      </c>
      <c r="E36" s="48">
        <v>2</v>
      </c>
      <c r="F36" s="49">
        <v>4.72</v>
      </c>
      <c r="G36" s="50" t="s">
        <v>6084</v>
      </c>
      <c r="H36" s="51">
        <v>1981</v>
      </c>
      <c r="I36" s="45">
        <v>3048</v>
      </c>
      <c r="J36" s="52">
        <v>1</v>
      </c>
      <c r="K36" s="53">
        <f t="shared" si="0"/>
        <v>6.038088000000001</v>
      </c>
      <c r="L36" s="54"/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 t="s">
        <v>6085</v>
      </c>
      <c r="H37" s="51">
        <v>2438</v>
      </c>
      <c r="I37" s="45">
        <v>3353</v>
      </c>
      <c r="J37" s="52">
        <v>1</v>
      </c>
      <c r="K37" s="53">
        <f t="shared" si="0"/>
        <v>8.174614</v>
      </c>
      <c r="L37" s="54"/>
    </row>
    <row r="38" spans="1:12" s="55" customFormat="1" ht="19.5" customHeight="1" x14ac:dyDescent="0.3">
      <c r="A38" s="44"/>
      <c r="B38" s="45"/>
      <c r="C38" s="46">
        <v>24</v>
      </c>
      <c r="D38" s="47" t="s">
        <v>6086</v>
      </c>
      <c r="E38" s="48">
        <v>2</v>
      </c>
      <c r="F38" s="49">
        <v>4.72</v>
      </c>
      <c r="G38" s="50" t="s">
        <v>6087</v>
      </c>
      <c r="H38" s="51">
        <v>2134</v>
      </c>
      <c r="I38" s="45">
        <v>3048</v>
      </c>
      <c r="J38" s="52">
        <v>1</v>
      </c>
      <c r="K38" s="53">
        <f t="shared" si="0"/>
        <v>6.5044319999999995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 t="s">
        <v>6085</v>
      </c>
      <c r="H39" s="51">
        <v>2438</v>
      </c>
      <c r="I39" s="45">
        <v>3048</v>
      </c>
      <c r="J39" s="52">
        <v>1</v>
      </c>
      <c r="K39" s="53">
        <f t="shared" si="0"/>
        <v>7.4310240000000007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6089</v>
      </c>
      <c r="B41" s="45" t="s">
        <v>6090</v>
      </c>
      <c r="C41" s="46">
        <v>28</v>
      </c>
      <c r="D41" s="47" t="s">
        <v>6091</v>
      </c>
      <c r="E41" s="48">
        <v>13</v>
      </c>
      <c r="F41" s="49">
        <v>7.63</v>
      </c>
      <c r="G41" s="50" t="s">
        <v>6088</v>
      </c>
      <c r="H41" s="51">
        <v>2438</v>
      </c>
      <c r="I41" s="45">
        <v>3048</v>
      </c>
      <c r="J41" s="52">
        <v>1</v>
      </c>
      <c r="K41" s="53">
        <f t="shared" si="0"/>
        <v>7.4310240000000007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 t="s">
        <v>6092</v>
      </c>
      <c r="H42" s="51">
        <v>2438</v>
      </c>
      <c r="I42" s="45">
        <v>3048</v>
      </c>
      <c r="J42" s="52">
        <v>2</v>
      </c>
      <c r="K42" s="53">
        <f t="shared" si="0"/>
        <v>14.862048000000001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6093</v>
      </c>
      <c r="B44" s="45" t="s">
        <v>6094</v>
      </c>
      <c r="C44" s="46">
        <v>43</v>
      </c>
      <c r="D44" s="47" t="s">
        <v>6095</v>
      </c>
      <c r="E44" s="48">
        <v>1</v>
      </c>
      <c r="F44" s="49">
        <v>0.51</v>
      </c>
      <c r="G44" s="50" t="s">
        <v>6096</v>
      </c>
      <c r="H44" s="51"/>
      <c r="I44" s="45"/>
      <c r="J44" s="52"/>
      <c r="K44" s="53">
        <f t="shared" si="0"/>
        <v>0</v>
      </c>
      <c r="L44" s="54" t="s">
        <v>6097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6098</v>
      </c>
      <c r="B46" s="45" t="s">
        <v>6099</v>
      </c>
      <c r="C46" s="46">
        <v>43</v>
      </c>
      <c r="D46" s="47" t="s">
        <v>6095</v>
      </c>
      <c r="E46" s="48">
        <v>3</v>
      </c>
      <c r="F46" s="49">
        <v>0.84</v>
      </c>
      <c r="G46" s="50" t="s">
        <v>6100</v>
      </c>
      <c r="H46" s="51"/>
      <c r="I46" s="45"/>
      <c r="J46" s="52"/>
      <c r="K46" s="53">
        <f t="shared" si="0"/>
        <v>0</v>
      </c>
      <c r="L46" s="54" t="s">
        <v>6147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/>
      <c r="L47" s="54"/>
    </row>
    <row r="48" spans="1:12" s="55" customFormat="1" ht="19.5" customHeight="1" x14ac:dyDescent="0.3">
      <c r="A48" s="44" t="s">
        <v>5662</v>
      </c>
      <c r="B48" s="45" t="s">
        <v>2456</v>
      </c>
      <c r="C48" s="46">
        <v>43</v>
      </c>
      <c r="D48" s="47" t="s">
        <v>2850</v>
      </c>
      <c r="E48" s="48">
        <v>2</v>
      </c>
      <c r="F48" s="49">
        <v>1.83</v>
      </c>
      <c r="G48" s="50"/>
      <c r="H48" s="51"/>
      <c r="I48" s="45"/>
      <c r="J48" s="52"/>
      <c r="K48" s="53">
        <f t="shared" si="0"/>
        <v>0</v>
      </c>
      <c r="L48" s="54" t="s">
        <v>6146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6101</v>
      </c>
      <c r="B50" s="45" t="s">
        <v>6102</v>
      </c>
      <c r="C50" s="46">
        <v>24</v>
      </c>
      <c r="D50" s="47" t="s">
        <v>6103</v>
      </c>
      <c r="E50" s="48">
        <v>1</v>
      </c>
      <c r="F50" s="49">
        <v>1.25</v>
      </c>
      <c r="G50" s="50" t="s">
        <v>6106</v>
      </c>
      <c r="H50" s="51">
        <v>2134</v>
      </c>
      <c r="I50" s="45">
        <v>3353</v>
      </c>
      <c r="J50" s="52">
        <v>1</v>
      </c>
      <c r="K50" s="53">
        <f t="shared" si="0"/>
        <v>7.1553019999999998</v>
      </c>
      <c r="L50" s="54" t="s">
        <v>6114</v>
      </c>
    </row>
    <row r="51" spans="1:12" s="55" customFormat="1" ht="19.5" customHeight="1" x14ac:dyDescent="0.3">
      <c r="A51" s="44" t="s">
        <v>6104</v>
      </c>
      <c r="B51" s="45" t="s">
        <v>6102</v>
      </c>
      <c r="C51" s="46">
        <v>24</v>
      </c>
      <c r="D51" s="47" t="s">
        <v>6103</v>
      </c>
      <c r="E51" s="48">
        <v>1</v>
      </c>
      <c r="F51" s="49">
        <v>1.61</v>
      </c>
      <c r="G51" s="50"/>
      <c r="H51" s="51"/>
      <c r="I51" s="45"/>
      <c r="J51" s="52"/>
      <c r="K51" s="53">
        <f t="shared" si="0"/>
        <v>0</v>
      </c>
      <c r="L51" s="54" t="s">
        <v>6114</v>
      </c>
    </row>
    <row r="52" spans="1:12" s="55" customFormat="1" ht="19.5" customHeight="1" x14ac:dyDescent="0.3">
      <c r="A52" s="44" t="s">
        <v>6105</v>
      </c>
      <c r="B52" s="45" t="s">
        <v>6102</v>
      </c>
      <c r="C52" s="46">
        <v>24</v>
      </c>
      <c r="D52" s="47" t="s">
        <v>6103</v>
      </c>
      <c r="E52" s="48">
        <v>5</v>
      </c>
      <c r="F52" s="49">
        <v>6.9</v>
      </c>
      <c r="G52" s="50"/>
      <c r="H52" s="51"/>
      <c r="I52" s="45"/>
      <c r="J52" s="52"/>
      <c r="K52" s="53">
        <f t="shared" si="0"/>
        <v>0</v>
      </c>
      <c r="L52" s="54" t="s">
        <v>6114</v>
      </c>
    </row>
    <row r="53" spans="1:12" s="55" customFormat="1" ht="19.5" customHeight="1" x14ac:dyDescent="0.3">
      <c r="A53" s="44" t="s">
        <v>6113</v>
      </c>
      <c r="B53" s="45" t="s">
        <v>6102</v>
      </c>
      <c r="C53" s="77">
        <v>24</v>
      </c>
      <c r="D53" s="47" t="s">
        <v>6103</v>
      </c>
      <c r="E53" s="48">
        <v>1</v>
      </c>
      <c r="F53" s="49">
        <v>1.43</v>
      </c>
      <c r="G53" s="50"/>
      <c r="H53" s="51"/>
      <c r="I53" s="45"/>
      <c r="J53" s="52"/>
      <c r="K53" s="53"/>
      <c r="L53" s="54" t="s">
        <v>6114</v>
      </c>
    </row>
    <row r="54" spans="1:12" s="55" customFormat="1" ht="19.5" customHeight="1" x14ac:dyDescent="0.3">
      <c r="A54" s="44" t="s">
        <v>6148</v>
      </c>
      <c r="B54" s="45" t="s">
        <v>4568</v>
      </c>
      <c r="C54" s="77">
        <v>24</v>
      </c>
      <c r="D54" s="47" t="s">
        <v>441</v>
      </c>
      <c r="E54" s="48">
        <v>2</v>
      </c>
      <c r="F54" s="49">
        <v>2.54</v>
      </c>
      <c r="G54" s="50"/>
      <c r="H54" s="51"/>
      <c r="I54" s="45"/>
      <c r="J54" s="52"/>
      <c r="K54" s="53"/>
      <c r="L54" s="54" t="s">
        <v>6149</v>
      </c>
    </row>
    <row r="55" spans="1:12" s="55" customFormat="1" ht="19.5" customHeight="1" x14ac:dyDescent="0.3">
      <c r="A55" s="44"/>
      <c r="B55" s="76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6107</v>
      </c>
      <c r="B56" s="45" t="s">
        <v>6102</v>
      </c>
      <c r="C56" s="46">
        <v>24</v>
      </c>
      <c r="D56" s="47" t="s">
        <v>6103</v>
      </c>
      <c r="E56" s="48">
        <v>1</v>
      </c>
      <c r="F56" s="49">
        <v>1.27</v>
      </c>
      <c r="G56" s="50" t="s">
        <v>6112</v>
      </c>
      <c r="H56" s="51">
        <v>2438</v>
      </c>
      <c r="I56" s="45">
        <v>3353</v>
      </c>
      <c r="J56" s="52">
        <v>1</v>
      </c>
      <c r="K56" s="53">
        <f t="shared" si="0"/>
        <v>8.174614</v>
      </c>
      <c r="L56" s="54" t="s">
        <v>6150</v>
      </c>
    </row>
    <row r="57" spans="1:12" s="55" customFormat="1" ht="19.5" customHeight="1" x14ac:dyDescent="0.3">
      <c r="A57" s="44" t="s">
        <v>6108</v>
      </c>
      <c r="B57" s="45" t="s">
        <v>6102</v>
      </c>
      <c r="C57" s="46">
        <v>24</v>
      </c>
      <c r="D57" s="47" t="s">
        <v>6103</v>
      </c>
      <c r="E57" s="48">
        <v>1</v>
      </c>
      <c r="F57" s="49">
        <v>1.48</v>
      </c>
      <c r="G57" s="50"/>
      <c r="H57" s="51"/>
      <c r="I57" s="45"/>
      <c r="J57" s="52"/>
      <c r="K57" s="53">
        <f t="shared" si="0"/>
        <v>0</v>
      </c>
      <c r="L57" s="54" t="s">
        <v>6150</v>
      </c>
    </row>
    <row r="58" spans="1:12" s="55" customFormat="1" ht="19.5" customHeight="1" x14ac:dyDescent="0.3">
      <c r="A58" s="44" t="s">
        <v>6109</v>
      </c>
      <c r="B58" s="45" t="s">
        <v>6102</v>
      </c>
      <c r="C58" s="46">
        <v>24</v>
      </c>
      <c r="D58" s="47" t="s">
        <v>6103</v>
      </c>
      <c r="E58" s="48">
        <v>2</v>
      </c>
      <c r="F58" s="49">
        <v>2.95</v>
      </c>
      <c r="G58" s="50"/>
      <c r="H58" s="51"/>
      <c r="I58" s="45"/>
      <c r="J58" s="52"/>
      <c r="K58" s="53">
        <f t="shared" si="0"/>
        <v>0</v>
      </c>
      <c r="L58" s="54" t="s">
        <v>6150</v>
      </c>
    </row>
    <row r="59" spans="1:12" s="55" customFormat="1" ht="19.5" customHeight="1" x14ac:dyDescent="0.3">
      <c r="A59" s="44" t="s">
        <v>6110</v>
      </c>
      <c r="B59" s="45" t="s">
        <v>6102</v>
      </c>
      <c r="C59" s="46">
        <v>24</v>
      </c>
      <c r="D59" s="47" t="s">
        <v>6115</v>
      </c>
      <c r="E59" s="48">
        <v>2</v>
      </c>
      <c r="F59" s="49"/>
      <c r="G59" s="50"/>
      <c r="H59" s="51"/>
      <c r="I59" s="45"/>
      <c r="J59" s="52"/>
      <c r="K59" s="53">
        <f t="shared" si="0"/>
        <v>0</v>
      </c>
      <c r="L59" s="54" t="s">
        <v>6150</v>
      </c>
    </row>
    <row r="60" spans="1:12" s="55" customFormat="1" ht="19.5" customHeight="1" x14ac:dyDescent="0.3">
      <c r="A60" s="44" t="s">
        <v>6111</v>
      </c>
      <c r="B60" s="45" t="s">
        <v>6102</v>
      </c>
      <c r="C60" s="46">
        <v>24</v>
      </c>
      <c r="D60" s="47" t="s">
        <v>6103</v>
      </c>
      <c r="E60" s="48">
        <v>1</v>
      </c>
      <c r="F60" s="49">
        <v>1.33</v>
      </c>
      <c r="G60" s="50"/>
      <c r="H60" s="51"/>
      <c r="I60" s="45"/>
      <c r="J60" s="52"/>
      <c r="K60" s="53">
        <f t="shared" si="0"/>
        <v>0</v>
      </c>
      <c r="L60" s="54" t="s">
        <v>6150</v>
      </c>
    </row>
    <row r="61" spans="1:12" s="55" customFormat="1" ht="19.5" customHeight="1" x14ac:dyDescent="0.3">
      <c r="A61" s="44"/>
      <c r="B61" s="76"/>
      <c r="C61" s="77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6116</v>
      </c>
      <c r="B62" s="76" t="s">
        <v>6117</v>
      </c>
      <c r="C62" s="77">
        <v>22</v>
      </c>
      <c r="D62" s="47" t="s">
        <v>6118</v>
      </c>
      <c r="E62" s="48">
        <v>195</v>
      </c>
      <c r="F62" s="49">
        <v>152.9</v>
      </c>
      <c r="G62" s="50" t="s">
        <v>6106</v>
      </c>
      <c r="H62" s="51">
        <v>2134</v>
      </c>
      <c r="I62" s="45">
        <v>3353</v>
      </c>
      <c r="J62" s="52">
        <v>22</v>
      </c>
      <c r="K62" s="53">
        <f t="shared" si="0"/>
        <v>157.41664399999999</v>
      </c>
      <c r="L62" s="54" t="s">
        <v>6151</v>
      </c>
    </row>
    <row r="63" spans="1:12" s="55" customFormat="1" ht="19.5" customHeight="1" x14ac:dyDescent="0.3">
      <c r="A63" s="44"/>
      <c r="B63" s="76"/>
      <c r="C63" s="46">
        <v>22</v>
      </c>
      <c r="D63" s="47" t="s">
        <v>17</v>
      </c>
      <c r="E63" s="48">
        <v>200</v>
      </c>
      <c r="F63" s="49">
        <v>171.35</v>
      </c>
      <c r="G63" s="50" t="s">
        <v>6119</v>
      </c>
      <c r="H63" s="51">
        <v>2134</v>
      </c>
      <c r="I63" s="45">
        <v>3048</v>
      </c>
      <c r="J63" s="52">
        <v>9</v>
      </c>
      <c r="K63" s="53">
        <f t="shared" si="0"/>
        <v>58.539887999999998</v>
      </c>
      <c r="L63" s="54" t="s">
        <v>6152</v>
      </c>
    </row>
    <row r="64" spans="1:12" s="55" customFormat="1" ht="19.5" customHeight="1" x14ac:dyDescent="0.3">
      <c r="A64" s="44"/>
      <c r="B64" s="76"/>
      <c r="C64" s="46"/>
      <c r="D64" s="47"/>
      <c r="E64" s="48"/>
      <c r="F64" s="49"/>
      <c r="G64" s="50" t="s">
        <v>6119</v>
      </c>
      <c r="H64" s="51">
        <v>1981</v>
      </c>
      <c r="I64" s="45">
        <v>3353</v>
      </c>
      <c r="J64" s="52">
        <v>15</v>
      </c>
      <c r="K64" s="53">
        <f t="shared" si="0"/>
        <v>99.634395000000012</v>
      </c>
      <c r="L64" s="54"/>
    </row>
    <row r="65" spans="1:12" s="55" customFormat="1" ht="19.5" customHeight="1" x14ac:dyDescent="0.3">
      <c r="A65" s="44"/>
      <c r="B65" s="76"/>
      <c r="C65" s="46"/>
      <c r="D65" s="47"/>
      <c r="E65" s="48"/>
      <c r="F65" s="49"/>
      <c r="G65" s="50" t="s">
        <v>6120</v>
      </c>
      <c r="H65" s="51">
        <v>2134</v>
      </c>
      <c r="I65" s="45">
        <v>3048</v>
      </c>
      <c r="J65" s="52">
        <v>28</v>
      </c>
      <c r="K65" s="53">
        <f t="shared" si="0"/>
        <v>182.12409599999998</v>
      </c>
      <c r="L65" s="54"/>
    </row>
    <row r="66" spans="1:12" s="55" customFormat="1" ht="19.5" customHeight="1" x14ac:dyDescent="0.3">
      <c r="A66" s="44"/>
      <c r="B66" s="76"/>
      <c r="C66" s="46"/>
      <c r="D66" s="78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6136</v>
      </c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 t="s">
        <v>6079</v>
      </c>
      <c r="B68" s="76" t="s">
        <v>6117</v>
      </c>
      <c r="C68" s="46">
        <v>22</v>
      </c>
      <c r="D68" s="47" t="s">
        <v>17</v>
      </c>
      <c r="E68" s="48">
        <v>200</v>
      </c>
      <c r="F68" s="49">
        <v>171.35</v>
      </c>
      <c r="G68" s="50" t="s">
        <v>18</v>
      </c>
      <c r="H68" s="51">
        <v>2286</v>
      </c>
      <c r="I68" s="45">
        <v>3048</v>
      </c>
      <c r="J68" s="52">
        <v>28</v>
      </c>
      <c r="K68" s="53">
        <f t="shared" si="0"/>
        <v>195.096384</v>
      </c>
      <c r="L68" s="54" t="s">
        <v>6153</v>
      </c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 t="s">
        <v>6154</v>
      </c>
      <c r="B70" s="45" t="s">
        <v>6155</v>
      </c>
      <c r="C70" s="46">
        <v>24</v>
      </c>
      <c r="D70" s="47" t="s">
        <v>6156</v>
      </c>
      <c r="E70" s="48">
        <v>155</v>
      </c>
      <c r="F70" s="49">
        <v>364.29</v>
      </c>
      <c r="G70" s="50" t="s">
        <v>6157</v>
      </c>
      <c r="H70" s="51">
        <v>2438</v>
      </c>
      <c r="I70" s="45">
        <v>3353</v>
      </c>
      <c r="J70" s="52">
        <v>52</v>
      </c>
      <c r="K70" s="53">
        <f t="shared" si="0"/>
        <v>425.079928</v>
      </c>
      <c r="L70" s="54" t="s">
        <v>6152</v>
      </c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9" customFormat="1" ht="20.100000000000001" customHeight="1" x14ac:dyDescent="0.3">
      <c r="A77" s="44"/>
      <c r="B77" s="45"/>
      <c r="C77" s="46"/>
      <c r="D77" s="47"/>
      <c r="E77" s="56"/>
      <c r="F77" s="57"/>
      <c r="G77" s="50"/>
      <c r="H77" s="51"/>
      <c r="I77" s="45"/>
      <c r="J77" s="52"/>
      <c r="K77" s="53">
        <f t="shared" si="0"/>
        <v>0</v>
      </c>
      <c r="L77" s="58">
        <f>SUM(J35:J78)</f>
        <v>163</v>
      </c>
    </row>
    <row r="78" spans="1:12" s="59" customFormat="1" ht="20.100000000000001" customHeight="1" x14ac:dyDescent="0.3">
      <c r="A78" s="44"/>
      <c r="B78" s="45"/>
      <c r="C78" s="46"/>
      <c r="D78" s="47"/>
      <c r="E78" s="60"/>
      <c r="F78" s="61"/>
      <c r="G78" s="62"/>
      <c r="H78" s="51"/>
      <c r="I78" s="45"/>
      <c r="J78" s="63"/>
      <c r="K78" s="53">
        <f t="shared" si="0"/>
        <v>0</v>
      </c>
      <c r="L78" s="64">
        <f>SUM(K35:K78)</f>
        <v>1183.6624809999998</v>
      </c>
    </row>
    <row r="79" spans="1:12" s="59" customFormat="1" ht="20.100000000000001" customHeight="1" thickBot="1" x14ac:dyDescent="0.35">
      <c r="A79" s="114"/>
      <c r="B79" s="115"/>
      <c r="C79" s="115"/>
      <c r="D79" s="115"/>
      <c r="E79" s="115"/>
      <c r="F79" s="115"/>
      <c r="G79" s="115"/>
      <c r="H79" s="115"/>
      <c r="I79" s="115"/>
      <c r="J79" s="65">
        <f>SUM(J7:J78)</f>
        <v>353</v>
      </c>
      <c r="K79" s="66">
        <f>SUM(K7:K78)</f>
        <v>2474.8122499999999</v>
      </c>
      <c r="L79" s="67"/>
    </row>
    <row r="80" spans="1:12" s="59" customFormat="1" ht="20.100000000000001" customHeight="1" thickTop="1" thickBot="1" x14ac:dyDescent="0.35">
      <c r="A80" s="116" t="s">
        <v>52</v>
      </c>
      <c r="B80" s="117"/>
      <c r="C80" s="68"/>
      <c r="D80" s="118">
        <f>J79</f>
        <v>353</v>
      </c>
      <c r="E80" s="119"/>
      <c r="F80" s="119"/>
      <c r="G80" s="120"/>
      <c r="H80" s="121"/>
      <c r="I80" s="121"/>
      <c r="J80" s="122"/>
      <c r="K80" s="119"/>
      <c r="L80" s="123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71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72"/>
      <c r="F86" s="5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5"/>
      <c r="G87" s="73"/>
      <c r="H87" s="5"/>
      <c r="I87" s="74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72"/>
      <c r="I91" s="72"/>
      <c r="J91" s="5"/>
      <c r="K91" s="5"/>
      <c r="L91" s="5"/>
    </row>
    <row r="92" spans="1:12" ht="20.100000000000001" customHeight="1" x14ac:dyDescent="0.3">
      <c r="A92" s="113"/>
      <c r="B92" s="113"/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A95" s="113"/>
      <c r="B95" s="113"/>
      <c r="H95" s="72"/>
      <c r="I95" s="72"/>
    </row>
    <row r="96" spans="1:12" ht="20.100000000000001" customHeight="1" x14ac:dyDescent="0.3">
      <c r="A96" s="113"/>
      <c r="B96" s="113"/>
      <c r="H96" s="72"/>
      <c r="I96" s="72"/>
    </row>
    <row r="97" spans="1:12" ht="20.100000000000001" customHeight="1" x14ac:dyDescent="0.3">
      <c r="H97" s="72"/>
      <c r="I97" s="72"/>
    </row>
    <row r="98" spans="1:12" ht="20.100000000000001" customHeight="1" x14ac:dyDescent="0.3">
      <c r="H98" s="72"/>
      <c r="I98" s="72"/>
    </row>
    <row r="99" spans="1:12" ht="20.100000000000001" customHeight="1" x14ac:dyDescent="0.3">
      <c r="H99" s="72"/>
      <c r="I99" s="72"/>
    </row>
    <row r="100" spans="1:12" s="72" customFormat="1" ht="20.100000000000001" customHeight="1" x14ac:dyDescent="0.3">
      <c r="A100" s="69"/>
      <c r="B100" s="5"/>
      <c r="C100" s="5"/>
      <c r="D100" s="5"/>
      <c r="E100" s="5"/>
      <c r="F100" s="70"/>
      <c r="G100" s="5"/>
      <c r="J100" s="5"/>
      <c r="K100" s="5"/>
      <c r="L100" s="5"/>
    </row>
    <row r="101" spans="1:12" s="72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5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5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5" customFormat="1" ht="19.5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2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ht="19.5" customHeight="1" x14ac:dyDescent="0.3"/>
    <row r="108" spans="1:12" ht="19.5" customHeight="1" x14ac:dyDescent="0.3"/>
    <row r="109" spans="1:12" ht="19.5" customHeight="1" x14ac:dyDescent="0.3"/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5:B8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9:I79"/>
    <mergeCell ref="A80:B80"/>
    <mergeCell ref="D80:G80"/>
    <mergeCell ref="H80:J80"/>
    <mergeCell ref="K80:L80"/>
    <mergeCell ref="A95:B95"/>
    <mergeCell ref="A96:B96"/>
    <mergeCell ref="A86:B86"/>
    <mergeCell ref="A87:B87"/>
    <mergeCell ref="A88:B88"/>
    <mergeCell ref="A90:B90"/>
    <mergeCell ref="A91:B91"/>
    <mergeCell ref="A92:B92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L164"/>
  <sheetViews>
    <sheetView view="pageBreakPreview" topLeftCell="A70" zoomScale="85" zoomScaleNormal="100" zoomScaleSheetLayoutView="85" workbookViewId="0">
      <selection activeCell="L71" sqref="L71:L72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46210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2" si="0">(H7/1000*I7/1000)*J7</f>
        <v>0</v>
      </c>
      <c r="L7" s="26">
        <f>SUM(J7:J47)</f>
        <v>193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SUM(K7:K47)</f>
        <v>1353.4753330000003</v>
      </c>
    </row>
    <row r="9" spans="1:12" s="27" customFormat="1" ht="19.5" customHeight="1" x14ac:dyDescent="0.3">
      <c r="A9" s="28" t="s">
        <v>6026</v>
      </c>
      <c r="B9" s="16" t="s">
        <v>6027</v>
      </c>
      <c r="C9" s="17">
        <v>28</v>
      </c>
      <c r="D9" s="18" t="s">
        <v>6028</v>
      </c>
      <c r="E9" s="41">
        <v>1</v>
      </c>
      <c r="F9" s="42">
        <v>0.71</v>
      </c>
      <c r="G9" s="34"/>
      <c r="H9" s="35"/>
      <c r="I9" s="36"/>
      <c r="J9" s="37"/>
      <c r="K9" s="85">
        <f t="shared" si="0"/>
        <v>0</v>
      </c>
      <c r="L9" s="39" t="s">
        <v>6029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6030</v>
      </c>
      <c r="B11" s="16" t="s">
        <v>6031</v>
      </c>
      <c r="C11" s="17">
        <v>22</v>
      </c>
      <c r="D11" s="18" t="s">
        <v>6032</v>
      </c>
      <c r="E11" s="41">
        <v>1</v>
      </c>
      <c r="F11" s="42">
        <v>1.32</v>
      </c>
      <c r="G11" s="34" t="s">
        <v>6034</v>
      </c>
      <c r="H11" s="35">
        <v>1829</v>
      </c>
      <c r="I11" s="36">
        <v>3353</v>
      </c>
      <c r="J11" s="37">
        <v>1</v>
      </c>
      <c r="K11" s="85">
        <f t="shared" si="0"/>
        <v>6.1326369999999999</v>
      </c>
      <c r="L11" s="39"/>
    </row>
    <row r="12" spans="1:12" s="27" customFormat="1" ht="19.5" customHeight="1" x14ac:dyDescent="0.3">
      <c r="A12" s="28"/>
      <c r="B12" s="16"/>
      <c r="C12" s="17">
        <v>22</v>
      </c>
      <c r="D12" s="18" t="s">
        <v>6033</v>
      </c>
      <c r="E12" s="41">
        <v>1</v>
      </c>
      <c r="F12" s="42">
        <v>3.02</v>
      </c>
      <c r="G12" s="34" t="s">
        <v>6035</v>
      </c>
      <c r="H12" s="35">
        <v>1829</v>
      </c>
      <c r="I12" s="36">
        <v>3353</v>
      </c>
      <c r="J12" s="37">
        <v>1</v>
      </c>
      <c r="K12" s="85">
        <f t="shared" si="0"/>
        <v>6.1326369999999999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 t="s">
        <v>6036</v>
      </c>
      <c r="B14" s="16" t="s">
        <v>6037</v>
      </c>
      <c r="C14" s="17">
        <v>22</v>
      </c>
      <c r="D14" s="18" t="s">
        <v>6038</v>
      </c>
      <c r="E14" s="41">
        <v>1</v>
      </c>
      <c r="F14" s="42">
        <v>2.72</v>
      </c>
      <c r="G14" s="34" t="s">
        <v>6039</v>
      </c>
      <c r="H14" s="35">
        <v>1981</v>
      </c>
      <c r="I14" s="36">
        <v>3353</v>
      </c>
      <c r="J14" s="37">
        <v>1</v>
      </c>
      <c r="K14" s="85">
        <f t="shared" si="0"/>
        <v>6.6422930000000004</v>
      </c>
      <c r="L14" s="39" t="s">
        <v>6040</v>
      </c>
    </row>
    <row r="15" spans="1:12" s="27" customFormat="1" ht="19.5" customHeight="1" x14ac:dyDescent="0.3">
      <c r="A15" s="28" t="s">
        <v>6041</v>
      </c>
      <c r="B15" s="16" t="s">
        <v>6037</v>
      </c>
      <c r="C15" s="17">
        <v>22</v>
      </c>
      <c r="D15" s="18" t="s">
        <v>6038</v>
      </c>
      <c r="E15" s="41">
        <v>1</v>
      </c>
      <c r="F15" s="42">
        <v>2.78</v>
      </c>
      <c r="G15" s="34"/>
      <c r="H15" s="35"/>
      <c r="I15" s="36"/>
      <c r="J15" s="37"/>
      <c r="K15" s="85">
        <f t="shared" si="0"/>
        <v>0</v>
      </c>
      <c r="L15" s="39" t="s">
        <v>6040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 t="s">
        <v>6042</v>
      </c>
      <c r="B17" s="16" t="s">
        <v>6043</v>
      </c>
      <c r="C17" s="17">
        <v>24</v>
      </c>
      <c r="D17" s="18" t="s">
        <v>6044</v>
      </c>
      <c r="E17" s="41">
        <v>1</v>
      </c>
      <c r="F17" s="42">
        <v>1.07</v>
      </c>
      <c r="G17" s="34" t="s">
        <v>6046</v>
      </c>
      <c r="H17" s="35">
        <v>2134</v>
      </c>
      <c r="I17" s="36">
        <v>3353</v>
      </c>
      <c r="J17" s="37">
        <v>1</v>
      </c>
      <c r="K17" s="85">
        <f t="shared" si="0"/>
        <v>7.1553019999999998</v>
      </c>
      <c r="L17" s="39" t="s">
        <v>6047</v>
      </c>
    </row>
    <row r="18" spans="1:12" s="27" customFormat="1" ht="19.5" customHeight="1" x14ac:dyDescent="0.3">
      <c r="A18" s="28" t="s">
        <v>6045</v>
      </c>
      <c r="B18" s="16" t="s">
        <v>6043</v>
      </c>
      <c r="C18" s="17">
        <v>24</v>
      </c>
      <c r="D18" s="18" t="s">
        <v>6044</v>
      </c>
      <c r="E18" s="41">
        <v>5</v>
      </c>
      <c r="F18" s="42">
        <v>2.67</v>
      </c>
      <c r="G18" s="34"/>
      <c r="H18" s="35"/>
      <c r="I18" s="36"/>
      <c r="J18" s="37"/>
      <c r="K18" s="85">
        <f t="shared" si="0"/>
        <v>0</v>
      </c>
      <c r="L18" s="39" t="s">
        <v>6047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85">
        <f t="shared" si="0"/>
        <v>0</v>
      </c>
      <c r="L19" s="39"/>
    </row>
    <row r="20" spans="1:12" s="27" customFormat="1" ht="19.5" customHeight="1" x14ac:dyDescent="0.3">
      <c r="A20" s="28" t="s">
        <v>5933</v>
      </c>
      <c r="B20" s="16" t="s">
        <v>59</v>
      </c>
      <c r="C20" s="17">
        <v>22</v>
      </c>
      <c r="D20" s="18" t="s">
        <v>5625</v>
      </c>
      <c r="E20" s="41">
        <v>125</v>
      </c>
      <c r="F20" s="42">
        <v>156.25</v>
      </c>
      <c r="G20" s="34" t="s">
        <v>18</v>
      </c>
      <c r="H20" s="35">
        <v>1981</v>
      </c>
      <c r="I20" s="36">
        <v>3353</v>
      </c>
      <c r="J20" s="37">
        <v>25</v>
      </c>
      <c r="K20" s="85">
        <f t="shared" si="0"/>
        <v>166.05732500000002</v>
      </c>
      <c r="L20" s="39" t="s">
        <v>6048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0"/>
        <v>0</v>
      </c>
      <c r="L21" s="39"/>
    </row>
    <row r="22" spans="1:12" s="27" customFormat="1" ht="19.5" customHeight="1" x14ac:dyDescent="0.3">
      <c r="A22" s="28" t="s">
        <v>6049</v>
      </c>
      <c r="B22" s="16" t="s">
        <v>6050</v>
      </c>
      <c r="C22" s="17">
        <v>22</v>
      </c>
      <c r="D22" s="18" t="s">
        <v>6051</v>
      </c>
      <c r="E22" s="41">
        <v>176</v>
      </c>
      <c r="F22" s="42">
        <v>101.84</v>
      </c>
      <c r="G22" s="34" t="s">
        <v>6039</v>
      </c>
      <c r="H22" s="35">
        <v>1981</v>
      </c>
      <c r="I22" s="36">
        <v>3353</v>
      </c>
      <c r="J22" s="37">
        <v>16</v>
      </c>
      <c r="K22" s="85">
        <f t="shared" si="0"/>
        <v>106.27668800000001</v>
      </c>
      <c r="L22" s="39"/>
    </row>
    <row r="23" spans="1:12" s="27" customFormat="1" ht="19.5" customHeight="1" x14ac:dyDescent="0.3">
      <c r="A23" s="28"/>
      <c r="B23" s="16"/>
      <c r="C23" s="17">
        <v>22</v>
      </c>
      <c r="D23" s="18" t="s">
        <v>6051</v>
      </c>
      <c r="E23" s="41">
        <v>40</v>
      </c>
      <c r="F23" s="42">
        <v>11.2</v>
      </c>
      <c r="G23" s="34" t="s">
        <v>6052</v>
      </c>
      <c r="H23" s="35">
        <v>1981</v>
      </c>
      <c r="I23" s="36">
        <v>3353</v>
      </c>
      <c r="J23" s="37">
        <v>16</v>
      </c>
      <c r="K23" s="85">
        <f t="shared" si="0"/>
        <v>106.27668800000001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 t="s">
        <v>6049</v>
      </c>
      <c r="B25" s="16" t="s">
        <v>6050</v>
      </c>
      <c r="C25" s="17">
        <v>22</v>
      </c>
      <c r="D25" s="18" t="s">
        <v>6033</v>
      </c>
      <c r="E25" s="41">
        <v>192</v>
      </c>
      <c r="F25" s="42">
        <v>146.56</v>
      </c>
      <c r="G25" s="34" t="s">
        <v>6034</v>
      </c>
      <c r="H25" s="35">
        <v>1981</v>
      </c>
      <c r="I25" s="36">
        <v>3353</v>
      </c>
      <c r="J25" s="37">
        <v>22</v>
      </c>
      <c r="K25" s="85">
        <f t="shared" si="0"/>
        <v>146.13044600000001</v>
      </c>
      <c r="L25" s="39" t="s">
        <v>6053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>
        <f t="shared" si="0"/>
        <v>0</v>
      </c>
      <c r="L26" s="39"/>
    </row>
    <row r="27" spans="1:12" s="27" customFormat="1" ht="19.5" customHeight="1" x14ac:dyDescent="0.3">
      <c r="A27" s="28" t="s">
        <v>6141</v>
      </c>
      <c r="B27" s="16" t="s">
        <v>6142</v>
      </c>
      <c r="C27" s="17">
        <v>28</v>
      </c>
      <c r="D27" s="18" t="s">
        <v>6158</v>
      </c>
      <c r="E27" s="41">
        <v>42</v>
      </c>
      <c r="F27" s="42">
        <v>33.6</v>
      </c>
      <c r="G27" s="34" t="s">
        <v>6159</v>
      </c>
      <c r="H27" s="35">
        <v>2438</v>
      </c>
      <c r="I27" s="36">
        <v>3353</v>
      </c>
      <c r="J27" s="37">
        <v>47</v>
      </c>
      <c r="K27" s="85">
        <f t="shared" si="0"/>
        <v>384.20685800000001</v>
      </c>
      <c r="L27" s="39" t="s">
        <v>6160</v>
      </c>
    </row>
    <row r="28" spans="1:12" s="27" customFormat="1" ht="19.5" customHeight="1" x14ac:dyDescent="0.3">
      <c r="A28" s="28"/>
      <c r="B28" s="16"/>
      <c r="C28" s="17">
        <v>28</v>
      </c>
      <c r="D28" s="18" t="s">
        <v>6143</v>
      </c>
      <c r="E28" s="41">
        <v>119</v>
      </c>
      <c r="F28" s="42">
        <v>310.39</v>
      </c>
      <c r="G28" s="34"/>
      <c r="H28" s="35"/>
      <c r="I28" s="36"/>
      <c r="J28" s="37"/>
      <c r="K28" s="85">
        <f t="shared" si="0"/>
        <v>0</v>
      </c>
      <c r="L28" s="39" t="s">
        <v>6153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8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0"/>
        <v>0</v>
      </c>
      <c r="L30" s="39"/>
    </row>
    <row r="31" spans="1:12" s="27" customFormat="1" ht="19.5" customHeight="1" x14ac:dyDescent="0.3">
      <c r="A31" s="28" t="s">
        <v>6054</v>
      </c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0"/>
        <v>0</v>
      </c>
      <c r="L31" s="39"/>
    </row>
    <row r="32" spans="1:12" s="27" customFormat="1" ht="19.5" customHeight="1" x14ac:dyDescent="0.3">
      <c r="A32" s="28" t="s">
        <v>6067</v>
      </c>
      <c r="B32" s="16" t="s">
        <v>2662</v>
      </c>
      <c r="C32" s="17">
        <v>22</v>
      </c>
      <c r="D32" s="18" t="s">
        <v>17</v>
      </c>
      <c r="E32" s="41">
        <v>192</v>
      </c>
      <c r="F32" s="42">
        <v>146.56</v>
      </c>
      <c r="G32" s="34" t="s">
        <v>216</v>
      </c>
      <c r="H32" s="35">
        <v>1981</v>
      </c>
      <c r="I32" s="36">
        <v>3353</v>
      </c>
      <c r="J32" s="37">
        <v>22</v>
      </c>
      <c r="K32" s="85">
        <f t="shared" si="0"/>
        <v>146.13044600000001</v>
      </c>
      <c r="L32" s="39" t="s">
        <v>6068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85">
        <f>(H33/1000*I33/1000)*J33</f>
        <v>0</v>
      </c>
      <c r="L33" s="39"/>
    </row>
    <row r="34" spans="1:12" s="27" customFormat="1" ht="19.5" customHeight="1" x14ac:dyDescent="0.3">
      <c r="A34" s="28" t="s">
        <v>6067</v>
      </c>
      <c r="B34" s="16" t="s">
        <v>2662</v>
      </c>
      <c r="C34" s="17">
        <v>22</v>
      </c>
      <c r="D34" s="18" t="s">
        <v>146</v>
      </c>
      <c r="E34" s="41">
        <v>8</v>
      </c>
      <c r="F34" s="42">
        <v>18.88</v>
      </c>
      <c r="G34" s="34" t="s">
        <v>49</v>
      </c>
      <c r="H34" s="35">
        <v>1981</v>
      </c>
      <c r="I34" s="36">
        <v>3353</v>
      </c>
      <c r="J34" s="37">
        <v>7</v>
      </c>
      <c r="K34" s="25">
        <f t="shared" si="0"/>
        <v>46.496051000000001</v>
      </c>
      <c r="L34" s="39"/>
    </row>
    <row r="35" spans="1:12" s="27" customFormat="1" ht="19.5" customHeight="1" x14ac:dyDescent="0.3">
      <c r="A35" s="28"/>
      <c r="B35" s="16"/>
      <c r="C35" s="17">
        <v>22</v>
      </c>
      <c r="D35" s="18" t="s">
        <v>665</v>
      </c>
      <c r="E35" s="41">
        <v>8</v>
      </c>
      <c r="F35" s="42">
        <v>25.84</v>
      </c>
      <c r="G35" s="34" t="s">
        <v>216</v>
      </c>
      <c r="H35" s="35">
        <v>1981</v>
      </c>
      <c r="I35" s="36">
        <v>3353</v>
      </c>
      <c r="J35" s="37">
        <v>7</v>
      </c>
      <c r="K35" s="25">
        <f t="shared" si="0"/>
        <v>46.496051000000001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85">
        <f t="shared" si="0"/>
        <v>0</v>
      </c>
      <c r="L36" s="39"/>
    </row>
    <row r="37" spans="1:12" s="27" customFormat="1" ht="19.5" customHeight="1" x14ac:dyDescent="0.3">
      <c r="A37" s="28" t="s">
        <v>6069</v>
      </c>
      <c r="B37" s="16" t="s">
        <v>2662</v>
      </c>
      <c r="C37" s="17">
        <v>22</v>
      </c>
      <c r="D37" s="18" t="s">
        <v>146</v>
      </c>
      <c r="E37" s="41">
        <v>16</v>
      </c>
      <c r="F37" s="42">
        <v>37.76</v>
      </c>
      <c r="G37" s="34" t="s">
        <v>49</v>
      </c>
      <c r="H37" s="35">
        <v>1981</v>
      </c>
      <c r="I37" s="36">
        <v>3353</v>
      </c>
      <c r="J37" s="37">
        <v>10</v>
      </c>
      <c r="K37" s="25">
        <f t="shared" si="0"/>
        <v>66.422930000000008</v>
      </c>
      <c r="L37" s="39"/>
    </row>
    <row r="38" spans="1:12" s="27" customFormat="1" ht="19.5" customHeight="1" x14ac:dyDescent="0.3">
      <c r="A38" s="28"/>
      <c r="B38" s="16"/>
      <c r="C38" s="17">
        <v>22</v>
      </c>
      <c r="D38" s="18" t="s">
        <v>665</v>
      </c>
      <c r="E38" s="41">
        <v>8</v>
      </c>
      <c r="F38" s="42">
        <v>25.84</v>
      </c>
      <c r="G38" s="34" t="s">
        <v>216</v>
      </c>
      <c r="H38" s="35">
        <v>1981</v>
      </c>
      <c r="I38" s="36">
        <v>3353</v>
      </c>
      <c r="J38" s="37">
        <v>10</v>
      </c>
      <c r="K38" s="25">
        <f t="shared" si="0"/>
        <v>66.422930000000008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 t="s">
        <v>6069</v>
      </c>
      <c r="B40" s="16" t="s">
        <v>2662</v>
      </c>
      <c r="C40" s="17">
        <v>22</v>
      </c>
      <c r="D40" s="18" t="s">
        <v>45</v>
      </c>
      <c r="E40" s="41">
        <v>32</v>
      </c>
      <c r="F40" s="42">
        <v>44.08</v>
      </c>
      <c r="G40" s="34" t="s">
        <v>216</v>
      </c>
      <c r="H40" s="35">
        <v>1981</v>
      </c>
      <c r="I40" s="36">
        <v>3353</v>
      </c>
      <c r="J40" s="37">
        <v>7</v>
      </c>
      <c r="K40" s="25">
        <f t="shared" si="0"/>
        <v>46.496051000000001</v>
      </c>
      <c r="L40" s="39" t="s">
        <v>6070</v>
      </c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0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0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0"/>
        <v>0</v>
      </c>
      <c r="L44" s="39"/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25">
        <f t="shared" si="0"/>
        <v>0</v>
      </c>
      <c r="L45" s="39"/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/>
      <c r="H46" s="35"/>
      <c r="I46" s="36"/>
      <c r="J46" s="37"/>
      <c r="K46" s="25">
        <f t="shared" si="0"/>
        <v>0</v>
      </c>
      <c r="L46" s="39"/>
    </row>
    <row r="47" spans="1:12" s="27" customFormat="1" ht="19.5" customHeight="1" x14ac:dyDescent="0.3">
      <c r="A47" s="28"/>
      <c r="B47" s="29"/>
      <c r="C47" s="30"/>
      <c r="D47" s="31"/>
      <c r="E47" s="41"/>
      <c r="F47" s="42"/>
      <c r="G47" s="43"/>
      <c r="H47" s="35"/>
      <c r="I47" s="36"/>
      <c r="J47" s="37"/>
      <c r="K47" s="25">
        <f t="shared" si="0"/>
        <v>0</v>
      </c>
      <c r="L47" s="39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6055</v>
      </c>
      <c r="B49" s="45" t="s">
        <v>6056</v>
      </c>
      <c r="C49" s="46">
        <v>24</v>
      </c>
      <c r="D49" s="47" t="s">
        <v>6057</v>
      </c>
      <c r="E49" s="48">
        <v>47</v>
      </c>
      <c r="F49" s="49">
        <v>64.89</v>
      </c>
      <c r="G49" s="50" t="s">
        <v>6059</v>
      </c>
      <c r="H49" s="51">
        <v>2438</v>
      </c>
      <c r="I49" s="45">
        <v>3353</v>
      </c>
      <c r="J49" s="52">
        <v>25</v>
      </c>
      <c r="K49" s="53">
        <f t="shared" si="0"/>
        <v>204.36535000000001</v>
      </c>
      <c r="L49" s="54" t="s">
        <v>6061</v>
      </c>
    </row>
    <row r="50" spans="1:12" s="55" customFormat="1" ht="19.5" customHeight="1" x14ac:dyDescent="0.3">
      <c r="A50" s="44" t="s">
        <v>6058</v>
      </c>
      <c r="B50" s="45" t="s">
        <v>6056</v>
      </c>
      <c r="C50" s="46">
        <v>24</v>
      </c>
      <c r="D50" s="47" t="s">
        <v>6057</v>
      </c>
      <c r="E50" s="48">
        <v>67</v>
      </c>
      <c r="F50" s="49">
        <v>104.71</v>
      </c>
      <c r="G50" s="50" t="s">
        <v>6060</v>
      </c>
      <c r="H50" s="51">
        <v>2438</v>
      </c>
      <c r="I50" s="45">
        <v>3353</v>
      </c>
      <c r="J50" s="52">
        <v>25</v>
      </c>
      <c r="K50" s="53">
        <f t="shared" si="0"/>
        <v>204.36535000000001</v>
      </c>
      <c r="L50" s="54" t="s">
        <v>6061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6062</v>
      </c>
      <c r="B52" s="45" t="s">
        <v>6063</v>
      </c>
      <c r="C52" s="46">
        <v>22</v>
      </c>
      <c r="D52" s="47" t="s">
        <v>6064</v>
      </c>
      <c r="E52" s="48">
        <v>120</v>
      </c>
      <c r="F52" s="49">
        <v>92.5</v>
      </c>
      <c r="G52" s="50" t="s">
        <v>6034</v>
      </c>
      <c r="H52" s="51">
        <v>2286</v>
      </c>
      <c r="I52" s="45">
        <v>3048</v>
      </c>
      <c r="J52" s="52">
        <v>14</v>
      </c>
      <c r="K52" s="53">
        <f t="shared" si="0"/>
        <v>97.548192</v>
      </c>
      <c r="L52" s="54"/>
    </row>
    <row r="53" spans="1:12" s="55" customFormat="1" ht="19.5" customHeight="1" x14ac:dyDescent="0.3">
      <c r="A53" s="44"/>
      <c r="B53" s="45"/>
      <c r="C53" s="46">
        <v>22</v>
      </c>
      <c r="D53" s="47" t="s">
        <v>6065</v>
      </c>
      <c r="E53" s="48">
        <v>5</v>
      </c>
      <c r="F53" s="49">
        <v>19.149999999999999</v>
      </c>
      <c r="G53" s="50" t="s">
        <v>6034</v>
      </c>
      <c r="H53" s="51">
        <v>2134</v>
      </c>
      <c r="I53" s="45">
        <v>3353</v>
      </c>
      <c r="J53" s="52">
        <v>6</v>
      </c>
      <c r="K53" s="53">
        <f t="shared" si="0"/>
        <v>42.931812000000001</v>
      </c>
      <c r="L53" s="54"/>
    </row>
    <row r="54" spans="1:12" s="55" customFormat="1" ht="19.5" customHeight="1" x14ac:dyDescent="0.3">
      <c r="A54" s="44"/>
      <c r="B54" s="45"/>
      <c r="C54" s="46">
        <v>22</v>
      </c>
      <c r="D54" s="47" t="s">
        <v>6064</v>
      </c>
      <c r="E54" s="48">
        <v>30</v>
      </c>
      <c r="F54" s="49">
        <v>19</v>
      </c>
      <c r="G54" s="50" t="s">
        <v>6066</v>
      </c>
      <c r="H54" s="51">
        <v>2134</v>
      </c>
      <c r="I54" s="45">
        <v>3353</v>
      </c>
      <c r="J54" s="52">
        <v>14</v>
      </c>
      <c r="K54" s="53">
        <f t="shared" si="0"/>
        <v>100.174228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 t="s">
        <v>6046</v>
      </c>
      <c r="H55" s="51">
        <v>2134</v>
      </c>
      <c r="I55" s="45">
        <v>3353</v>
      </c>
      <c r="J55" s="52">
        <v>6</v>
      </c>
      <c r="K55" s="53">
        <f t="shared" si="0"/>
        <v>42.931812000000001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6054</v>
      </c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6071</v>
      </c>
      <c r="B58" s="45" t="s">
        <v>6072</v>
      </c>
      <c r="C58" s="46">
        <v>39</v>
      </c>
      <c r="D58" s="47" t="s">
        <v>6073</v>
      </c>
      <c r="E58" s="48">
        <v>1</v>
      </c>
      <c r="F58" s="49">
        <v>3.57</v>
      </c>
      <c r="G58" s="50" t="s">
        <v>6074</v>
      </c>
      <c r="H58" s="51">
        <v>2438</v>
      </c>
      <c r="I58" s="45">
        <v>3353</v>
      </c>
      <c r="J58" s="52">
        <v>1</v>
      </c>
      <c r="K58" s="53">
        <f t="shared" si="0"/>
        <v>8.174614</v>
      </c>
      <c r="L58" s="54" t="s">
        <v>6075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6076</v>
      </c>
      <c r="B60" s="45" t="s">
        <v>6063</v>
      </c>
      <c r="C60" s="46">
        <v>22</v>
      </c>
      <c r="D60" s="47" t="s">
        <v>6077</v>
      </c>
      <c r="E60" s="48">
        <v>125</v>
      </c>
      <c r="F60" s="49">
        <v>111.65</v>
      </c>
      <c r="G60" s="50" t="s">
        <v>6078</v>
      </c>
      <c r="H60" s="51">
        <v>2286</v>
      </c>
      <c r="I60" s="45">
        <v>3048</v>
      </c>
      <c r="J60" s="52">
        <v>18</v>
      </c>
      <c r="K60" s="53">
        <f t="shared" si="0"/>
        <v>125.419104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 t="s">
        <v>19</v>
      </c>
      <c r="H61" s="51">
        <v>2134</v>
      </c>
      <c r="I61" s="45">
        <v>3048</v>
      </c>
      <c r="J61" s="52">
        <v>18</v>
      </c>
      <c r="K61" s="53">
        <f t="shared" si="0"/>
        <v>117.079776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6079</v>
      </c>
      <c r="B63" s="45" t="s">
        <v>6063</v>
      </c>
      <c r="C63" s="46">
        <v>22</v>
      </c>
      <c r="D63" s="47" t="s">
        <v>83</v>
      </c>
      <c r="E63" s="48">
        <v>5</v>
      </c>
      <c r="F63" s="49">
        <v>19.149999999999999</v>
      </c>
      <c r="G63" s="50" t="s">
        <v>18</v>
      </c>
      <c r="H63" s="51">
        <v>2134</v>
      </c>
      <c r="I63" s="45">
        <v>3353</v>
      </c>
      <c r="J63" s="52">
        <v>8</v>
      </c>
      <c r="K63" s="53">
        <f t="shared" si="0"/>
        <v>57.242415999999999</v>
      </c>
      <c r="L63" s="54"/>
    </row>
    <row r="64" spans="1:12" s="55" customFormat="1" ht="19.5" customHeight="1" x14ac:dyDescent="0.3">
      <c r="A64" s="44"/>
      <c r="B64" s="45"/>
      <c r="C64" s="46">
        <v>22</v>
      </c>
      <c r="D64" s="47" t="s">
        <v>228</v>
      </c>
      <c r="E64" s="48">
        <v>50</v>
      </c>
      <c r="F64" s="49">
        <v>35.200000000000003</v>
      </c>
      <c r="G64" s="50" t="s">
        <v>39</v>
      </c>
      <c r="H64" s="51">
        <v>2134</v>
      </c>
      <c r="I64" s="45">
        <v>3353</v>
      </c>
      <c r="J64" s="52">
        <v>8</v>
      </c>
      <c r="K64" s="53">
        <f t="shared" si="0"/>
        <v>57.242415999999999</v>
      </c>
      <c r="L64" s="54"/>
    </row>
    <row r="65" spans="1:12" s="55" customFormat="1" ht="19.5" customHeight="1" x14ac:dyDescent="0.3">
      <c r="A65" s="44"/>
      <c r="B65" s="76"/>
      <c r="C65" s="77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76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9" customFormat="1" ht="20.100000000000001" customHeight="1" x14ac:dyDescent="0.3">
      <c r="A71" s="44"/>
      <c r="B71" s="45"/>
      <c r="C71" s="46"/>
      <c r="D71" s="47"/>
      <c r="E71" s="56"/>
      <c r="F71" s="57"/>
      <c r="G71" s="50"/>
      <c r="H71" s="51"/>
      <c r="I71" s="45"/>
      <c r="J71" s="52"/>
      <c r="K71" s="53">
        <f t="shared" si="0"/>
        <v>0</v>
      </c>
      <c r="L71" s="58">
        <f>SUM(J48:J72)</f>
        <v>143</v>
      </c>
    </row>
    <row r="72" spans="1:12" s="59" customFormat="1" ht="20.100000000000001" customHeight="1" x14ac:dyDescent="0.3">
      <c r="A72" s="44"/>
      <c r="B72" s="45"/>
      <c r="C72" s="46"/>
      <c r="D72" s="47"/>
      <c r="E72" s="60"/>
      <c r="F72" s="61"/>
      <c r="G72" s="62"/>
      <c r="H72" s="51"/>
      <c r="I72" s="45"/>
      <c r="J72" s="63"/>
      <c r="K72" s="53">
        <f t="shared" si="0"/>
        <v>0</v>
      </c>
      <c r="L72" s="64">
        <f>SUM(K48:K72)</f>
        <v>1057.4750700000002</v>
      </c>
    </row>
    <row r="73" spans="1:12" s="59" customFormat="1" ht="20.100000000000001" customHeight="1" thickBot="1" x14ac:dyDescent="0.35">
      <c r="A73" s="114"/>
      <c r="B73" s="115"/>
      <c r="C73" s="115"/>
      <c r="D73" s="115"/>
      <c r="E73" s="115"/>
      <c r="F73" s="115"/>
      <c r="G73" s="115"/>
      <c r="H73" s="115"/>
      <c r="I73" s="115"/>
      <c r="J73" s="65">
        <f>SUM(J7:J72)</f>
        <v>336</v>
      </c>
      <c r="K73" s="66">
        <f>SUM(K7:K72)</f>
        <v>2410.9504030000007</v>
      </c>
      <c r="L73" s="67"/>
    </row>
    <row r="74" spans="1:12" s="59" customFormat="1" ht="20.100000000000001" customHeight="1" thickTop="1" thickBot="1" x14ac:dyDescent="0.35">
      <c r="A74" s="116" t="s">
        <v>52</v>
      </c>
      <c r="B74" s="117"/>
      <c r="C74" s="68"/>
      <c r="D74" s="118">
        <f>J73</f>
        <v>336</v>
      </c>
      <c r="E74" s="119"/>
      <c r="F74" s="119"/>
      <c r="G74" s="120"/>
      <c r="H74" s="121"/>
      <c r="I74" s="121"/>
      <c r="J74" s="122"/>
      <c r="K74" s="119"/>
      <c r="L74" s="123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71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72"/>
      <c r="F80" s="5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5"/>
      <c r="G81" s="73"/>
      <c r="H81" s="5"/>
      <c r="I81" s="74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70"/>
      <c r="G85" s="5"/>
      <c r="H85" s="72"/>
      <c r="I85" s="72"/>
      <c r="J85" s="5"/>
      <c r="K85" s="5"/>
      <c r="L85" s="5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A89" s="113"/>
      <c r="B89" s="113"/>
      <c r="H89" s="72"/>
      <c r="I89" s="72"/>
    </row>
    <row r="90" spans="1:12" ht="20.100000000000001" customHeight="1" x14ac:dyDescent="0.3">
      <c r="A90" s="113"/>
      <c r="B90" s="113"/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H93" s="72"/>
      <c r="I93" s="72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5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5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5" customFormat="1" ht="19.5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2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ht="19.5" customHeight="1" x14ac:dyDescent="0.3"/>
    <row r="102" spans="1:12" ht="19.5" customHeight="1" x14ac:dyDescent="0.3"/>
    <row r="103" spans="1:12" ht="19.5" customHeight="1" x14ac:dyDescent="0.3"/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9:B7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3:I73"/>
    <mergeCell ref="A74:B74"/>
    <mergeCell ref="D74:G74"/>
    <mergeCell ref="H74:J74"/>
    <mergeCell ref="K74:L74"/>
    <mergeCell ref="A89:B89"/>
    <mergeCell ref="A90:B90"/>
    <mergeCell ref="A80:B80"/>
    <mergeCell ref="A81:B81"/>
    <mergeCell ref="A82:B82"/>
    <mergeCell ref="A84:B84"/>
    <mergeCell ref="A85:B85"/>
    <mergeCell ref="A86:B86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L203"/>
  <sheetViews>
    <sheetView view="pageBreakPreview" topLeftCell="A91" zoomScale="85" zoomScaleNormal="100" zoomScaleSheetLayoutView="85" workbookViewId="0">
      <selection activeCell="L110" sqref="L110:L11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46209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111" si="0">(H7/1000*I7/1000)*J7</f>
        <v>0</v>
      </c>
      <c r="L7" s="26">
        <f>SUM(J7:J63)</f>
        <v>143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SUM(K7:K63)</f>
        <v>1028.8295050000002</v>
      </c>
    </row>
    <row r="9" spans="1:12" s="27" customFormat="1" ht="19.5" customHeight="1" x14ac:dyDescent="0.3">
      <c r="A9" s="28" t="s">
        <v>5937</v>
      </c>
      <c r="B9" s="16" t="s">
        <v>5938</v>
      </c>
      <c r="C9" s="17">
        <v>24</v>
      </c>
      <c r="D9" s="18" t="s">
        <v>5939</v>
      </c>
      <c r="E9" s="41">
        <v>1</v>
      </c>
      <c r="F9" s="42">
        <v>0.68</v>
      </c>
      <c r="G9" s="34"/>
      <c r="H9" s="35"/>
      <c r="I9" s="36"/>
      <c r="J9" s="37"/>
      <c r="K9" s="85">
        <f t="shared" si="0"/>
        <v>0</v>
      </c>
      <c r="L9" s="39" t="s">
        <v>5940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5941</v>
      </c>
      <c r="B11" s="16" t="s">
        <v>5942</v>
      </c>
      <c r="C11" s="17">
        <v>26.76</v>
      </c>
      <c r="D11" s="18" t="s">
        <v>5943</v>
      </c>
      <c r="E11" s="41">
        <v>2</v>
      </c>
      <c r="F11" s="42">
        <v>4.8</v>
      </c>
      <c r="G11" s="34" t="s">
        <v>5946</v>
      </c>
      <c r="H11" s="35">
        <v>2438</v>
      </c>
      <c r="I11" s="36">
        <v>3353</v>
      </c>
      <c r="J11" s="37">
        <v>6</v>
      </c>
      <c r="K11" s="85">
        <f t="shared" si="0"/>
        <v>49.047684000000004</v>
      </c>
      <c r="L11" s="39" t="s">
        <v>5947</v>
      </c>
    </row>
    <row r="12" spans="1:12" s="27" customFormat="1" ht="19.5" customHeight="1" x14ac:dyDescent="0.3">
      <c r="A12" s="28"/>
      <c r="B12" s="16"/>
      <c r="C12" s="17">
        <v>28</v>
      </c>
      <c r="D12" s="18" t="s">
        <v>5944</v>
      </c>
      <c r="E12" s="41">
        <v>1</v>
      </c>
      <c r="F12" s="42">
        <v>2.29</v>
      </c>
      <c r="G12" s="34"/>
      <c r="H12" s="35"/>
      <c r="I12" s="36"/>
      <c r="J12" s="37"/>
      <c r="K12" s="85">
        <f t="shared" si="0"/>
        <v>0</v>
      </c>
      <c r="L12" s="39" t="s">
        <v>5947</v>
      </c>
    </row>
    <row r="13" spans="1:12" s="27" customFormat="1" ht="19.5" customHeight="1" x14ac:dyDescent="0.3">
      <c r="A13" s="28"/>
      <c r="B13" s="16"/>
      <c r="C13" s="17">
        <v>28</v>
      </c>
      <c r="D13" s="18" t="s">
        <v>5945</v>
      </c>
      <c r="E13" s="41">
        <v>6</v>
      </c>
      <c r="F13" s="42">
        <v>12.5</v>
      </c>
      <c r="G13" s="34"/>
      <c r="H13" s="35"/>
      <c r="I13" s="36"/>
      <c r="J13" s="37"/>
      <c r="K13" s="85">
        <f t="shared" si="0"/>
        <v>0</v>
      </c>
      <c r="L13" s="39" t="s">
        <v>5947</v>
      </c>
    </row>
    <row r="14" spans="1:12" s="27" customFormat="1" ht="19.5" customHeight="1" x14ac:dyDescent="0.3">
      <c r="A14" s="28"/>
      <c r="B14" s="16"/>
      <c r="C14" s="17">
        <v>28</v>
      </c>
      <c r="D14" s="18" t="s">
        <v>5944</v>
      </c>
      <c r="E14" s="41">
        <v>4</v>
      </c>
      <c r="F14" s="42">
        <v>11.13</v>
      </c>
      <c r="G14" s="34"/>
      <c r="H14" s="35"/>
      <c r="I14" s="36"/>
      <c r="J14" s="37"/>
      <c r="K14" s="85">
        <f t="shared" si="0"/>
        <v>0</v>
      </c>
      <c r="L14" s="39" t="s">
        <v>5947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85">
        <f t="shared" si="0"/>
        <v>0</v>
      </c>
      <c r="L15" s="39"/>
    </row>
    <row r="16" spans="1:12" s="27" customFormat="1" ht="19.5" customHeight="1" x14ac:dyDescent="0.3">
      <c r="A16" s="28" t="s">
        <v>5941</v>
      </c>
      <c r="B16" s="16" t="s">
        <v>5942</v>
      </c>
      <c r="C16" s="17">
        <v>28</v>
      </c>
      <c r="D16" s="18" t="s">
        <v>5944</v>
      </c>
      <c r="E16" s="41">
        <v>1</v>
      </c>
      <c r="F16" s="42">
        <v>2.29</v>
      </c>
      <c r="G16" s="34" t="s">
        <v>5948</v>
      </c>
      <c r="H16" s="35">
        <v>2438</v>
      </c>
      <c r="I16" s="36">
        <v>3048</v>
      </c>
      <c r="J16" s="37">
        <v>1</v>
      </c>
      <c r="K16" s="85">
        <f t="shared" si="0"/>
        <v>7.4310240000000007</v>
      </c>
      <c r="L16" s="39" t="s">
        <v>5950</v>
      </c>
    </row>
    <row r="17" spans="1:12" s="27" customFormat="1" ht="19.5" customHeight="1" x14ac:dyDescent="0.3">
      <c r="A17" s="28"/>
      <c r="B17" s="16"/>
      <c r="C17" s="17">
        <v>28</v>
      </c>
      <c r="D17" s="18" t="s">
        <v>5945</v>
      </c>
      <c r="E17" s="41">
        <v>1</v>
      </c>
      <c r="F17" s="42">
        <v>1.69</v>
      </c>
      <c r="G17" s="34" t="s">
        <v>5948</v>
      </c>
      <c r="H17" s="35">
        <v>1981</v>
      </c>
      <c r="I17" s="36">
        <v>3353</v>
      </c>
      <c r="J17" s="37">
        <v>1</v>
      </c>
      <c r="K17" s="85">
        <f t="shared" si="0"/>
        <v>6.6422930000000004</v>
      </c>
      <c r="L17" s="39" t="s">
        <v>5949</v>
      </c>
    </row>
    <row r="18" spans="1:12" s="27" customFormat="1" ht="19.5" customHeight="1" x14ac:dyDescent="0.3">
      <c r="A18" s="28"/>
      <c r="B18" s="16"/>
      <c r="C18" s="17">
        <v>28</v>
      </c>
      <c r="D18" s="18" t="s">
        <v>5944</v>
      </c>
      <c r="E18" s="41">
        <v>1</v>
      </c>
      <c r="F18" s="42">
        <v>3</v>
      </c>
      <c r="G18" s="34"/>
      <c r="H18" s="35"/>
      <c r="I18" s="36"/>
      <c r="J18" s="37"/>
      <c r="K18" s="85">
        <f t="shared" si="0"/>
        <v>0</v>
      </c>
      <c r="L18" s="39" t="s">
        <v>5950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85">
        <f t="shared" si="0"/>
        <v>0</v>
      </c>
      <c r="L19" s="39"/>
    </row>
    <row r="20" spans="1:12" s="27" customFormat="1" ht="19.5" customHeight="1" x14ac:dyDescent="0.3">
      <c r="A20" s="28" t="s">
        <v>5951</v>
      </c>
      <c r="B20" s="16" t="s">
        <v>5952</v>
      </c>
      <c r="C20" s="17">
        <v>24</v>
      </c>
      <c r="D20" s="18" t="s">
        <v>5953</v>
      </c>
      <c r="E20" s="41">
        <v>43</v>
      </c>
      <c r="F20" s="42">
        <v>64.75</v>
      </c>
      <c r="G20" s="34" t="s">
        <v>5954</v>
      </c>
      <c r="H20" s="35">
        <v>1981</v>
      </c>
      <c r="I20" s="36">
        <v>3048</v>
      </c>
      <c r="J20" s="37">
        <v>12</v>
      </c>
      <c r="K20" s="85">
        <f t="shared" si="0"/>
        <v>72.457056000000009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 t="s">
        <v>5955</v>
      </c>
      <c r="H21" s="35">
        <v>1981</v>
      </c>
      <c r="I21" s="36">
        <v>3353</v>
      </c>
      <c r="J21" s="37">
        <v>11</v>
      </c>
      <c r="K21" s="85">
        <f t="shared" si="0"/>
        <v>73.065223000000003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5956</v>
      </c>
      <c r="B23" s="16" t="s">
        <v>5957</v>
      </c>
      <c r="C23" s="17">
        <v>24</v>
      </c>
      <c r="D23" s="18" t="s">
        <v>5958</v>
      </c>
      <c r="E23" s="41">
        <v>1</v>
      </c>
      <c r="F23" s="42">
        <v>4.4800000000000004</v>
      </c>
      <c r="G23" s="34" t="s">
        <v>5960</v>
      </c>
      <c r="H23" s="35">
        <v>2134</v>
      </c>
      <c r="I23" s="36">
        <v>3353</v>
      </c>
      <c r="J23" s="37">
        <v>1</v>
      </c>
      <c r="K23" s="85">
        <f t="shared" si="0"/>
        <v>7.1553019999999998</v>
      </c>
      <c r="L23" s="39" t="s">
        <v>5962</v>
      </c>
    </row>
    <row r="24" spans="1:12" s="27" customFormat="1" ht="19.5" customHeight="1" x14ac:dyDescent="0.3">
      <c r="A24" s="28"/>
      <c r="B24" s="16"/>
      <c r="C24" s="17">
        <v>43</v>
      </c>
      <c r="D24" s="18" t="s">
        <v>5959</v>
      </c>
      <c r="E24" s="41">
        <v>1</v>
      </c>
      <c r="F24" s="42">
        <v>1.47</v>
      </c>
      <c r="G24" s="34" t="s">
        <v>5961</v>
      </c>
      <c r="H24" s="35">
        <v>2134</v>
      </c>
      <c r="I24" s="36">
        <v>3353</v>
      </c>
      <c r="J24" s="37">
        <v>1</v>
      </c>
      <c r="K24" s="85">
        <f t="shared" si="0"/>
        <v>7.1553019999999998</v>
      </c>
      <c r="L24" s="39" t="s">
        <v>5963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 t="s">
        <v>5964</v>
      </c>
      <c r="B26" s="16" t="s">
        <v>5965</v>
      </c>
      <c r="C26" s="17">
        <v>22</v>
      </c>
      <c r="D26" s="18" t="s">
        <v>5966</v>
      </c>
      <c r="E26" s="41">
        <v>2</v>
      </c>
      <c r="F26" s="42">
        <v>2.98</v>
      </c>
      <c r="G26" s="34"/>
      <c r="H26" s="35"/>
      <c r="I26" s="36"/>
      <c r="J26" s="37"/>
      <c r="K26" s="85">
        <f t="shared" si="0"/>
        <v>0</v>
      </c>
      <c r="L26" s="39" t="s">
        <v>5968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 t="s">
        <v>5964</v>
      </c>
      <c r="B28" s="16" t="s">
        <v>5965</v>
      </c>
      <c r="C28" s="17">
        <v>22</v>
      </c>
      <c r="D28" s="18" t="s">
        <v>5966</v>
      </c>
      <c r="E28" s="41">
        <v>1</v>
      </c>
      <c r="F28" s="42">
        <v>1.49</v>
      </c>
      <c r="G28" s="34"/>
      <c r="H28" s="35"/>
      <c r="I28" s="36"/>
      <c r="J28" s="37"/>
      <c r="K28" s="85">
        <f t="shared" si="0"/>
        <v>0</v>
      </c>
      <c r="L28" s="39" t="s">
        <v>5969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85">
        <f>(H29/1000*I29/1000)*J29</f>
        <v>0</v>
      </c>
      <c r="L29" s="39"/>
    </row>
    <row r="30" spans="1:12" s="27" customFormat="1" ht="19.5" customHeight="1" x14ac:dyDescent="0.3">
      <c r="A30" s="28" t="s">
        <v>5970</v>
      </c>
      <c r="B30" s="16" t="s">
        <v>5971</v>
      </c>
      <c r="C30" s="17">
        <v>24</v>
      </c>
      <c r="D30" s="18" t="s">
        <v>5939</v>
      </c>
      <c r="E30" s="41">
        <v>7</v>
      </c>
      <c r="F30" s="42">
        <v>6.12</v>
      </c>
      <c r="G30" s="34" t="s">
        <v>5972</v>
      </c>
      <c r="H30" s="35">
        <v>2438</v>
      </c>
      <c r="I30" s="36">
        <v>3353</v>
      </c>
      <c r="J30" s="37">
        <v>1</v>
      </c>
      <c r="K30" s="25">
        <f t="shared" si="0"/>
        <v>8.174614</v>
      </c>
      <c r="L30" s="39" t="s">
        <v>5947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 t="s">
        <v>5973</v>
      </c>
      <c r="B32" s="16" t="s">
        <v>5965</v>
      </c>
      <c r="C32" s="17">
        <v>22</v>
      </c>
      <c r="D32" s="18" t="s">
        <v>17</v>
      </c>
      <c r="E32" s="41">
        <f>176-152</f>
        <v>24</v>
      </c>
      <c r="F32" s="42">
        <v>56.64</v>
      </c>
      <c r="G32" s="34" t="s">
        <v>18</v>
      </c>
      <c r="H32" s="35">
        <v>1981</v>
      </c>
      <c r="I32" s="36">
        <v>3353</v>
      </c>
      <c r="J32" s="37">
        <v>7</v>
      </c>
      <c r="K32" s="85">
        <f t="shared" si="0"/>
        <v>46.496051000000001</v>
      </c>
      <c r="L32" s="39" t="s">
        <v>5974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 t="s">
        <v>5975</v>
      </c>
      <c r="B34" s="16" t="s">
        <v>5980</v>
      </c>
      <c r="C34" s="17">
        <v>22</v>
      </c>
      <c r="D34" s="18" t="s">
        <v>5966</v>
      </c>
      <c r="E34" s="41">
        <v>1</v>
      </c>
      <c r="F34" s="42">
        <v>2.97</v>
      </c>
      <c r="G34" s="34" t="s">
        <v>39</v>
      </c>
      <c r="H34" s="35">
        <v>2134</v>
      </c>
      <c r="I34" s="36">
        <v>3353</v>
      </c>
      <c r="J34" s="37">
        <v>7</v>
      </c>
      <c r="K34" s="25">
        <f t="shared" si="0"/>
        <v>50.087114</v>
      </c>
      <c r="L34" s="39" t="s">
        <v>5983</v>
      </c>
    </row>
    <row r="35" spans="1:12" s="27" customFormat="1" ht="19.5" customHeight="1" x14ac:dyDescent="0.3">
      <c r="A35" s="28"/>
      <c r="B35" s="16"/>
      <c r="C35" s="17">
        <v>22</v>
      </c>
      <c r="D35" s="18" t="s">
        <v>5982</v>
      </c>
      <c r="E35" s="41">
        <v>2</v>
      </c>
      <c r="F35" s="42">
        <v>3.06</v>
      </c>
      <c r="G35" s="34" t="s">
        <v>5981</v>
      </c>
      <c r="H35" s="35">
        <v>2134</v>
      </c>
      <c r="I35" s="36">
        <v>3353</v>
      </c>
      <c r="J35" s="37">
        <v>8</v>
      </c>
      <c r="K35" s="25">
        <f t="shared" si="0"/>
        <v>57.242415999999999</v>
      </c>
      <c r="L35" s="39" t="s">
        <v>5983</v>
      </c>
    </row>
    <row r="36" spans="1:12" s="27" customFormat="1" ht="19.5" customHeight="1" x14ac:dyDescent="0.3">
      <c r="A36" s="28" t="s">
        <v>5976</v>
      </c>
      <c r="B36" s="16" t="s">
        <v>5980</v>
      </c>
      <c r="C36" s="17">
        <v>22</v>
      </c>
      <c r="D36" s="18" t="s">
        <v>5966</v>
      </c>
      <c r="E36" s="41">
        <v>2</v>
      </c>
      <c r="F36" s="42">
        <v>6.36</v>
      </c>
      <c r="G36" s="34"/>
      <c r="H36" s="35"/>
      <c r="I36" s="36"/>
      <c r="J36" s="37"/>
      <c r="K36" s="25">
        <f t="shared" si="0"/>
        <v>0</v>
      </c>
      <c r="L36" s="39" t="s">
        <v>5983</v>
      </c>
    </row>
    <row r="37" spans="1:12" s="27" customFormat="1" ht="19.5" customHeight="1" x14ac:dyDescent="0.3">
      <c r="A37" s="28"/>
      <c r="B37" s="16"/>
      <c r="C37" s="17">
        <v>22</v>
      </c>
      <c r="D37" s="18" t="s">
        <v>5982</v>
      </c>
      <c r="E37" s="41">
        <v>4</v>
      </c>
      <c r="F37" s="42">
        <v>6.12</v>
      </c>
      <c r="G37" s="34"/>
      <c r="H37" s="35"/>
      <c r="I37" s="36"/>
      <c r="J37" s="37"/>
      <c r="K37" s="25">
        <f t="shared" si="0"/>
        <v>0</v>
      </c>
      <c r="L37" s="39" t="s">
        <v>5983</v>
      </c>
    </row>
    <row r="38" spans="1:12" s="27" customFormat="1" ht="19.5" customHeight="1" x14ac:dyDescent="0.3">
      <c r="A38" s="28" t="s">
        <v>5977</v>
      </c>
      <c r="B38" s="16" t="s">
        <v>5980</v>
      </c>
      <c r="C38" s="17">
        <v>22</v>
      </c>
      <c r="D38" s="18" t="s">
        <v>5966</v>
      </c>
      <c r="E38" s="41">
        <v>1</v>
      </c>
      <c r="F38" s="42">
        <v>2.97</v>
      </c>
      <c r="G38" s="34"/>
      <c r="H38" s="35"/>
      <c r="I38" s="36"/>
      <c r="J38" s="37"/>
      <c r="K38" s="25">
        <f t="shared" si="0"/>
        <v>0</v>
      </c>
      <c r="L38" s="39" t="s">
        <v>5983</v>
      </c>
    </row>
    <row r="39" spans="1:12" s="27" customFormat="1" ht="19.5" customHeight="1" x14ac:dyDescent="0.3">
      <c r="A39" s="28"/>
      <c r="B39" s="16"/>
      <c r="C39" s="17">
        <v>22</v>
      </c>
      <c r="D39" s="18" t="s">
        <v>5982</v>
      </c>
      <c r="E39" s="41">
        <v>2</v>
      </c>
      <c r="F39" s="42">
        <v>3.06</v>
      </c>
      <c r="G39" s="34"/>
      <c r="H39" s="35"/>
      <c r="I39" s="36"/>
      <c r="J39" s="37"/>
      <c r="K39" s="25">
        <f t="shared" si="0"/>
        <v>0</v>
      </c>
      <c r="L39" s="39" t="s">
        <v>5983</v>
      </c>
    </row>
    <row r="40" spans="1:12" s="27" customFormat="1" ht="19.5" customHeight="1" x14ac:dyDescent="0.3">
      <c r="A40" s="28" t="s">
        <v>5978</v>
      </c>
      <c r="B40" s="16" t="s">
        <v>5980</v>
      </c>
      <c r="C40" s="17">
        <v>22</v>
      </c>
      <c r="D40" s="18" t="s">
        <v>5966</v>
      </c>
      <c r="E40" s="41">
        <v>1</v>
      </c>
      <c r="F40" s="42">
        <v>3.18</v>
      </c>
      <c r="G40" s="34"/>
      <c r="H40" s="35"/>
      <c r="I40" s="36"/>
      <c r="J40" s="37"/>
      <c r="K40" s="25">
        <f t="shared" si="0"/>
        <v>0</v>
      </c>
      <c r="L40" s="39" t="s">
        <v>5983</v>
      </c>
    </row>
    <row r="41" spans="1:12" s="27" customFormat="1" ht="19.5" customHeight="1" x14ac:dyDescent="0.3">
      <c r="A41" s="28"/>
      <c r="B41" s="16"/>
      <c r="C41" s="17">
        <v>22</v>
      </c>
      <c r="D41" s="18" t="s">
        <v>5982</v>
      </c>
      <c r="E41" s="41">
        <v>2</v>
      </c>
      <c r="F41" s="42">
        <v>3.06</v>
      </c>
      <c r="G41" s="34"/>
      <c r="H41" s="35"/>
      <c r="I41" s="36"/>
      <c r="J41" s="37"/>
      <c r="K41" s="25">
        <f t="shared" si="0"/>
        <v>0</v>
      </c>
      <c r="L41" s="39" t="s">
        <v>5983</v>
      </c>
    </row>
    <row r="42" spans="1:12" s="27" customFormat="1" ht="19.5" customHeight="1" x14ac:dyDescent="0.3">
      <c r="A42" s="28" t="s">
        <v>5979</v>
      </c>
      <c r="B42" s="16" t="s">
        <v>5980</v>
      </c>
      <c r="C42" s="17">
        <v>22</v>
      </c>
      <c r="D42" s="18" t="s">
        <v>5966</v>
      </c>
      <c r="E42" s="41">
        <v>2</v>
      </c>
      <c r="F42" s="42">
        <v>8.42</v>
      </c>
      <c r="G42" s="34"/>
      <c r="H42" s="35"/>
      <c r="I42" s="36"/>
      <c r="J42" s="37"/>
      <c r="K42" s="25">
        <f t="shared" si="0"/>
        <v>0</v>
      </c>
      <c r="L42" s="39" t="s">
        <v>5983</v>
      </c>
    </row>
    <row r="43" spans="1:12" s="27" customFormat="1" ht="19.5" customHeight="1" x14ac:dyDescent="0.3">
      <c r="A43" s="28"/>
      <c r="B43" s="16"/>
      <c r="C43" s="17">
        <v>22</v>
      </c>
      <c r="D43" s="18" t="s">
        <v>5982</v>
      </c>
      <c r="E43" s="41">
        <v>4</v>
      </c>
      <c r="F43" s="42">
        <v>6.12</v>
      </c>
      <c r="G43" s="34"/>
      <c r="H43" s="35"/>
      <c r="I43" s="36"/>
      <c r="J43" s="37"/>
      <c r="K43" s="25">
        <f t="shared" si="0"/>
        <v>0</v>
      </c>
      <c r="L43" s="39" t="s">
        <v>5983</v>
      </c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0"/>
        <v>0</v>
      </c>
      <c r="L44" s="39"/>
    </row>
    <row r="45" spans="1:12" s="27" customFormat="1" ht="19.5" customHeight="1" x14ac:dyDescent="0.3">
      <c r="A45" s="28" t="s">
        <v>5975</v>
      </c>
      <c r="B45" s="16" t="s">
        <v>5980</v>
      </c>
      <c r="C45" s="17">
        <v>22</v>
      </c>
      <c r="D45" s="18" t="s">
        <v>5984</v>
      </c>
      <c r="E45" s="41">
        <v>3</v>
      </c>
      <c r="F45" s="42">
        <v>6.03</v>
      </c>
      <c r="G45" s="34" t="s">
        <v>5985</v>
      </c>
      <c r="H45" s="35">
        <v>2134</v>
      </c>
      <c r="I45" s="36">
        <v>3048</v>
      </c>
      <c r="J45" s="37">
        <v>7</v>
      </c>
      <c r="K45" s="25">
        <f t="shared" si="0"/>
        <v>45.531023999999995</v>
      </c>
      <c r="L45" s="39" t="s">
        <v>5983</v>
      </c>
    </row>
    <row r="46" spans="1:12" s="27" customFormat="1" ht="19.5" customHeight="1" x14ac:dyDescent="0.3">
      <c r="A46" s="28" t="s">
        <v>5976</v>
      </c>
      <c r="B46" s="16" t="s">
        <v>5980</v>
      </c>
      <c r="C46" s="17">
        <v>22</v>
      </c>
      <c r="D46" s="18" t="s">
        <v>5984</v>
      </c>
      <c r="E46" s="41">
        <v>6</v>
      </c>
      <c r="F46" s="42">
        <v>12.48</v>
      </c>
      <c r="G46" s="34" t="s">
        <v>5960</v>
      </c>
      <c r="H46" s="35">
        <v>2286</v>
      </c>
      <c r="I46" s="36">
        <v>3048</v>
      </c>
      <c r="J46" s="37">
        <v>8</v>
      </c>
      <c r="K46" s="25">
        <f t="shared" si="0"/>
        <v>55.741824000000001</v>
      </c>
      <c r="L46" s="39" t="s">
        <v>5983</v>
      </c>
    </row>
    <row r="47" spans="1:12" s="27" customFormat="1" ht="19.5" customHeight="1" x14ac:dyDescent="0.3">
      <c r="A47" s="28" t="s">
        <v>5977</v>
      </c>
      <c r="B47" s="16" t="s">
        <v>5980</v>
      </c>
      <c r="C47" s="17">
        <v>22</v>
      </c>
      <c r="D47" s="18" t="s">
        <v>5984</v>
      </c>
      <c r="E47" s="41">
        <v>3</v>
      </c>
      <c r="F47" s="42">
        <v>6.03</v>
      </c>
      <c r="G47" s="34"/>
      <c r="H47" s="35"/>
      <c r="I47" s="36"/>
      <c r="J47" s="37"/>
      <c r="K47" s="25">
        <f t="shared" si="0"/>
        <v>0</v>
      </c>
      <c r="L47" s="39" t="s">
        <v>5983</v>
      </c>
    </row>
    <row r="48" spans="1:12" s="27" customFormat="1" ht="19.5" customHeight="1" x14ac:dyDescent="0.3">
      <c r="A48" s="28" t="s">
        <v>5978</v>
      </c>
      <c r="B48" s="16" t="s">
        <v>5980</v>
      </c>
      <c r="C48" s="17">
        <v>22</v>
      </c>
      <c r="D48" s="18" t="s">
        <v>5984</v>
      </c>
      <c r="E48" s="41">
        <v>3</v>
      </c>
      <c r="F48" s="42">
        <v>6.24</v>
      </c>
      <c r="G48" s="34"/>
      <c r="H48" s="35"/>
      <c r="I48" s="36"/>
      <c r="J48" s="37"/>
      <c r="K48" s="25">
        <f t="shared" si="0"/>
        <v>0</v>
      </c>
      <c r="L48" s="39" t="s">
        <v>5983</v>
      </c>
    </row>
    <row r="49" spans="1:12" s="27" customFormat="1" ht="19.5" customHeight="1" x14ac:dyDescent="0.3">
      <c r="A49" s="28" t="s">
        <v>5979</v>
      </c>
      <c r="B49" s="16" t="s">
        <v>5980</v>
      </c>
      <c r="C49" s="17">
        <v>22</v>
      </c>
      <c r="D49" s="18" t="s">
        <v>5984</v>
      </c>
      <c r="E49" s="41">
        <v>6</v>
      </c>
      <c r="F49" s="42">
        <v>14.54</v>
      </c>
      <c r="G49" s="34"/>
      <c r="H49" s="35"/>
      <c r="I49" s="36"/>
      <c r="J49" s="37"/>
      <c r="K49" s="25">
        <f t="shared" si="0"/>
        <v>0</v>
      </c>
      <c r="L49" s="39" t="s">
        <v>5983</v>
      </c>
    </row>
    <row r="50" spans="1:12" s="27" customFormat="1" ht="19.5" customHeight="1" x14ac:dyDescent="0.3">
      <c r="A50" s="28"/>
      <c r="B50" s="16"/>
      <c r="C50" s="17"/>
      <c r="D50" s="18"/>
      <c r="E50" s="41"/>
      <c r="F50" s="42"/>
      <c r="G50" s="34"/>
      <c r="H50" s="35"/>
      <c r="I50" s="36"/>
      <c r="J50" s="37"/>
      <c r="K50" s="25">
        <f t="shared" si="0"/>
        <v>0</v>
      </c>
      <c r="L50" s="39"/>
    </row>
    <row r="51" spans="1:12" s="27" customFormat="1" ht="19.5" customHeight="1" x14ac:dyDescent="0.3">
      <c r="A51" s="28" t="s">
        <v>5933</v>
      </c>
      <c r="B51" s="16" t="s">
        <v>59</v>
      </c>
      <c r="C51" s="17">
        <v>22</v>
      </c>
      <c r="D51" s="18" t="s">
        <v>5625</v>
      </c>
      <c r="E51" s="41">
        <v>150</v>
      </c>
      <c r="F51" s="42">
        <f>105/84*150</f>
        <v>187.5</v>
      </c>
      <c r="G51" s="34" t="s">
        <v>18</v>
      </c>
      <c r="H51" s="35">
        <v>1981</v>
      </c>
      <c r="I51" s="36">
        <v>3353</v>
      </c>
      <c r="J51" s="37">
        <v>30</v>
      </c>
      <c r="K51" s="85">
        <f t="shared" si="0"/>
        <v>199.26879000000002</v>
      </c>
      <c r="L51" s="39" t="s">
        <v>5986</v>
      </c>
    </row>
    <row r="52" spans="1:12" s="27" customFormat="1" ht="19.5" customHeight="1" x14ac:dyDescent="0.3">
      <c r="A52" s="28"/>
      <c r="B52" s="16"/>
      <c r="C52" s="17"/>
      <c r="D52" s="18"/>
      <c r="E52" s="41"/>
      <c r="F52" s="42"/>
      <c r="G52" s="34"/>
      <c r="H52" s="35"/>
      <c r="I52" s="36"/>
      <c r="J52" s="37"/>
      <c r="K52" s="25">
        <f t="shared" ref="K52:K61" si="1">(H52/1000*I52/1000)*J52</f>
        <v>0</v>
      </c>
      <c r="L52" s="39"/>
    </row>
    <row r="53" spans="1:12" s="27" customFormat="1" ht="19.5" customHeight="1" x14ac:dyDescent="0.3">
      <c r="A53" s="28" t="s">
        <v>6007</v>
      </c>
      <c r="B53" s="16"/>
      <c r="C53" s="17"/>
      <c r="D53" s="18"/>
      <c r="E53" s="41"/>
      <c r="F53" s="42"/>
      <c r="G53" s="34"/>
      <c r="H53" s="35"/>
      <c r="I53" s="36"/>
      <c r="J53" s="37"/>
      <c r="K53" s="25">
        <f t="shared" si="1"/>
        <v>0</v>
      </c>
      <c r="L53" s="39"/>
    </row>
    <row r="54" spans="1:12" s="27" customFormat="1" ht="19.5" customHeight="1" x14ac:dyDescent="0.3">
      <c r="A54" s="28" t="s">
        <v>6008</v>
      </c>
      <c r="B54" s="16" t="s">
        <v>6009</v>
      </c>
      <c r="C54" s="17">
        <v>28</v>
      </c>
      <c r="D54" s="18" t="s">
        <v>6010</v>
      </c>
      <c r="E54" s="41">
        <v>127</v>
      </c>
      <c r="F54" s="42">
        <v>265.62</v>
      </c>
      <c r="G54" s="34" t="s">
        <v>6012</v>
      </c>
      <c r="H54" s="35">
        <v>2438</v>
      </c>
      <c r="I54" s="36">
        <v>3353</v>
      </c>
      <c r="J54" s="37">
        <v>42</v>
      </c>
      <c r="K54" s="25">
        <f t="shared" si="1"/>
        <v>343.33378800000003</v>
      </c>
      <c r="L54" s="39" t="s">
        <v>6013</v>
      </c>
    </row>
    <row r="55" spans="1:12" s="27" customFormat="1" ht="19.5" customHeight="1" x14ac:dyDescent="0.3">
      <c r="A55" s="28"/>
      <c r="B55" s="16"/>
      <c r="C55" s="17">
        <v>28</v>
      </c>
      <c r="D55" s="18" t="s">
        <v>6011</v>
      </c>
      <c r="E55" s="41">
        <v>49</v>
      </c>
      <c r="F55" s="42">
        <v>36.31</v>
      </c>
      <c r="G55" s="34"/>
      <c r="H55" s="35"/>
      <c r="I55" s="36"/>
      <c r="J55" s="37"/>
      <c r="K55" s="25">
        <f t="shared" si="1"/>
        <v>0</v>
      </c>
      <c r="L55" s="39" t="s">
        <v>6014</v>
      </c>
    </row>
    <row r="56" spans="1:12" s="27" customFormat="1" ht="19.5" customHeight="1" x14ac:dyDescent="0.3">
      <c r="A56" s="28"/>
      <c r="B56" s="16"/>
      <c r="C56" s="17"/>
      <c r="D56" s="18"/>
      <c r="E56" s="41"/>
      <c r="F56" s="42"/>
      <c r="G56" s="34"/>
      <c r="H56" s="35"/>
      <c r="I56" s="36"/>
      <c r="J56" s="37"/>
      <c r="K56" s="25">
        <f t="shared" si="1"/>
        <v>0</v>
      </c>
      <c r="L56" s="39"/>
    </row>
    <row r="57" spans="1:12" s="27" customFormat="1" ht="19.5" customHeight="1" x14ac:dyDescent="0.3">
      <c r="A57" s="28"/>
      <c r="B57" s="16"/>
      <c r="C57" s="17"/>
      <c r="D57" s="18"/>
      <c r="E57" s="41"/>
      <c r="F57" s="42"/>
      <c r="G57" s="34"/>
      <c r="H57" s="35"/>
      <c r="I57" s="36"/>
      <c r="J57" s="37"/>
      <c r="K57" s="25">
        <f t="shared" si="1"/>
        <v>0</v>
      </c>
      <c r="L57" s="39"/>
    </row>
    <row r="58" spans="1:12" s="27" customFormat="1" ht="19.5" customHeight="1" x14ac:dyDescent="0.3">
      <c r="A58" s="28"/>
      <c r="B58" s="16"/>
      <c r="C58" s="17"/>
      <c r="D58" s="18"/>
      <c r="E58" s="41"/>
      <c r="F58" s="42"/>
      <c r="G58" s="34"/>
      <c r="H58" s="35"/>
      <c r="I58" s="36"/>
      <c r="J58" s="37"/>
      <c r="K58" s="25">
        <f t="shared" si="1"/>
        <v>0</v>
      </c>
      <c r="L58" s="39"/>
    </row>
    <row r="59" spans="1:12" s="27" customFormat="1" ht="19.5" customHeight="1" x14ac:dyDescent="0.3">
      <c r="A59" s="28"/>
      <c r="B59" s="16"/>
      <c r="C59" s="17"/>
      <c r="D59" s="18"/>
      <c r="E59" s="41"/>
      <c r="F59" s="42"/>
      <c r="G59" s="34"/>
      <c r="H59" s="35"/>
      <c r="I59" s="36"/>
      <c r="J59" s="37"/>
      <c r="K59" s="25">
        <f t="shared" si="1"/>
        <v>0</v>
      </c>
      <c r="L59" s="39"/>
    </row>
    <row r="60" spans="1:12" s="27" customFormat="1" ht="19.5" customHeight="1" x14ac:dyDescent="0.3">
      <c r="A60" s="28"/>
      <c r="B60" s="16"/>
      <c r="C60" s="17"/>
      <c r="D60" s="18"/>
      <c r="E60" s="41"/>
      <c r="F60" s="42"/>
      <c r="G60" s="34"/>
      <c r="H60" s="35"/>
      <c r="I60" s="36"/>
      <c r="J60" s="37"/>
      <c r="K60" s="25">
        <f t="shared" si="1"/>
        <v>0</v>
      </c>
      <c r="L60" s="39"/>
    </row>
    <row r="61" spans="1:12" s="27" customFormat="1" ht="19.5" customHeight="1" x14ac:dyDescent="0.3">
      <c r="A61" s="28"/>
      <c r="B61" s="16"/>
      <c r="C61" s="17"/>
      <c r="D61" s="18"/>
      <c r="E61" s="41"/>
      <c r="F61" s="42"/>
      <c r="G61" s="34"/>
      <c r="H61" s="35"/>
      <c r="I61" s="36"/>
      <c r="J61" s="37"/>
      <c r="K61" s="25">
        <f t="shared" si="1"/>
        <v>0</v>
      </c>
      <c r="L61" s="39"/>
    </row>
    <row r="62" spans="1:12" s="27" customFormat="1" ht="19.5" customHeight="1" x14ac:dyDescent="0.3">
      <c r="A62" s="28"/>
      <c r="B62" s="16"/>
      <c r="C62" s="17"/>
      <c r="D62" s="18"/>
      <c r="E62" s="41"/>
      <c r="F62" s="42"/>
      <c r="G62" s="34"/>
      <c r="H62" s="35"/>
      <c r="I62" s="36"/>
      <c r="J62" s="37"/>
      <c r="K62" s="25">
        <f t="shared" si="0"/>
        <v>0</v>
      </c>
      <c r="L62" s="39"/>
    </row>
    <row r="63" spans="1:12" s="27" customFormat="1" ht="19.5" customHeight="1" x14ac:dyDescent="0.3">
      <c r="A63" s="28"/>
      <c r="B63" s="29"/>
      <c r="C63" s="30"/>
      <c r="D63" s="31"/>
      <c r="E63" s="41"/>
      <c r="F63" s="42"/>
      <c r="G63" s="43"/>
      <c r="H63" s="35"/>
      <c r="I63" s="36"/>
      <c r="J63" s="37"/>
      <c r="K63" s="25">
        <f t="shared" si="0"/>
        <v>0</v>
      </c>
      <c r="L63" s="39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5987</v>
      </c>
      <c r="B65" s="45" t="s">
        <v>5988</v>
      </c>
      <c r="C65" s="46">
        <v>22</v>
      </c>
      <c r="D65" s="47" t="s">
        <v>5984</v>
      </c>
      <c r="E65" s="48">
        <v>108</v>
      </c>
      <c r="F65" s="49">
        <v>88.68</v>
      </c>
      <c r="G65" s="50" t="s">
        <v>5960</v>
      </c>
      <c r="H65" s="51">
        <v>1981</v>
      </c>
      <c r="I65" s="45">
        <v>3353</v>
      </c>
      <c r="J65" s="52">
        <v>15</v>
      </c>
      <c r="K65" s="53">
        <f t="shared" si="0"/>
        <v>99.634395000000012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 t="s">
        <v>5985</v>
      </c>
      <c r="H66" s="51">
        <v>1981</v>
      </c>
      <c r="I66" s="45">
        <v>3353</v>
      </c>
      <c r="J66" s="52">
        <v>15</v>
      </c>
      <c r="K66" s="53">
        <f t="shared" si="0"/>
        <v>99.634395000000012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 t="s">
        <v>5989</v>
      </c>
      <c r="B68" s="45" t="s">
        <v>5988</v>
      </c>
      <c r="C68" s="46">
        <v>22</v>
      </c>
      <c r="D68" s="47" t="s">
        <v>5984</v>
      </c>
      <c r="E68" s="48">
        <v>96</v>
      </c>
      <c r="F68" s="49">
        <v>77.400000000000006</v>
      </c>
      <c r="G68" s="50" t="s">
        <v>5960</v>
      </c>
      <c r="H68" s="51">
        <v>1981</v>
      </c>
      <c r="I68" s="45">
        <v>3353</v>
      </c>
      <c r="J68" s="52">
        <v>13</v>
      </c>
      <c r="K68" s="53">
        <f t="shared" si="0"/>
        <v>86.349809000000008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 t="s">
        <v>5985</v>
      </c>
      <c r="H69" s="51">
        <v>1981</v>
      </c>
      <c r="I69" s="45">
        <v>3353</v>
      </c>
      <c r="J69" s="52">
        <v>13</v>
      </c>
      <c r="K69" s="53">
        <f t="shared" si="0"/>
        <v>86.349809000000008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5990</v>
      </c>
      <c r="B71" s="45" t="s">
        <v>5965</v>
      </c>
      <c r="C71" s="46">
        <v>24</v>
      </c>
      <c r="D71" s="47" t="s">
        <v>5991</v>
      </c>
      <c r="E71" s="48">
        <v>1</v>
      </c>
      <c r="F71" s="49">
        <v>0.28000000000000003</v>
      </c>
      <c r="G71" s="50"/>
      <c r="H71" s="51"/>
      <c r="I71" s="45"/>
      <c r="J71" s="52"/>
      <c r="K71" s="53">
        <f t="shared" si="0"/>
        <v>0</v>
      </c>
      <c r="L71" s="54" t="s">
        <v>5967</v>
      </c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 t="s">
        <v>5992</v>
      </c>
      <c r="B73" s="45" t="s">
        <v>5993</v>
      </c>
      <c r="C73" s="46">
        <v>43</v>
      </c>
      <c r="D73" s="47" t="s">
        <v>5994</v>
      </c>
      <c r="E73" s="48">
        <v>42</v>
      </c>
      <c r="F73" s="49">
        <v>49.98</v>
      </c>
      <c r="G73" s="50" t="s">
        <v>5995</v>
      </c>
      <c r="H73" s="51">
        <v>2438</v>
      </c>
      <c r="I73" s="45">
        <v>3353</v>
      </c>
      <c r="J73" s="52">
        <v>15</v>
      </c>
      <c r="K73" s="53">
        <f t="shared" si="0"/>
        <v>122.61921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 t="s">
        <v>5981</v>
      </c>
      <c r="H74" s="51">
        <v>2438</v>
      </c>
      <c r="I74" s="45">
        <v>3353</v>
      </c>
      <c r="J74" s="52">
        <v>8</v>
      </c>
      <c r="K74" s="53">
        <f t="shared" si="0"/>
        <v>65.396912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 t="s">
        <v>5996</v>
      </c>
      <c r="B76" s="45" t="s">
        <v>5957</v>
      </c>
      <c r="C76" s="46">
        <v>24</v>
      </c>
      <c r="D76" s="47" t="s">
        <v>5958</v>
      </c>
      <c r="E76" s="48">
        <v>1</v>
      </c>
      <c r="F76" s="49">
        <v>2.65</v>
      </c>
      <c r="G76" s="50"/>
      <c r="H76" s="51"/>
      <c r="I76" s="45"/>
      <c r="J76" s="52"/>
      <c r="K76" s="53">
        <f t="shared" si="0"/>
        <v>0</v>
      </c>
      <c r="L76" s="54" t="s">
        <v>5997</v>
      </c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 t="s">
        <v>5998</v>
      </c>
      <c r="B78" s="45" t="s">
        <v>5993</v>
      </c>
      <c r="C78" s="46">
        <v>43</v>
      </c>
      <c r="D78" s="47" t="s">
        <v>5994</v>
      </c>
      <c r="E78" s="48">
        <v>1</v>
      </c>
      <c r="F78" s="49">
        <v>1.46</v>
      </c>
      <c r="G78" s="50" t="s">
        <v>5995</v>
      </c>
      <c r="H78" s="51">
        <v>2134</v>
      </c>
      <c r="I78" s="45">
        <v>3048</v>
      </c>
      <c r="J78" s="52">
        <v>1</v>
      </c>
      <c r="K78" s="53">
        <f t="shared" si="0"/>
        <v>6.5044319999999995</v>
      </c>
      <c r="L78" s="54" t="s">
        <v>5999</v>
      </c>
    </row>
    <row r="79" spans="1:12" s="55" customFormat="1" ht="19.5" customHeight="1" x14ac:dyDescent="0.3">
      <c r="A79" s="44"/>
      <c r="B79" s="76"/>
      <c r="C79" s="77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 t="s">
        <v>5998</v>
      </c>
      <c r="B80" s="45" t="s">
        <v>5993</v>
      </c>
      <c r="C80" s="46">
        <v>43</v>
      </c>
      <c r="D80" s="47" t="s">
        <v>5994</v>
      </c>
      <c r="E80" s="48">
        <v>2</v>
      </c>
      <c r="F80" s="49">
        <v>0.56000000000000005</v>
      </c>
      <c r="G80" s="50"/>
      <c r="H80" s="51"/>
      <c r="I80" s="45"/>
      <c r="J80" s="52"/>
      <c r="K80" s="53">
        <f t="shared" si="0"/>
        <v>0</v>
      </c>
      <c r="L80" s="54" t="s">
        <v>5968</v>
      </c>
    </row>
    <row r="81" spans="1:12" s="55" customFormat="1" ht="19.5" customHeight="1" x14ac:dyDescent="0.3">
      <c r="A81" s="44"/>
      <c r="B81" s="76"/>
      <c r="C81" s="77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 t="s">
        <v>6000</v>
      </c>
      <c r="B82" s="45" t="s">
        <v>5988</v>
      </c>
      <c r="C82" s="46">
        <v>22</v>
      </c>
      <c r="D82" s="47" t="s">
        <v>5984</v>
      </c>
      <c r="E82" s="48">
        <v>80</v>
      </c>
      <c r="F82" s="49">
        <v>69.36</v>
      </c>
      <c r="G82" s="50" t="s">
        <v>5960</v>
      </c>
      <c r="H82" s="51">
        <v>1981</v>
      </c>
      <c r="I82" s="45">
        <v>3353</v>
      </c>
      <c r="J82" s="52">
        <v>11</v>
      </c>
      <c r="K82" s="53">
        <f t="shared" si="0"/>
        <v>73.065223000000003</v>
      </c>
      <c r="L82" s="54" t="s">
        <v>6001</v>
      </c>
    </row>
    <row r="83" spans="1:12" s="55" customFormat="1" ht="19.5" customHeight="1" x14ac:dyDescent="0.3">
      <c r="A83" s="44"/>
      <c r="B83" s="76"/>
      <c r="C83" s="46"/>
      <c r="D83" s="47"/>
      <c r="E83" s="48"/>
      <c r="F83" s="49"/>
      <c r="G83" s="50"/>
      <c r="H83" s="51"/>
      <c r="I83" s="45"/>
      <c r="J83" s="52"/>
      <c r="K83" s="53">
        <f t="shared" si="0"/>
        <v>0</v>
      </c>
      <c r="L83" s="54"/>
    </row>
    <row r="84" spans="1:12" s="55" customFormat="1" ht="19.5" customHeight="1" x14ac:dyDescent="0.3">
      <c r="A84" s="44" t="s">
        <v>6002</v>
      </c>
      <c r="B84" s="76" t="s">
        <v>5988</v>
      </c>
      <c r="C84" s="77">
        <v>22</v>
      </c>
      <c r="D84" s="47" t="s">
        <v>6003</v>
      </c>
      <c r="E84" s="48">
        <v>16</v>
      </c>
      <c r="F84" s="49">
        <v>25.6</v>
      </c>
      <c r="G84" s="50" t="s">
        <v>5960</v>
      </c>
      <c r="H84" s="51">
        <v>2134</v>
      </c>
      <c r="I84" s="45">
        <v>3353</v>
      </c>
      <c r="J84" s="52">
        <v>4</v>
      </c>
      <c r="K84" s="53">
        <f t="shared" si="0"/>
        <v>28.621207999999999</v>
      </c>
      <c r="L84" s="54" t="s">
        <v>6001</v>
      </c>
    </row>
    <row r="85" spans="1:12" s="55" customFormat="1" ht="19.5" customHeight="1" x14ac:dyDescent="0.3">
      <c r="A85" s="44"/>
      <c r="B85" s="76"/>
      <c r="C85" s="46"/>
      <c r="D85" s="47"/>
      <c r="E85" s="48"/>
      <c r="F85" s="49"/>
      <c r="G85" s="50" t="s">
        <v>5960</v>
      </c>
      <c r="H85" s="51">
        <v>2286</v>
      </c>
      <c r="I85" s="45">
        <v>3048</v>
      </c>
      <c r="J85" s="52">
        <v>1</v>
      </c>
      <c r="K85" s="53">
        <f t="shared" si="0"/>
        <v>6.9677280000000001</v>
      </c>
      <c r="L85" s="54"/>
    </row>
    <row r="86" spans="1:12" s="55" customFormat="1" ht="19.5" customHeight="1" x14ac:dyDescent="0.3">
      <c r="A86" s="44"/>
      <c r="B86" s="76"/>
      <c r="C86" s="77"/>
      <c r="D86" s="47"/>
      <c r="E86" s="48"/>
      <c r="F86" s="49"/>
      <c r="G86" s="50"/>
      <c r="H86" s="51"/>
      <c r="I86" s="45"/>
      <c r="J86" s="52"/>
      <c r="K86" s="53">
        <f t="shared" si="0"/>
        <v>0</v>
      </c>
      <c r="L86" s="54"/>
    </row>
    <row r="87" spans="1:12" s="55" customFormat="1" ht="19.5" customHeight="1" x14ac:dyDescent="0.3">
      <c r="A87" s="44" t="s">
        <v>6004</v>
      </c>
      <c r="B87" s="76" t="s">
        <v>5988</v>
      </c>
      <c r="C87" s="77">
        <v>22</v>
      </c>
      <c r="D87" s="47" t="s">
        <v>6003</v>
      </c>
      <c r="E87" s="48">
        <v>24</v>
      </c>
      <c r="F87" s="49">
        <v>26.4</v>
      </c>
      <c r="G87" s="50" t="s">
        <v>5960</v>
      </c>
      <c r="H87" s="51">
        <v>1981</v>
      </c>
      <c r="I87" s="45">
        <v>3353</v>
      </c>
      <c r="J87" s="52">
        <v>4</v>
      </c>
      <c r="K87" s="53">
        <f t="shared" si="0"/>
        <v>26.569172000000002</v>
      </c>
      <c r="L87" s="54"/>
    </row>
    <row r="88" spans="1:12" s="55" customFormat="1" ht="19.5" customHeight="1" x14ac:dyDescent="0.3">
      <c r="A88" s="44"/>
      <c r="B88" s="76"/>
      <c r="C88" s="77"/>
      <c r="D88" s="47"/>
      <c r="E88" s="48"/>
      <c r="F88" s="49"/>
      <c r="G88" s="50" t="s">
        <v>5985</v>
      </c>
      <c r="H88" s="51">
        <v>1981</v>
      </c>
      <c r="I88" s="45">
        <v>3353</v>
      </c>
      <c r="J88" s="52">
        <v>4</v>
      </c>
      <c r="K88" s="53">
        <f t="shared" si="0"/>
        <v>26.569172000000002</v>
      </c>
      <c r="L88" s="54"/>
    </row>
    <row r="89" spans="1:12" s="55" customFormat="1" ht="19.5" customHeight="1" x14ac:dyDescent="0.3">
      <c r="A89" s="44"/>
      <c r="B89" s="76"/>
      <c r="C89" s="77"/>
      <c r="D89" s="47"/>
      <c r="E89" s="48"/>
      <c r="F89" s="49"/>
      <c r="G89" s="50"/>
      <c r="H89" s="51"/>
      <c r="I89" s="45"/>
      <c r="J89" s="52"/>
      <c r="K89" s="53">
        <f t="shared" si="0"/>
        <v>0</v>
      </c>
      <c r="L89" s="54"/>
    </row>
    <row r="90" spans="1:12" s="55" customFormat="1" ht="19.5" customHeight="1" x14ac:dyDescent="0.3">
      <c r="A90" s="44" t="s">
        <v>6004</v>
      </c>
      <c r="B90" s="76" t="s">
        <v>5988</v>
      </c>
      <c r="C90" s="46">
        <v>46.76</v>
      </c>
      <c r="D90" s="47" t="s">
        <v>6005</v>
      </c>
      <c r="E90" s="48">
        <v>8</v>
      </c>
      <c r="F90" s="49">
        <v>3.6</v>
      </c>
      <c r="G90" s="50" t="s">
        <v>5961</v>
      </c>
      <c r="H90" s="51">
        <v>2134</v>
      </c>
      <c r="I90" s="45">
        <v>3353</v>
      </c>
      <c r="J90" s="52">
        <v>2</v>
      </c>
      <c r="K90" s="53">
        <f t="shared" si="0"/>
        <v>14.310604</v>
      </c>
      <c r="L90" s="54" t="s">
        <v>6006</v>
      </c>
    </row>
    <row r="91" spans="1:12" s="55" customFormat="1" ht="19.5" customHeight="1" x14ac:dyDescent="0.3">
      <c r="A91" s="44" t="s">
        <v>6002</v>
      </c>
      <c r="B91" s="76" t="s">
        <v>5988</v>
      </c>
      <c r="C91" s="46">
        <v>46.76</v>
      </c>
      <c r="D91" s="47" t="s">
        <v>6005</v>
      </c>
      <c r="E91" s="48">
        <v>8</v>
      </c>
      <c r="F91" s="49">
        <v>3.2</v>
      </c>
      <c r="G91" s="50"/>
      <c r="H91" s="51"/>
      <c r="I91" s="45"/>
      <c r="J91" s="52"/>
      <c r="K91" s="53">
        <f t="shared" si="0"/>
        <v>0</v>
      </c>
      <c r="L91" s="54" t="s">
        <v>6006</v>
      </c>
    </row>
    <row r="92" spans="1:12" s="55" customFormat="1" ht="19.5" customHeight="1" x14ac:dyDescent="0.3">
      <c r="A92" s="44"/>
      <c r="B92" s="76"/>
      <c r="C92" s="46"/>
      <c r="D92" s="78"/>
      <c r="E92" s="48"/>
      <c r="F92" s="49"/>
      <c r="G92" s="50"/>
      <c r="H92" s="51"/>
      <c r="I92" s="45"/>
      <c r="J92" s="52"/>
      <c r="K92" s="53">
        <f t="shared" si="0"/>
        <v>0</v>
      </c>
      <c r="L92" s="54"/>
    </row>
    <row r="93" spans="1:12" s="55" customFormat="1" ht="19.5" customHeight="1" x14ac:dyDescent="0.3">
      <c r="A93" s="44" t="s">
        <v>6007</v>
      </c>
      <c r="B93" s="45"/>
      <c r="C93" s="46"/>
      <c r="D93" s="47"/>
      <c r="E93" s="48"/>
      <c r="F93" s="49"/>
      <c r="G93" s="50"/>
      <c r="H93" s="51"/>
      <c r="I93" s="45"/>
      <c r="J93" s="52"/>
      <c r="K93" s="53">
        <f t="shared" si="0"/>
        <v>0</v>
      </c>
      <c r="L93" s="54"/>
    </row>
    <row r="94" spans="1:12" s="55" customFormat="1" ht="19.5" customHeight="1" x14ac:dyDescent="0.3">
      <c r="A94" s="44" t="s">
        <v>6015</v>
      </c>
      <c r="B94" s="45" t="s">
        <v>6016</v>
      </c>
      <c r="C94" s="46">
        <v>24</v>
      </c>
      <c r="D94" s="47" t="s">
        <v>6017</v>
      </c>
      <c r="E94" s="48">
        <v>44</v>
      </c>
      <c r="F94" s="49">
        <v>65.84</v>
      </c>
      <c r="G94" s="50" t="s">
        <v>6019</v>
      </c>
      <c r="H94" s="51">
        <v>1981</v>
      </c>
      <c r="I94" s="45">
        <v>3048</v>
      </c>
      <c r="J94" s="52">
        <v>12</v>
      </c>
      <c r="K94" s="53">
        <f t="shared" si="0"/>
        <v>72.457056000000009</v>
      </c>
      <c r="L94" s="54" t="s">
        <v>6020</v>
      </c>
    </row>
    <row r="95" spans="1:12" s="55" customFormat="1" ht="19.5" customHeight="1" x14ac:dyDescent="0.3">
      <c r="A95" s="44" t="s">
        <v>6018</v>
      </c>
      <c r="B95" s="45" t="s">
        <v>6016</v>
      </c>
      <c r="C95" s="46">
        <v>24</v>
      </c>
      <c r="D95" s="47" t="s">
        <v>6017</v>
      </c>
      <c r="E95" s="48">
        <v>14</v>
      </c>
      <c r="F95" s="49">
        <v>15.1</v>
      </c>
      <c r="G95" s="50" t="s">
        <v>6019</v>
      </c>
      <c r="H95" s="51">
        <v>2438</v>
      </c>
      <c r="I95" s="45">
        <v>3353</v>
      </c>
      <c r="J95" s="52">
        <v>3</v>
      </c>
      <c r="K95" s="53">
        <f t="shared" si="0"/>
        <v>24.523842000000002</v>
      </c>
      <c r="L95" s="54" t="s">
        <v>6020</v>
      </c>
    </row>
    <row r="96" spans="1:12" s="55" customFormat="1" ht="19.5" customHeight="1" x14ac:dyDescent="0.3">
      <c r="A96" s="44"/>
      <c r="B96" s="45"/>
      <c r="C96" s="46"/>
      <c r="D96" s="47"/>
      <c r="E96" s="48"/>
      <c r="F96" s="49"/>
      <c r="G96" s="50" t="s">
        <v>1594</v>
      </c>
      <c r="H96" s="51">
        <v>2438</v>
      </c>
      <c r="I96" s="45">
        <v>3048</v>
      </c>
      <c r="J96" s="52">
        <v>1</v>
      </c>
      <c r="K96" s="53">
        <f t="shared" si="0"/>
        <v>7.4310240000000007</v>
      </c>
      <c r="L96" s="54"/>
    </row>
    <row r="97" spans="1:12" s="55" customFormat="1" ht="19.5" customHeight="1" x14ac:dyDescent="0.3">
      <c r="A97" s="44"/>
      <c r="B97" s="45"/>
      <c r="C97" s="46"/>
      <c r="D97" s="47"/>
      <c r="E97" s="48"/>
      <c r="F97" s="49"/>
      <c r="G97" s="50" t="s">
        <v>1594</v>
      </c>
      <c r="H97" s="51">
        <v>3048</v>
      </c>
      <c r="I97" s="45">
        <v>3658</v>
      </c>
      <c r="J97" s="52">
        <v>4</v>
      </c>
      <c r="K97" s="53">
        <f t="shared" si="0"/>
        <v>44.598336000000003</v>
      </c>
      <c r="L97" s="54"/>
    </row>
    <row r="98" spans="1:12" s="55" customFormat="1" ht="19.5" customHeight="1" x14ac:dyDescent="0.3">
      <c r="A98" s="44"/>
      <c r="B98" s="45"/>
      <c r="C98" s="46"/>
      <c r="D98" s="47"/>
      <c r="E98" s="48"/>
      <c r="F98" s="49"/>
      <c r="G98" s="50" t="s">
        <v>1594</v>
      </c>
      <c r="H98" s="51">
        <v>2134</v>
      </c>
      <c r="I98" s="45">
        <v>3048</v>
      </c>
      <c r="J98" s="52">
        <v>3</v>
      </c>
      <c r="K98" s="53">
        <f t="shared" si="0"/>
        <v>19.513295999999997</v>
      </c>
      <c r="L98" s="54"/>
    </row>
    <row r="99" spans="1:12" s="55" customFormat="1" ht="19.5" customHeight="1" x14ac:dyDescent="0.3">
      <c r="A99" s="44"/>
      <c r="B99" s="45"/>
      <c r="C99" s="46"/>
      <c r="D99" s="47"/>
      <c r="E99" s="48"/>
      <c r="F99" s="49"/>
      <c r="G99" s="50" t="s">
        <v>1594</v>
      </c>
      <c r="H99" s="51">
        <v>2438</v>
      </c>
      <c r="I99" s="45">
        <v>3353</v>
      </c>
      <c r="J99" s="52">
        <v>3</v>
      </c>
      <c r="K99" s="53">
        <f t="shared" si="0"/>
        <v>24.523842000000002</v>
      </c>
      <c r="L99" s="54"/>
    </row>
    <row r="100" spans="1:12" s="55" customFormat="1" ht="19.5" customHeight="1" x14ac:dyDescent="0.3">
      <c r="A100" s="44"/>
      <c r="B100" s="45"/>
      <c r="C100" s="46"/>
      <c r="D100" s="47"/>
      <c r="E100" s="48"/>
      <c r="F100" s="49"/>
      <c r="G100" s="50"/>
      <c r="H100" s="51"/>
      <c r="I100" s="45"/>
      <c r="J100" s="52"/>
      <c r="K100" s="53">
        <f t="shared" si="0"/>
        <v>0</v>
      </c>
      <c r="L100" s="54"/>
    </row>
    <row r="101" spans="1:12" s="55" customFormat="1" ht="19.5" customHeight="1" x14ac:dyDescent="0.3">
      <c r="A101" s="44" t="s">
        <v>6021</v>
      </c>
      <c r="B101" s="45" t="s">
        <v>6022</v>
      </c>
      <c r="C101" s="46">
        <v>25.76</v>
      </c>
      <c r="D101" s="47" t="s">
        <v>6023</v>
      </c>
      <c r="E101" s="48">
        <v>72</v>
      </c>
      <c r="F101" s="49">
        <v>41.76</v>
      </c>
      <c r="G101" s="50" t="s">
        <v>19</v>
      </c>
      <c r="H101" s="51">
        <v>2134</v>
      </c>
      <c r="I101" s="45">
        <v>3048</v>
      </c>
      <c r="J101" s="52">
        <v>7</v>
      </c>
      <c r="K101" s="53">
        <f t="shared" si="0"/>
        <v>45.531023999999995</v>
      </c>
      <c r="L101" s="54"/>
    </row>
    <row r="102" spans="1:12" s="55" customFormat="1" ht="19.5" customHeight="1" x14ac:dyDescent="0.3">
      <c r="A102" s="44"/>
      <c r="B102" s="45"/>
      <c r="C102" s="46"/>
      <c r="D102" s="47"/>
      <c r="E102" s="48"/>
      <c r="F102" s="49"/>
      <c r="G102" s="50"/>
      <c r="H102" s="51"/>
      <c r="I102" s="45"/>
      <c r="J102" s="52"/>
      <c r="K102" s="53">
        <f t="shared" si="0"/>
        <v>0</v>
      </c>
      <c r="L102" s="54"/>
    </row>
    <row r="103" spans="1:12" s="55" customFormat="1" ht="19.5" customHeight="1" x14ac:dyDescent="0.3">
      <c r="A103" s="44" t="s">
        <v>6025</v>
      </c>
      <c r="B103" s="45" t="s">
        <v>6022</v>
      </c>
      <c r="C103" s="46">
        <v>25.76</v>
      </c>
      <c r="D103" s="47" t="s">
        <v>6023</v>
      </c>
      <c r="E103" s="48">
        <v>72</v>
      </c>
      <c r="F103" s="49">
        <v>36.96</v>
      </c>
      <c r="G103" s="50" t="s">
        <v>19</v>
      </c>
      <c r="H103" s="51">
        <v>2134</v>
      </c>
      <c r="I103" s="45">
        <v>3048</v>
      </c>
      <c r="J103" s="52">
        <v>11</v>
      </c>
      <c r="K103" s="53">
        <f t="shared" si="0"/>
        <v>71.548751999999993</v>
      </c>
      <c r="L103" s="54"/>
    </row>
    <row r="104" spans="1:12" s="55" customFormat="1" ht="19.5" customHeight="1" x14ac:dyDescent="0.3">
      <c r="A104" s="44"/>
      <c r="B104" s="45"/>
      <c r="C104" s="77">
        <v>22</v>
      </c>
      <c r="D104" s="47" t="s">
        <v>228</v>
      </c>
      <c r="E104" s="48">
        <v>16</v>
      </c>
      <c r="F104" s="49">
        <v>25.6</v>
      </c>
      <c r="G104" s="50"/>
      <c r="H104" s="51"/>
      <c r="I104" s="45"/>
      <c r="J104" s="52"/>
      <c r="K104" s="53">
        <f t="shared" si="0"/>
        <v>0</v>
      </c>
      <c r="L104" s="54" t="s">
        <v>6024</v>
      </c>
    </row>
    <row r="105" spans="1:12" s="55" customFormat="1" ht="19.5" customHeight="1" x14ac:dyDescent="0.3">
      <c r="A105" s="44"/>
      <c r="B105" s="45"/>
      <c r="C105" s="46"/>
      <c r="D105" s="47"/>
      <c r="E105" s="48"/>
      <c r="F105" s="49"/>
      <c r="G105" s="50"/>
      <c r="H105" s="51"/>
      <c r="I105" s="45"/>
      <c r="J105" s="52"/>
      <c r="K105" s="53">
        <f t="shared" si="0"/>
        <v>0</v>
      </c>
      <c r="L105" s="54"/>
    </row>
    <row r="106" spans="1:12" s="55" customFormat="1" ht="19.5" customHeight="1" x14ac:dyDescent="0.3">
      <c r="A106" s="44"/>
      <c r="B106" s="45"/>
      <c r="C106" s="46"/>
      <c r="D106" s="47"/>
      <c r="E106" s="48"/>
      <c r="F106" s="49"/>
      <c r="G106" s="50"/>
      <c r="H106" s="51"/>
      <c r="I106" s="45"/>
      <c r="J106" s="52"/>
      <c r="K106" s="53">
        <f t="shared" si="0"/>
        <v>0</v>
      </c>
      <c r="L106" s="54"/>
    </row>
    <row r="107" spans="1:12" s="55" customFormat="1" ht="19.5" customHeight="1" x14ac:dyDescent="0.3">
      <c r="A107" s="44"/>
      <c r="B107" s="45"/>
      <c r="C107" s="46"/>
      <c r="D107" s="47"/>
      <c r="E107" s="48"/>
      <c r="F107" s="49"/>
      <c r="G107" s="50"/>
      <c r="H107" s="51"/>
      <c r="I107" s="45"/>
      <c r="J107" s="52"/>
      <c r="K107" s="53">
        <f t="shared" si="0"/>
        <v>0</v>
      </c>
      <c r="L107" s="54"/>
    </row>
    <row r="108" spans="1:12" s="55" customFormat="1" ht="19.5" customHeight="1" x14ac:dyDescent="0.3">
      <c r="A108" s="44"/>
      <c r="B108" s="45"/>
      <c r="C108" s="46"/>
      <c r="D108" s="47"/>
      <c r="E108" s="48"/>
      <c r="F108" s="49"/>
      <c r="G108" s="50"/>
      <c r="H108" s="51"/>
      <c r="I108" s="45"/>
      <c r="J108" s="52"/>
      <c r="K108" s="53">
        <f t="shared" si="0"/>
        <v>0</v>
      </c>
      <c r="L108" s="54"/>
    </row>
    <row r="109" spans="1:12" s="55" customFormat="1" ht="19.5" customHeight="1" x14ac:dyDescent="0.3">
      <c r="A109" s="44"/>
      <c r="B109" s="45"/>
      <c r="C109" s="46"/>
      <c r="D109" s="47"/>
      <c r="E109" s="48"/>
      <c r="F109" s="49"/>
      <c r="G109" s="50"/>
      <c r="H109" s="51"/>
      <c r="I109" s="45"/>
      <c r="J109" s="52"/>
      <c r="K109" s="53">
        <f t="shared" si="0"/>
        <v>0</v>
      </c>
      <c r="L109" s="54"/>
    </row>
    <row r="110" spans="1:12" s="59" customFormat="1" ht="20.100000000000001" customHeight="1" x14ac:dyDescent="0.3">
      <c r="A110" s="44"/>
      <c r="B110" s="45"/>
      <c r="C110" s="46"/>
      <c r="D110" s="47"/>
      <c r="E110" s="56"/>
      <c r="F110" s="57"/>
      <c r="G110" s="50"/>
      <c r="H110" s="51"/>
      <c r="I110" s="45"/>
      <c r="J110" s="52"/>
      <c r="K110" s="53">
        <f t="shared" si="0"/>
        <v>0</v>
      </c>
      <c r="L110" s="58">
        <f>SUM(J64:J111)</f>
        <v>150</v>
      </c>
    </row>
    <row r="111" spans="1:12" s="59" customFormat="1" ht="20.100000000000001" customHeight="1" x14ac:dyDescent="0.3">
      <c r="A111" s="44"/>
      <c r="B111" s="45"/>
      <c r="C111" s="46"/>
      <c r="D111" s="47"/>
      <c r="E111" s="60"/>
      <c r="F111" s="61"/>
      <c r="G111" s="62"/>
      <c r="H111" s="51"/>
      <c r="I111" s="45"/>
      <c r="J111" s="63"/>
      <c r="K111" s="53">
        <f t="shared" si="0"/>
        <v>0</v>
      </c>
      <c r="L111" s="64">
        <f>SUM(K64:K111)</f>
        <v>1052.7192409999998</v>
      </c>
    </row>
    <row r="112" spans="1:12" s="59" customFormat="1" ht="20.100000000000001" customHeight="1" thickBot="1" x14ac:dyDescent="0.35">
      <c r="A112" s="114"/>
      <c r="B112" s="115"/>
      <c r="C112" s="115"/>
      <c r="D112" s="115"/>
      <c r="E112" s="115"/>
      <c r="F112" s="115"/>
      <c r="G112" s="115"/>
      <c r="H112" s="115"/>
      <c r="I112" s="115"/>
      <c r="J112" s="65">
        <f>SUM(J7:J111)</f>
        <v>293</v>
      </c>
      <c r="K112" s="66">
        <f>SUM(K7:K111)</f>
        <v>2081.5487460000004</v>
      </c>
      <c r="L112" s="67"/>
    </row>
    <row r="113" spans="1:12" s="59" customFormat="1" ht="20.100000000000001" customHeight="1" thickTop="1" thickBot="1" x14ac:dyDescent="0.35">
      <c r="A113" s="116" t="s">
        <v>52</v>
      </c>
      <c r="B113" s="117"/>
      <c r="C113" s="68"/>
      <c r="D113" s="118">
        <f>J112</f>
        <v>293</v>
      </c>
      <c r="E113" s="119"/>
      <c r="F113" s="119"/>
      <c r="G113" s="120"/>
      <c r="H113" s="121"/>
      <c r="I113" s="121"/>
      <c r="J113" s="122"/>
      <c r="K113" s="119"/>
      <c r="L113" s="123"/>
    </row>
    <row r="114" spans="1:12" s="59" customFormat="1" ht="20.100000000000001" customHeight="1" x14ac:dyDescent="0.3">
      <c r="A114" s="69"/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71"/>
    </row>
    <row r="115" spans="1:12" s="59" customFormat="1" ht="20.100000000000001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s="59" customFormat="1" ht="20.100000000000001" customHeight="1" x14ac:dyDescent="0.3">
      <c r="A116" s="69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s="59" customFormat="1" ht="20.100000000000001" customHeight="1" x14ac:dyDescent="0.3">
      <c r="A117" s="69"/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59" customFormat="1" ht="20.100000000000001" customHeight="1" x14ac:dyDescent="0.3">
      <c r="A118" s="113"/>
      <c r="B118" s="113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59" customFormat="1" ht="20.100000000000001" customHeight="1" x14ac:dyDescent="0.3">
      <c r="A119" s="113"/>
      <c r="B119" s="113"/>
      <c r="C119" s="5"/>
      <c r="D119" s="5"/>
      <c r="E119" s="72"/>
      <c r="F119" s="5"/>
      <c r="G119" s="5"/>
      <c r="H119" s="5"/>
      <c r="I119" s="5"/>
      <c r="J119" s="5"/>
      <c r="K119" s="5"/>
      <c r="L119" s="5"/>
    </row>
    <row r="120" spans="1:12" s="59" customFormat="1" ht="20.100000000000001" customHeight="1" x14ac:dyDescent="0.3">
      <c r="A120" s="113"/>
      <c r="B120" s="113"/>
      <c r="C120" s="5"/>
      <c r="D120" s="5"/>
      <c r="E120" s="5"/>
      <c r="F120" s="5"/>
      <c r="G120" s="73"/>
      <c r="H120" s="5"/>
      <c r="I120" s="74"/>
      <c r="J120" s="5"/>
      <c r="K120" s="5"/>
      <c r="L120" s="5"/>
    </row>
    <row r="121" spans="1:12" s="59" customFormat="1" ht="20.100000000000001" customHeight="1" x14ac:dyDescent="0.3">
      <c r="A121" s="113"/>
      <c r="B121" s="113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59" customFormat="1" ht="20.100000000000001" customHeight="1" x14ac:dyDescent="0.3">
      <c r="A122" s="69"/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59" customFormat="1" ht="20.100000000000001" customHeight="1" x14ac:dyDescent="0.3">
      <c r="A123" s="113"/>
      <c r="B123" s="113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59" customFormat="1" ht="20.100000000000001" customHeight="1" x14ac:dyDescent="0.3">
      <c r="A124" s="113"/>
      <c r="B124" s="113"/>
      <c r="C124" s="5"/>
      <c r="D124" s="5"/>
      <c r="E124" s="5"/>
      <c r="F124" s="70"/>
      <c r="G124" s="5"/>
      <c r="H124" s="72"/>
      <c r="I124" s="72"/>
      <c r="J124" s="5"/>
      <c r="K124" s="5"/>
      <c r="L124" s="5"/>
    </row>
    <row r="125" spans="1:12" ht="20.100000000000001" customHeight="1" x14ac:dyDescent="0.3">
      <c r="A125" s="113"/>
      <c r="B125" s="113"/>
      <c r="H125" s="72"/>
      <c r="I125" s="72"/>
    </row>
    <row r="126" spans="1:12" ht="20.100000000000001" customHeight="1" x14ac:dyDescent="0.3">
      <c r="H126" s="72"/>
      <c r="I126" s="72"/>
    </row>
    <row r="127" spans="1:12" ht="20.100000000000001" customHeight="1" x14ac:dyDescent="0.3">
      <c r="H127" s="72"/>
      <c r="I127" s="72"/>
    </row>
    <row r="128" spans="1:12" ht="20.100000000000001" customHeight="1" x14ac:dyDescent="0.3">
      <c r="A128" s="113"/>
      <c r="B128" s="113"/>
      <c r="H128" s="72"/>
      <c r="I128" s="72"/>
    </row>
    <row r="129" spans="1:12" ht="20.100000000000001" customHeight="1" x14ac:dyDescent="0.3">
      <c r="A129" s="113"/>
      <c r="B129" s="113"/>
      <c r="H129" s="72"/>
      <c r="I129" s="72"/>
    </row>
    <row r="130" spans="1:12" ht="20.100000000000001" customHeight="1" x14ac:dyDescent="0.3">
      <c r="H130" s="72"/>
      <c r="I130" s="72"/>
    </row>
    <row r="131" spans="1:12" ht="20.100000000000001" customHeight="1" x14ac:dyDescent="0.3">
      <c r="H131" s="72"/>
      <c r="I131" s="72"/>
    </row>
    <row r="132" spans="1:12" ht="20.100000000000001" customHeight="1" x14ac:dyDescent="0.3">
      <c r="H132" s="72"/>
      <c r="I132" s="72"/>
    </row>
    <row r="133" spans="1:12" s="72" customFormat="1" ht="20.100000000000001" customHeight="1" x14ac:dyDescent="0.3">
      <c r="A133" s="69"/>
      <c r="B133" s="5"/>
      <c r="C133" s="5"/>
      <c r="D133" s="5"/>
      <c r="E133" s="5"/>
      <c r="F133" s="70"/>
      <c r="G133" s="5"/>
      <c r="J133" s="5"/>
      <c r="K133" s="5"/>
      <c r="L133" s="5"/>
    </row>
    <row r="134" spans="1:12" s="72" customFormat="1" ht="20.100000000000001" customHeight="1" x14ac:dyDescent="0.3">
      <c r="A134" s="69"/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1:12" s="75" customFormat="1" ht="20.100000000000001" customHeight="1" x14ac:dyDescent="0.3">
      <c r="A135" s="69"/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1:12" s="75" customFormat="1" ht="20.100000000000001" customHeight="1" x14ac:dyDescent="0.3">
      <c r="A136" s="69"/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1:12" s="75" customFormat="1" ht="19.5" customHeight="1" x14ac:dyDescent="0.3">
      <c r="A137" s="69"/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1:12" s="72" customFormat="1" ht="20.100000000000001" customHeight="1" x14ac:dyDescent="0.3">
      <c r="A138" s="69"/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1:12" s="72" customFormat="1" ht="20.100000000000001" customHeight="1" x14ac:dyDescent="0.3">
      <c r="A139" s="69"/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1:12" ht="19.5" customHeight="1" x14ac:dyDescent="0.3"/>
    <row r="141" spans="1:12" ht="19.5" customHeight="1" x14ac:dyDescent="0.3"/>
    <row r="142" spans="1:12" ht="19.5" customHeight="1" x14ac:dyDescent="0.3"/>
    <row r="143" spans="1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1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ht="19.5" customHeight="1" x14ac:dyDescent="0.3"/>
    <row r="160" spans="2:12" ht="19.5" customHeight="1" x14ac:dyDescent="0.3"/>
    <row r="161" spans="2:12" ht="19.5" customHeight="1" x14ac:dyDescent="0.3"/>
    <row r="162" spans="2:12" ht="19.5" customHeight="1" x14ac:dyDescent="0.3"/>
    <row r="163" spans="2:12" ht="19.5" customHeight="1" x14ac:dyDescent="0.3"/>
    <row r="164" spans="2:12" ht="19.5" customHeight="1" x14ac:dyDescent="0.3"/>
    <row r="165" spans="2:12" ht="19.5" customHeight="1" x14ac:dyDescent="0.3"/>
    <row r="166" spans="2:12" ht="19.5" customHeight="1" x14ac:dyDescent="0.3"/>
    <row r="167" spans="2:12" ht="19.5" customHeight="1" x14ac:dyDescent="0.3"/>
    <row r="168" spans="2:12" ht="19.5" customHeight="1" x14ac:dyDescent="0.3"/>
    <row r="169" spans="2:12" ht="19.5" customHeight="1" x14ac:dyDescent="0.3"/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  <row r="185" spans="2:12" s="69" customFormat="1" ht="19.5" customHeight="1" x14ac:dyDescent="0.3">
      <c r="B185" s="5"/>
      <c r="C185" s="5"/>
      <c r="D185" s="5"/>
      <c r="E185" s="5"/>
      <c r="F185" s="70"/>
      <c r="G185" s="5"/>
      <c r="H185" s="5"/>
      <c r="I185" s="5"/>
      <c r="J185" s="5"/>
      <c r="K185" s="5"/>
      <c r="L185" s="5"/>
    </row>
    <row r="186" spans="2:12" s="69" customFormat="1" ht="19.5" customHeight="1" x14ac:dyDescent="0.3">
      <c r="B186" s="5"/>
      <c r="C186" s="5"/>
      <c r="D186" s="5"/>
      <c r="E186" s="5"/>
      <c r="F186" s="70"/>
      <c r="G186" s="5"/>
      <c r="H186" s="5"/>
      <c r="I186" s="5"/>
      <c r="J186" s="5"/>
      <c r="K186" s="5"/>
      <c r="L186" s="5"/>
    </row>
    <row r="187" spans="2:12" s="69" customFormat="1" ht="19.5" customHeight="1" x14ac:dyDescent="0.3">
      <c r="B187" s="5"/>
      <c r="C187" s="5"/>
      <c r="D187" s="5"/>
      <c r="E187" s="5"/>
      <c r="F187" s="70"/>
      <c r="G187" s="5"/>
      <c r="H187" s="5"/>
      <c r="I187" s="5"/>
      <c r="J187" s="5"/>
      <c r="K187" s="5"/>
      <c r="L187" s="5"/>
    </row>
    <row r="188" spans="2:12" s="69" customFormat="1" ht="19.5" customHeight="1" x14ac:dyDescent="0.3">
      <c r="B188" s="5"/>
      <c r="C188" s="5"/>
      <c r="D188" s="5"/>
      <c r="E188" s="5"/>
      <c r="F188" s="70"/>
      <c r="G188" s="5"/>
      <c r="H188" s="5"/>
      <c r="I188" s="5"/>
      <c r="J188" s="5"/>
      <c r="K188" s="5"/>
      <c r="L188" s="5"/>
    </row>
    <row r="189" spans="2:12" s="69" customFormat="1" ht="19.5" customHeight="1" x14ac:dyDescent="0.3">
      <c r="B189" s="5"/>
      <c r="C189" s="5"/>
      <c r="D189" s="5"/>
      <c r="E189" s="5"/>
      <c r="F189" s="70"/>
      <c r="G189" s="5"/>
      <c r="H189" s="5"/>
      <c r="I189" s="5"/>
      <c r="J189" s="5"/>
      <c r="K189" s="5"/>
      <c r="L189" s="5"/>
    </row>
    <row r="190" spans="2:12" s="69" customFormat="1" ht="19.5" customHeight="1" x14ac:dyDescent="0.3">
      <c r="B190" s="5"/>
      <c r="C190" s="5"/>
      <c r="D190" s="5"/>
      <c r="E190" s="5"/>
      <c r="F190" s="70"/>
      <c r="G190" s="5"/>
      <c r="H190" s="5"/>
      <c r="I190" s="5"/>
      <c r="J190" s="5"/>
      <c r="K190" s="5"/>
      <c r="L190" s="5"/>
    </row>
    <row r="191" spans="2:12" s="69" customFormat="1" ht="19.5" customHeight="1" x14ac:dyDescent="0.3">
      <c r="B191" s="5"/>
      <c r="C191" s="5"/>
      <c r="D191" s="5"/>
      <c r="E191" s="5"/>
      <c r="F191" s="70"/>
      <c r="G191" s="5"/>
      <c r="H191" s="5"/>
      <c r="I191" s="5"/>
      <c r="J191" s="5"/>
      <c r="K191" s="5"/>
      <c r="L191" s="5"/>
    </row>
    <row r="192" spans="2:12" s="69" customFormat="1" ht="19.5" customHeight="1" x14ac:dyDescent="0.3">
      <c r="B192" s="5"/>
      <c r="C192" s="5"/>
      <c r="D192" s="5"/>
      <c r="E192" s="5"/>
      <c r="F192" s="70"/>
      <c r="G192" s="5"/>
      <c r="H192" s="5"/>
      <c r="I192" s="5"/>
      <c r="J192" s="5"/>
      <c r="K192" s="5"/>
      <c r="L192" s="5"/>
    </row>
    <row r="193" spans="2:12" s="69" customFormat="1" ht="19.5" customHeight="1" x14ac:dyDescent="0.3">
      <c r="B193" s="5"/>
      <c r="C193" s="5"/>
      <c r="D193" s="5"/>
      <c r="E193" s="5"/>
      <c r="F193" s="70"/>
      <c r="G193" s="5"/>
      <c r="H193" s="5"/>
      <c r="I193" s="5"/>
      <c r="J193" s="5"/>
      <c r="K193" s="5"/>
      <c r="L193" s="5"/>
    </row>
    <row r="194" spans="2:12" s="69" customFormat="1" ht="19.5" customHeight="1" x14ac:dyDescent="0.3">
      <c r="B194" s="5"/>
      <c r="C194" s="5"/>
      <c r="D194" s="5"/>
      <c r="E194" s="5"/>
      <c r="F194" s="70"/>
      <c r="G194" s="5"/>
      <c r="H194" s="5"/>
      <c r="I194" s="5"/>
      <c r="J194" s="5"/>
      <c r="K194" s="5"/>
      <c r="L194" s="5"/>
    </row>
    <row r="195" spans="2:12" s="69" customFormat="1" ht="19.5" customHeight="1" x14ac:dyDescent="0.3">
      <c r="B195" s="5"/>
      <c r="C195" s="5"/>
      <c r="D195" s="5"/>
      <c r="E195" s="5"/>
      <c r="F195" s="70"/>
      <c r="G195" s="5"/>
      <c r="H195" s="5"/>
      <c r="I195" s="5"/>
      <c r="J195" s="5"/>
      <c r="K195" s="5"/>
      <c r="L195" s="5"/>
    </row>
    <row r="196" spans="2:12" s="69" customFormat="1" ht="19.5" customHeight="1" x14ac:dyDescent="0.3">
      <c r="B196" s="5"/>
      <c r="C196" s="5"/>
      <c r="D196" s="5"/>
      <c r="E196" s="5"/>
      <c r="F196" s="70"/>
      <c r="G196" s="5"/>
      <c r="H196" s="5"/>
      <c r="I196" s="5"/>
      <c r="J196" s="5"/>
      <c r="K196" s="5"/>
      <c r="L196" s="5"/>
    </row>
    <row r="197" spans="2:12" s="69" customFormat="1" ht="19.5" customHeight="1" x14ac:dyDescent="0.3">
      <c r="B197" s="5"/>
      <c r="C197" s="5"/>
      <c r="D197" s="5"/>
      <c r="E197" s="5"/>
      <c r="F197" s="70"/>
      <c r="G197" s="5"/>
      <c r="H197" s="5"/>
      <c r="I197" s="5"/>
      <c r="J197" s="5"/>
      <c r="K197" s="5"/>
      <c r="L197" s="5"/>
    </row>
    <row r="198" spans="2:12" s="69" customFormat="1" ht="19.5" customHeight="1" x14ac:dyDescent="0.3">
      <c r="B198" s="5"/>
      <c r="C198" s="5"/>
      <c r="D198" s="5"/>
      <c r="E198" s="5"/>
      <c r="F198" s="70"/>
      <c r="G198" s="5"/>
      <c r="H198" s="5"/>
      <c r="I198" s="5"/>
      <c r="J198" s="5"/>
      <c r="K198" s="5"/>
      <c r="L198" s="5"/>
    </row>
    <row r="199" spans="2:12" s="69" customFormat="1" ht="19.5" customHeight="1" x14ac:dyDescent="0.3">
      <c r="B199" s="5"/>
      <c r="C199" s="5"/>
      <c r="D199" s="5"/>
      <c r="E199" s="5"/>
      <c r="F199" s="70"/>
      <c r="G199" s="5"/>
      <c r="H199" s="5"/>
      <c r="I199" s="5"/>
      <c r="J199" s="5"/>
      <c r="K199" s="5"/>
      <c r="L199" s="5"/>
    </row>
    <row r="200" spans="2:12" s="69" customFormat="1" ht="19.5" customHeight="1" x14ac:dyDescent="0.3">
      <c r="B200" s="5"/>
      <c r="C200" s="5"/>
      <c r="D200" s="5"/>
      <c r="E200" s="5"/>
      <c r="F200" s="70"/>
      <c r="G200" s="5"/>
      <c r="H200" s="5"/>
      <c r="I200" s="5"/>
      <c r="J200" s="5"/>
      <c r="K200" s="5"/>
      <c r="L200" s="5"/>
    </row>
    <row r="201" spans="2:12" s="69" customFormat="1" ht="19.5" customHeight="1" x14ac:dyDescent="0.3">
      <c r="B201" s="5"/>
      <c r="C201" s="5"/>
      <c r="D201" s="5"/>
      <c r="E201" s="5"/>
      <c r="F201" s="70"/>
      <c r="G201" s="5"/>
      <c r="H201" s="5"/>
      <c r="I201" s="5"/>
      <c r="J201" s="5"/>
      <c r="K201" s="5"/>
      <c r="L201" s="5"/>
    </row>
    <row r="202" spans="2:12" s="69" customFormat="1" ht="19.5" customHeight="1" x14ac:dyDescent="0.3">
      <c r="B202" s="5"/>
      <c r="C202" s="5"/>
      <c r="D202" s="5"/>
      <c r="E202" s="5"/>
      <c r="F202" s="70"/>
      <c r="G202" s="5"/>
      <c r="H202" s="5"/>
      <c r="I202" s="5"/>
      <c r="J202" s="5"/>
      <c r="K202" s="5"/>
      <c r="L202" s="5"/>
    </row>
    <row r="203" spans="2:12" s="69" customFormat="1" ht="19.5" customHeight="1" x14ac:dyDescent="0.3">
      <c r="B203" s="5"/>
      <c r="C203" s="5"/>
      <c r="D203" s="5"/>
      <c r="E203" s="5"/>
      <c r="F203" s="70"/>
      <c r="G203" s="5"/>
      <c r="H203" s="5"/>
      <c r="I203" s="5"/>
      <c r="J203" s="5"/>
      <c r="K203" s="5"/>
      <c r="L203" s="5"/>
    </row>
  </sheetData>
  <mergeCells count="30">
    <mergeCell ref="A128:B128"/>
    <mergeCell ref="A129:B129"/>
    <mergeCell ref="A119:B119"/>
    <mergeCell ref="A120:B120"/>
    <mergeCell ref="A121:B121"/>
    <mergeCell ref="A123:B123"/>
    <mergeCell ref="A124:B124"/>
    <mergeCell ref="A125:B125"/>
    <mergeCell ref="A118:B11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112:I112"/>
    <mergeCell ref="A113:B113"/>
    <mergeCell ref="D113:G113"/>
    <mergeCell ref="H113:J113"/>
    <mergeCell ref="K113:L113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34" orientation="portrait" verticalDpi="3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L159"/>
  <sheetViews>
    <sheetView view="pageBreakPreview" topLeftCell="A52" zoomScale="85" zoomScaleNormal="100" zoomScaleSheetLayoutView="85" workbookViewId="0">
      <selection activeCell="L66" sqref="L66:L6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46207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7" si="0">(H7/1000*I7/1000)*J7</f>
        <v>0</v>
      </c>
      <c r="L7" s="26">
        <f>SUM(J7:J31)</f>
        <v>125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SUM(K7:K31)</f>
        <v>831.31264300000009</v>
      </c>
    </row>
    <row r="9" spans="1:12" s="27" customFormat="1" ht="19.5" customHeight="1" x14ac:dyDescent="0.3">
      <c r="A9" s="28" t="s">
        <v>5915</v>
      </c>
      <c r="B9" s="16" t="s">
        <v>3691</v>
      </c>
      <c r="C9" s="17">
        <v>22</v>
      </c>
      <c r="D9" s="18" t="s">
        <v>5916</v>
      </c>
      <c r="E9" s="41">
        <v>2</v>
      </c>
      <c r="F9" s="42">
        <v>6.5</v>
      </c>
      <c r="G9" s="34" t="s">
        <v>5917</v>
      </c>
      <c r="H9" s="35">
        <v>1981</v>
      </c>
      <c r="I9" s="36">
        <v>3353</v>
      </c>
      <c r="J9" s="37">
        <v>1</v>
      </c>
      <c r="K9" s="85">
        <f t="shared" si="0"/>
        <v>6.6422930000000004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19</v>
      </c>
      <c r="H10" s="35">
        <v>1981</v>
      </c>
      <c r="I10" s="36">
        <v>3353</v>
      </c>
      <c r="J10" s="37">
        <v>1</v>
      </c>
      <c r="K10" s="85">
        <f t="shared" si="0"/>
        <v>6.6422930000000004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 t="s">
        <v>5757</v>
      </c>
      <c r="B12" s="16" t="s">
        <v>5918</v>
      </c>
      <c r="C12" s="17">
        <v>22</v>
      </c>
      <c r="D12" s="18" t="s">
        <v>5916</v>
      </c>
      <c r="E12" s="41">
        <v>1</v>
      </c>
      <c r="F12" s="42">
        <v>2.2200000000000002</v>
      </c>
      <c r="G12" s="34" t="s">
        <v>19</v>
      </c>
      <c r="H12" s="35">
        <v>2134</v>
      </c>
      <c r="I12" s="36">
        <v>3353</v>
      </c>
      <c r="J12" s="37">
        <v>1</v>
      </c>
      <c r="K12" s="85">
        <f t="shared" si="0"/>
        <v>7.1553019999999998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5917</v>
      </c>
      <c r="H13" s="35">
        <v>1981</v>
      </c>
      <c r="I13" s="36">
        <v>3353</v>
      </c>
      <c r="J13" s="37">
        <v>1</v>
      </c>
      <c r="K13" s="85">
        <f t="shared" si="0"/>
        <v>6.6422930000000004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 t="shared" si="0"/>
        <v>0</v>
      </c>
      <c r="L14" s="39"/>
    </row>
    <row r="15" spans="1:12" s="27" customFormat="1" ht="19.5" customHeight="1" x14ac:dyDescent="0.3">
      <c r="A15" s="28" t="s">
        <v>5792</v>
      </c>
      <c r="B15" s="16" t="s">
        <v>2662</v>
      </c>
      <c r="C15" s="17">
        <v>22</v>
      </c>
      <c r="D15" s="18" t="s">
        <v>5925</v>
      </c>
      <c r="E15" s="41">
        <v>24</v>
      </c>
      <c r="F15" s="42">
        <v>77.52</v>
      </c>
      <c r="G15" s="34" t="s">
        <v>18</v>
      </c>
      <c r="H15" s="35">
        <v>1981</v>
      </c>
      <c r="I15" s="36">
        <v>3353</v>
      </c>
      <c r="J15" s="37">
        <v>11</v>
      </c>
      <c r="K15" s="85">
        <f t="shared" si="0"/>
        <v>73.065223000000003</v>
      </c>
      <c r="L15" s="39" t="s">
        <v>5928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 t="s">
        <v>5926</v>
      </c>
      <c r="B17" s="16" t="s">
        <v>2662</v>
      </c>
      <c r="C17" s="17">
        <v>22</v>
      </c>
      <c r="D17" s="18" t="s">
        <v>5925</v>
      </c>
      <c r="E17" s="41">
        <v>324</v>
      </c>
      <c r="F17" s="42">
        <v>271.68</v>
      </c>
      <c r="G17" s="34" t="s">
        <v>216</v>
      </c>
      <c r="H17" s="35">
        <v>1981</v>
      </c>
      <c r="I17" s="36">
        <v>3353</v>
      </c>
      <c r="J17" s="37">
        <v>41</v>
      </c>
      <c r="K17" s="85">
        <f t="shared" si="0"/>
        <v>272.33401300000003</v>
      </c>
      <c r="L17" s="39" t="s">
        <v>5927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</row>
    <row r="19" spans="1:12" s="27" customFormat="1" ht="19.5" customHeight="1" x14ac:dyDescent="0.3">
      <c r="A19" s="28" t="s">
        <v>5791</v>
      </c>
      <c r="B19" s="16" t="s">
        <v>2662</v>
      </c>
      <c r="C19" s="17">
        <v>22</v>
      </c>
      <c r="D19" s="18" t="s">
        <v>5929</v>
      </c>
      <c r="E19" s="41">
        <v>156</v>
      </c>
      <c r="F19" s="42">
        <v>96.68</v>
      </c>
      <c r="G19" s="34" t="s">
        <v>5930</v>
      </c>
      <c r="H19" s="35">
        <v>1981</v>
      </c>
      <c r="I19" s="36">
        <v>3353</v>
      </c>
      <c r="J19" s="37">
        <v>15</v>
      </c>
      <c r="K19" s="85">
        <f t="shared" si="0"/>
        <v>99.634395000000012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 t="s">
        <v>5930</v>
      </c>
      <c r="H20" s="35">
        <v>2134</v>
      </c>
      <c r="I20" s="36">
        <v>3353</v>
      </c>
      <c r="J20" s="37">
        <v>1</v>
      </c>
      <c r="K20" s="85">
        <f t="shared" si="0"/>
        <v>7.1553019999999998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 t="s">
        <v>216</v>
      </c>
      <c r="H21" s="35">
        <v>1981</v>
      </c>
      <c r="I21" s="36">
        <v>3353</v>
      </c>
      <c r="J21" s="37">
        <v>16</v>
      </c>
      <c r="K21" s="85">
        <f t="shared" si="0"/>
        <v>106.27668800000001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/>
      <c r="B23" s="16"/>
      <c r="C23" s="17">
        <v>22</v>
      </c>
      <c r="D23" s="18" t="s">
        <v>17</v>
      </c>
      <c r="E23" s="41">
        <v>176</v>
      </c>
      <c r="F23" s="42">
        <v>147.36000000000001</v>
      </c>
      <c r="G23" s="34" t="s">
        <v>216</v>
      </c>
      <c r="H23" s="35">
        <v>1981</v>
      </c>
      <c r="I23" s="36">
        <v>3353</v>
      </c>
      <c r="J23" s="37">
        <v>22</v>
      </c>
      <c r="K23" s="85">
        <f t="shared" si="0"/>
        <v>146.13044600000001</v>
      </c>
      <c r="L23" s="39" t="s">
        <v>106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/>
      <c r="B25" s="16"/>
      <c r="C25" s="17">
        <v>22</v>
      </c>
      <c r="D25" s="18" t="s">
        <v>17</v>
      </c>
      <c r="E25" s="41">
        <f>176-24</f>
        <v>152</v>
      </c>
      <c r="F25" s="42">
        <f>147.36-38.76-17.88</f>
        <v>90.720000000000027</v>
      </c>
      <c r="G25" s="34" t="s">
        <v>5931</v>
      </c>
      <c r="H25" s="35">
        <v>1981</v>
      </c>
      <c r="I25" s="36">
        <v>3353</v>
      </c>
      <c r="J25" s="37">
        <v>15</v>
      </c>
      <c r="K25" s="85">
        <f t="shared" si="0"/>
        <v>99.634395000000012</v>
      </c>
      <c r="L25" s="39" t="s">
        <v>5932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/>
      <c r="B31" s="29"/>
      <c r="C31" s="30"/>
      <c r="D31" s="31"/>
      <c r="E31" s="41"/>
      <c r="F31" s="42"/>
      <c r="G31" s="43"/>
      <c r="H31" s="35"/>
      <c r="I31" s="36"/>
      <c r="J31" s="37"/>
      <c r="K31" s="25">
        <f t="shared" si="0"/>
        <v>0</v>
      </c>
      <c r="L31" s="39"/>
    </row>
    <row r="32" spans="1:12" s="55" customFormat="1" ht="19.5" customHeight="1" x14ac:dyDescent="0.3">
      <c r="A32" s="44" t="s">
        <v>5230</v>
      </c>
      <c r="B32" s="45" t="s">
        <v>1213</v>
      </c>
      <c r="C32" s="46">
        <v>24</v>
      </c>
      <c r="D32" s="47" t="s">
        <v>5903</v>
      </c>
      <c r="E32" s="48">
        <v>1</v>
      </c>
      <c r="F32" s="49">
        <v>3.14</v>
      </c>
      <c r="G32" s="50" t="s">
        <v>39</v>
      </c>
      <c r="H32" s="51">
        <v>2134</v>
      </c>
      <c r="I32" s="45">
        <v>3353</v>
      </c>
      <c r="J32" s="52">
        <v>1</v>
      </c>
      <c r="K32" s="53">
        <f t="shared" si="0"/>
        <v>7.1553019999999998</v>
      </c>
      <c r="L32" s="54" t="s">
        <v>5904</v>
      </c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5909</v>
      </c>
      <c r="B34" s="45" t="s">
        <v>5221</v>
      </c>
      <c r="C34" s="46">
        <v>43</v>
      </c>
      <c r="D34" s="47" t="s">
        <v>5910</v>
      </c>
      <c r="E34" s="48">
        <v>15</v>
      </c>
      <c r="F34" s="49">
        <v>22.18</v>
      </c>
      <c r="G34" s="50" t="s">
        <v>18</v>
      </c>
      <c r="H34" s="51">
        <v>2438</v>
      </c>
      <c r="I34" s="45">
        <v>3353</v>
      </c>
      <c r="J34" s="52">
        <v>3</v>
      </c>
      <c r="K34" s="53">
        <f t="shared" ref="K34" si="1">(H34/1000*I34/1000)*J34</f>
        <v>24.523842000000002</v>
      </c>
      <c r="L34" s="54" t="s">
        <v>100</v>
      </c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/>
      <c r="B36" s="45"/>
      <c r="C36" s="46">
        <v>24</v>
      </c>
      <c r="D36" s="47" t="s">
        <v>289</v>
      </c>
      <c r="E36" s="48">
        <v>56</v>
      </c>
      <c r="F36" s="49">
        <v>30.75</v>
      </c>
      <c r="G36" s="50" t="s">
        <v>18</v>
      </c>
      <c r="H36" s="51">
        <v>2134</v>
      </c>
      <c r="I36" s="45">
        <v>3353</v>
      </c>
      <c r="J36" s="52">
        <v>5</v>
      </c>
      <c r="K36" s="53">
        <f t="shared" ref="K36" si="2">(H36/1000*I36/1000)*J36</f>
        <v>35.776510000000002</v>
      </c>
      <c r="L36" s="54" t="s">
        <v>100</v>
      </c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5911</v>
      </c>
      <c r="B39" s="45" t="s">
        <v>5221</v>
      </c>
      <c r="C39" s="46">
        <v>43</v>
      </c>
      <c r="D39" s="47" t="s">
        <v>5910</v>
      </c>
      <c r="E39" s="48">
        <v>15</v>
      </c>
      <c r="F39" s="49">
        <v>22.53</v>
      </c>
      <c r="G39" s="50" t="s">
        <v>18</v>
      </c>
      <c r="H39" s="51">
        <v>2438</v>
      </c>
      <c r="I39" s="45">
        <v>3353</v>
      </c>
      <c r="J39" s="52">
        <v>3</v>
      </c>
      <c r="K39" s="53">
        <f t="shared" si="0"/>
        <v>24.523842000000002</v>
      </c>
      <c r="L39" s="54" t="s">
        <v>100</v>
      </c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/>
      <c r="B41" s="45"/>
      <c r="C41" s="46">
        <v>24</v>
      </c>
      <c r="D41" s="47" t="s">
        <v>289</v>
      </c>
      <c r="E41" s="48">
        <v>56</v>
      </c>
      <c r="F41" s="49">
        <v>31.18</v>
      </c>
      <c r="G41" s="50" t="s">
        <v>18</v>
      </c>
      <c r="H41" s="51">
        <v>2134</v>
      </c>
      <c r="I41" s="45">
        <v>3353</v>
      </c>
      <c r="J41" s="52">
        <v>5</v>
      </c>
      <c r="K41" s="53">
        <f t="shared" si="0"/>
        <v>35.776510000000002</v>
      </c>
      <c r="L41" s="54" t="s">
        <v>100</v>
      </c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5912</v>
      </c>
      <c r="B43" s="45" t="s">
        <v>5221</v>
      </c>
      <c r="C43" s="46">
        <v>43</v>
      </c>
      <c r="D43" s="47" t="s">
        <v>5910</v>
      </c>
      <c r="E43" s="48">
        <v>33</v>
      </c>
      <c r="F43" s="49">
        <v>50.92</v>
      </c>
      <c r="G43" s="50" t="s">
        <v>18</v>
      </c>
      <c r="H43" s="51">
        <v>2134</v>
      </c>
      <c r="I43" s="45">
        <v>3353</v>
      </c>
      <c r="J43" s="52">
        <v>7</v>
      </c>
      <c r="K43" s="53">
        <f t="shared" si="0"/>
        <v>50.087114</v>
      </c>
      <c r="L43" s="54" t="s">
        <v>100</v>
      </c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/>
      <c r="B45" s="45"/>
      <c r="C45" s="46">
        <v>24</v>
      </c>
      <c r="D45" s="47" t="s">
        <v>289</v>
      </c>
      <c r="E45" s="48">
        <v>120</v>
      </c>
      <c r="F45" s="49">
        <v>67.03</v>
      </c>
      <c r="G45" s="50" t="s">
        <v>18</v>
      </c>
      <c r="H45" s="51">
        <v>2134</v>
      </c>
      <c r="I45" s="45">
        <v>3353</v>
      </c>
      <c r="J45" s="52">
        <v>10</v>
      </c>
      <c r="K45" s="53">
        <f t="shared" si="0"/>
        <v>71.553020000000004</v>
      </c>
      <c r="L45" s="54" t="s">
        <v>100</v>
      </c>
    </row>
    <row r="46" spans="1:12" s="55" customFormat="1" ht="19.5" customHeight="1" x14ac:dyDescent="0.3">
      <c r="A46" s="44"/>
      <c r="B46" s="76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5892</v>
      </c>
      <c r="B47" s="76" t="s">
        <v>21</v>
      </c>
      <c r="C47" s="77">
        <v>25.76</v>
      </c>
      <c r="D47" s="47" t="s">
        <v>2620</v>
      </c>
      <c r="E47" s="48">
        <v>72</v>
      </c>
      <c r="F47" s="49">
        <v>41.76</v>
      </c>
      <c r="G47" s="50" t="s">
        <v>19</v>
      </c>
      <c r="H47" s="51">
        <v>2134</v>
      </c>
      <c r="I47" s="45">
        <v>3048</v>
      </c>
      <c r="J47" s="52">
        <v>7</v>
      </c>
      <c r="K47" s="53">
        <f t="shared" si="0"/>
        <v>45.531023999999995</v>
      </c>
      <c r="L47" s="54" t="s">
        <v>5913</v>
      </c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76"/>
      <c r="C49" s="77">
        <v>22</v>
      </c>
      <c r="D49" s="47" t="s">
        <v>17</v>
      </c>
      <c r="E49" s="48">
        <v>168</v>
      </c>
      <c r="F49" s="49">
        <v>152.32</v>
      </c>
      <c r="G49" s="50" t="s">
        <v>18</v>
      </c>
      <c r="H49" s="51">
        <v>1981</v>
      </c>
      <c r="I49" s="45">
        <v>3353</v>
      </c>
      <c r="J49" s="52">
        <v>25</v>
      </c>
      <c r="K49" s="53">
        <f t="shared" si="0"/>
        <v>166.05732500000002</v>
      </c>
      <c r="L49" s="54"/>
    </row>
    <row r="50" spans="1:12" s="55" customFormat="1" ht="19.5" customHeight="1" x14ac:dyDescent="0.3">
      <c r="A50" s="44"/>
      <c r="B50" s="76"/>
      <c r="C50" s="46"/>
      <c r="D50" s="47"/>
      <c r="E50" s="48"/>
      <c r="F50" s="49"/>
      <c r="G50" s="50" t="s">
        <v>19</v>
      </c>
      <c r="H50" s="51">
        <v>1981</v>
      </c>
      <c r="I50" s="45">
        <v>3353</v>
      </c>
      <c r="J50" s="52">
        <v>25</v>
      </c>
      <c r="K50" s="53">
        <f t="shared" si="0"/>
        <v>166.05732500000002</v>
      </c>
      <c r="L50" s="54"/>
    </row>
    <row r="51" spans="1:12" s="55" customFormat="1" ht="19.5" customHeight="1" x14ac:dyDescent="0.3">
      <c r="A51" s="44"/>
      <c r="B51" s="76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5900</v>
      </c>
      <c r="B52" s="76" t="s">
        <v>21</v>
      </c>
      <c r="C52" s="77">
        <v>25.76</v>
      </c>
      <c r="D52" s="47" t="s">
        <v>2620</v>
      </c>
      <c r="E52" s="48">
        <v>28</v>
      </c>
      <c r="F52" s="49">
        <v>16.64</v>
      </c>
      <c r="G52" s="50" t="s">
        <v>19</v>
      </c>
      <c r="H52" s="51">
        <v>2134</v>
      </c>
      <c r="I52" s="45">
        <v>3048</v>
      </c>
      <c r="J52" s="52">
        <v>3</v>
      </c>
      <c r="K52" s="53">
        <f t="shared" si="0"/>
        <v>19.513295999999997</v>
      </c>
      <c r="L52" s="54" t="s">
        <v>5913</v>
      </c>
    </row>
    <row r="53" spans="1:12" s="55" customFormat="1" ht="19.5" customHeight="1" x14ac:dyDescent="0.3">
      <c r="A53" s="44"/>
      <c r="B53" s="76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5899</v>
      </c>
      <c r="B54" s="76" t="s">
        <v>21</v>
      </c>
      <c r="C54" s="77">
        <v>25.76</v>
      </c>
      <c r="D54" s="47" t="s">
        <v>2620</v>
      </c>
      <c r="E54" s="48">
        <v>28</v>
      </c>
      <c r="F54" s="49">
        <v>13.36</v>
      </c>
      <c r="G54" s="50" t="s">
        <v>19</v>
      </c>
      <c r="H54" s="51">
        <v>2134</v>
      </c>
      <c r="I54" s="45">
        <v>3048</v>
      </c>
      <c r="J54" s="52">
        <v>2</v>
      </c>
      <c r="K54" s="53">
        <f t="shared" si="0"/>
        <v>13.008863999999999</v>
      </c>
      <c r="L54" s="54" t="s">
        <v>5913</v>
      </c>
    </row>
    <row r="55" spans="1:12" s="55" customFormat="1" ht="19.5" customHeight="1" x14ac:dyDescent="0.3">
      <c r="A55" s="44"/>
      <c r="B55" s="76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5898</v>
      </c>
      <c r="B56" s="76" t="s">
        <v>21</v>
      </c>
      <c r="C56" s="77">
        <v>25.76</v>
      </c>
      <c r="D56" s="47" t="s">
        <v>2620</v>
      </c>
      <c r="E56" s="48">
        <v>36</v>
      </c>
      <c r="F56" s="49">
        <v>18.48</v>
      </c>
      <c r="G56" s="50" t="s">
        <v>19</v>
      </c>
      <c r="H56" s="51">
        <v>2134</v>
      </c>
      <c r="I56" s="45">
        <v>3048</v>
      </c>
      <c r="J56" s="52">
        <v>3</v>
      </c>
      <c r="K56" s="53">
        <f t="shared" si="0"/>
        <v>19.513295999999997</v>
      </c>
      <c r="L56" s="54" t="s">
        <v>5913</v>
      </c>
    </row>
    <row r="57" spans="1:12" s="55" customFormat="1" ht="19.5" customHeight="1" x14ac:dyDescent="0.3">
      <c r="A57" s="44"/>
      <c r="B57" s="76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76"/>
      <c r="C58" s="46">
        <v>22</v>
      </c>
      <c r="D58" s="47" t="s">
        <v>17</v>
      </c>
      <c r="E58" s="48">
        <v>80</v>
      </c>
      <c r="F58" s="49">
        <v>69.36</v>
      </c>
      <c r="G58" s="50" t="s">
        <v>19</v>
      </c>
      <c r="H58" s="51">
        <v>1981</v>
      </c>
      <c r="I58" s="45">
        <v>3353</v>
      </c>
      <c r="J58" s="52">
        <v>12</v>
      </c>
      <c r="K58" s="53">
        <f t="shared" si="0"/>
        <v>79.707515999999998</v>
      </c>
      <c r="L58" s="54" t="s">
        <v>106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76"/>
      <c r="C60" s="46"/>
      <c r="D60" s="78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9" customFormat="1" ht="20.100000000000001" customHeight="1" x14ac:dyDescent="0.3">
      <c r="A66" s="44"/>
      <c r="B66" s="45"/>
      <c r="C66" s="46"/>
      <c r="D66" s="47"/>
      <c r="E66" s="56"/>
      <c r="F66" s="57"/>
      <c r="G66" s="50"/>
      <c r="H66" s="51"/>
      <c r="I66" s="45"/>
      <c r="J66" s="52"/>
      <c r="K66" s="53">
        <f t="shared" si="0"/>
        <v>0</v>
      </c>
      <c r="L66" s="58">
        <f>SUM(J32:J67)</f>
        <v>111</v>
      </c>
    </row>
    <row r="67" spans="1:12" s="59" customFormat="1" ht="20.100000000000001" customHeight="1" x14ac:dyDescent="0.3">
      <c r="A67" s="44"/>
      <c r="B67" s="45"/>
      <c r="C67" s="46"/>
      <c r="D67" s="47"/>
      <c r="E67" s="60"/>
      <c r="F67" s="61"/>
      <c r="G67" s="62"/>
      <c r="H67" s="51"/>
      <c r="I67" s="45"/>
      <c r="J67" s="63"/>
      <c r="K67" s="53">
        <f t="shared" si="0"/>
        <v>0</v>
      </c>
      <c r="L67" s="64">
        <f>SUM(K32:K67)</f>
        <v>758.78478599999994</v>
      </c>
    </row>
    <row r="68" spans="1:12" s="59" customFormat="1" ht="20.100000000000001" customHeight="1" thickBot="1" x14ac:dyDescent="0.35">
      <c r="A68" s="114"/>
      <c r="B68" s="115"/>
      <c r="C68" s="115"/>
      <c r="D68" s="115"/>
      <c r="E68" s="115"/>
      <c r="F68" s="115"/>
      <c r="G68" s="115"/>
      <c r="H68" s="115"/>
      <c r="I68" s="115"/>
      <c r="J68" s="65">
        <f>SUM(J7:J67)</f>
        <v>236</v>
      </c>
      <c r="K68" s="66">
        <f>SUM(K7:K67)</f>
        <v>1590.0974290000001</v>
      </c>
      <c r="L68" s="67"/>
    </row>
    <row r="69" spans="1:12" s="59" customFormat="1" ht="20.100000000000001" customHeight="1" thickTop="1" thickBot="1" x14ac:dyDescent="0.35">
      <c r="A69" s="116" t="s">
        <v>52</v>
      </c>
      <c r="B69" s="117"/>
      <c r="C69" s="68"/>
      <c r="D69" s="118">
        <f>J68</f>
        <v>236</v>
      </c>
      <c r="E69" s="119"/>
      <c r="F69" s="119"/>
      <c r="G69" s="120"/>
      <c r="H69" s="121"/>
      <c r="I69" s="121"/>
      <c r="J69" s="122"/>
      <c r="K69" s="119"/>
      <c r="L69" s="123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71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72"/>
      <c r="F75" s="5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5"/>
      <c r="G76" s="73"/>
      <c r="H76" s="5"/>
      <c r="I76" s="74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72"/>
      <c r="I80" s="72"/>
      <c r="J80" s="5"/>
      <c r="K80" s="5"/>
      <c r="L80" s="5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A84" s="113"/>
      <c r="B84" s="113"/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5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19.5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ht="19.5" customHeight="1" x14ac:dyDescent="0.3"/>
    <row r="97" spans="2:12" ht="19.5" customHeight="1" x14ac:dyDescent="0.3"/>
    <row r="98" spans="2:12" ht="19.5" customHeight="1" x14ac:dyDescent="0.3"/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4:B7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8:I68"/>
    <mergeCell ref="A69:B69"/>
    <mergeCell ref="D69:G69"/>
    <mergeCell ref="H69:J69"/>
    <mergeCell ref="K69:L69"/>
    <mergeCell ref="A84:B84"/>
    <mergeCell ref="A85:B85"/>
    <mergeCell ref="A75:B75"/>
    <mergeCell ref="A76:B76"/>
    <mergeCell ref="A77:B77"/>
    <mergeCell ref="A79:B79"/>
    <mergeCell ref="A80:B80"/>
    <mergeCell ref="A81:B81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L198"/>
  <sheetViews>
    <sheetView view="pageBreakPreview" topLeftCell="A91" zoomScale="85" zoomScaleNormal="100" zoomScaleSheetLayoutView="85" workbookViewId="0">
      <selection activeCell="L105" sqref="L105:L106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46206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106" si="0">(H7/1000*I7/1000)*J7</f>
        <v>0</v>
      </c>
      <c r="L7" s="26">
        <f>SUM(J7:J56)</f>
        <v>142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SUM(K7:K56)</f>
        <v>949.19916300000023</v>
      </c>
    </row>
    <row r="9" spans="1:12" s="27" customFormat="1" ht="19.5" customHeight="1" x14ac:dyDescent="0.3">
      <c r="A9" s="28" t="s">
        <v>5841</v>
      </c>
      <c r="B9" s="16" t="s">
        <v>5842</v>
      </c>
      <c r="C9" s="17">
        <v>8</v>
      </c>
      <c r="D9" s="18" t="s">
        <v>276</v>
      </c>
      <c r="E9" s="41">
        <v>7</v>
      </c>
      <c r="F9" s="42">
        <v>4.5599999999999996</v>
      </c>
      <c r="G9" s="34" t="s">
        <v>5845</v>
      </c>
      <c r="H9" s="35">
        <v>2438</v>
      </c>
      <c r="I9" s="36">
        <v>3353</v>
      </c>
      <c r="J9" s="37">
        <v>1</v>
      </c>
      <c r="K9" s="85">
        <f t="shared" si="0"/>
        <v>8.174614</v>
      </c>
      <c r="L9" s="39" t="s">
        <v>5846</v>
      </c>
    </row>
    <row r="10" spans="1:12" s="27" customFormat="1" ht="19.5" customHeight="1" x14ac:dyDescent="0.3">
      <c r="A10" s="28" t="s">
        <v>5843</v>
      </c>
      <c r="B10" s="16" t="s">
        <v>5844</v>
      </c>
      <c r="C10" s="17">
        <v>8</v>
      </c>
      <c r="D10" s="18" t="s">
        <v>276</v>
      </c>
      <c r="E10" s="41">
        <v>3</v>
      </c>
      <c r="F10" s="42">
        <v>2.87</v>
      </c>
      <c r="G10" s="34"/>
      <c r="H10" s="35"/>
      <c r="I10" s="36"/>
      <c r="J10" s="37"/>
      <c r="K10" s="85">
        <f t="shared" si="0"/>
        <v>0</v>
      </c>
      <c r="L10" s="39" t="s">
        <v>5846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 t="s">
        <v>5847</v>
      </c>
      <c r="B12" s="16" t="s">
        <v>5848</v>
      </c>
      <c r="C12" s="17">
        <v>43</v>
      </c>
      <c r="D12" s="18" t="s">
        <v>5849</v>
      </c>
      <c r="E12" s="41">
        <v>4</v>
      </c>
      <c r="F12" s="42">
        <f>80.1/45*4</f>
        <v>7.1199999999999992</v>
      </c>
      <c r="G12" s="34" t="s">
        <v>5852</v>
      </c>
      <c r="H12" s="35">
        <v>1829</v>
      </c>
      <c r="I12" s="36">
        <v>3353</v>
      </c>
      <c r="J12" s="37">
        <v>2</v>
      </c>
      <c r="K12" s="85">
        <f t="shared" si="0"/>
        <v>12.265274</v>
      </c>
      <c r="L12" s="39" t="s">
        <v>5850</v>
      </c>
    </row>
    <row r="13" spans="1:12" s="27" customFormat="1" ht="19.5" customHeight="1" x14ac:dyDescent="0.3">
      <c r="A13" s="28" t="s">
        <v>5851</v>
      </c>
      <c r="B13" s="16" t="s">
        <v>5848</v>
      </c>
      <c r="C13" s="17">
        <v>43</v>
      </c>
      <c r="D13" s="18" t="s">
        <v>5849</v>
      </c>
      <c r="E13" s="41">
        <v>2</v>
      </c>
      <c r="F13" s="42">
        <v>0.96</v>
      </c>
      <c r="G13" s="34"/>
      <c r="H13" s="35"/>
      <c r="I13" s="36"/>
      <c r="J13" s="37"/>
      <c r="K13" s="85">
        <f t="shared" si="0"/>
        <v>0</v>
      </c>
      <c r="L13" s="39" t="s">
        <v>5850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 t="shared" si="0"/>
        <v>0</v>
      </c>
      <c r="L14" s="39"/>
    </row>
    <row r="15" spans="1:12" s="27" customFormat="1" ht="19.5" customHeight="1" x14ac:dyDescent="0.3">
      <c r="A15" s="28" t="s">
        <v>5853</v>
      </c>
      <c r="B15" s="16" t="s">
        <v>5854</v>
      </c>
      <c r="C15" s="17">
        <v>28</v>
      </c>
      <c r="D15" s="18" t="s">
        <v>5855</v>
      </c>
      <c r="E15" s="41">
        <v>2</v>
      </c>
      <c r="F15" s="42">
        <v>3.44</v>
      </c>
      <c r="G15" s="34" t="s">
        <v>5858</v>
      </c>
      <c r="H15" s="35">
        <v>2438</v>
      </c>
      <c r="I15" s="36">
        <v>3353</v>
      </c>
      <c r="J15" s="37">
        <v>2</v>
      </c>
      <c r="K15" s="85">
        <f t="shared" si="0"/>
        <v>16.349228</v>
      </c>
      <c r="L15" s="39" t="s">
        <v>5857</v>
      </c>
    </row>
    <row r="16" spans="1:12" s="27" customFormat="1" ht="19.5" customHeight="1" x14ac:dyDescent="0.3">
      <c r="A16" s="28"/>
      <c r="B16" s="16"/>
      <c r="C16" s="17">
        <v>28</v>
      </c>
      <c r="D16" s="18" t="s">
        <v>5856</v>
      </c>
      <c r="E16" s="41">
        <v>3</v>
      </c>
      <c r="F16" s="42">
        <v>2.88</v>
      </c>
      <c r="G16" s="34"/>
      <c r="H16" s="35"/>
      <c r="I16" s="36"/>
      <c r="J16" s="37"/>
      <c r="K16" s="85">
        <f t="shared" si="0"/>
        <v>0</v>
      </c>
      <c r="L16" s="39" t="s">
        <v>5857</v>
      </c>
    </row>
    <row r="17" spans="1:12" s="27" customFormat="1" ht="19.5" customHeight="1" x14ac:dyDescent="0.3">
      <c r="A17" s="28"/>
      <c r="B17" s="16"/>
      <c r="C17" s="17">
        <v>28</v>
      </c>
      <c r="D17" s="18" t="s">
        <v>5855</v>
      </c>
      <c r="E17" s="41">
        <v>2</v>
      </c>
      <c r="F17" s="42">
        <v>5.76</v>
      </c>
      <c r="G17" s="34"/>
      <c r="H17" s="35"/>
      <c r="I17" s="36"/>
      <c r="J17" s="37"/>
      <c r="K17" s="85">
        <f t="shared" si="0"/>
        <v>0</v>
      </c>
      <c r="L17" s="39" t="s">
        <v>5857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</row>
    <row r="19" spans="1:12" s="27" customFormat="1" ht="19.5" customHeight="1" x14ac:dyDescent="0.3">
      <c r="A19" s="28" t="s">
        <v>5853</v>
      </c>
      <c r="B19" s="16" t="s">
        <v>5854</v>
      </c>
      <c r="C19" s="17">
        <v>28</v>
      </c>
      <c r="D19" s="18" t="s">
        <v>5855</v>
      </c>
      <c r="E19" s="41">
        <v>2</v>
      </c>
      <c r="F19" s="42">
        <v>5.46</v>
      </c>
      <c r="G19" s="34" t="s">
        <v>5859</v>
      </c>
      <c r="H19" s="35">
        <v>2438</v>
      </c>
      <c r="I19" s="36">
        <v>3048</v>
      </c>
      <c r="J19" s="37">
        <v>2</v>
      </c>
      <c r="K19" s="85">
        <f t="shared" si="0"/>
        <v>14.862048000000001</v>
      </c>
      <c r="L19" s="39" t="s">
        <v>5860</v>
      </c>
    </row>
    <row r="20" spans="1:12" s="27" customFormat="1" ht="19.5" customHeight="1" x14ac:dyDescent="0.3">
      <c r="A20" s="28"/>
      <c r="B20" s="16"/>
      <c r="C20" s="17">
        <v>28</v>
      </c>
      <c r="D20" s="18" t="s">
        <v>5856</v>
      </c>
      <c r="E20" s="41">
        <v>2</v>
      </c>
      <c r="F20" s="42">
        <v>1.92</v>
      </c>
      <c r="G20" s="34"/>
      <c r="H20" s="35"/>
      <c r="I20" s="36"/>
      <c r="J20" s="37"/>
      <c r="K20" s="85">
        <f t="shared" si="0"/>
        <v>0</v>
      </c>
      <c r="L20" s="39" t="s">
        <v>5860</v>
      </c>
    </row>
    <row r="21" spans="1:12" s="27" customFormat="1" ht="19.5" customHeight="1" x14ac:dyDescent="0.3">
      <c r="A21" s="28"/>
      <c r="B21" s="16"/>
      <c r="C21" s="17">
        <v>28</v>
      </c>
      <c r="D21" s="18" t="s">
        <v>5855</v>
      </c>
      <c r="E21" s="41">
        <v>1</v>
      </c>
      <c r="F21" s="42">
        <v>2.88</v>
      </c>
      <c r="G21" s="34"/>
      <c r="H21" s="35"/>
      <c r="I21" s="36"/>
      <c r="J21" s="37"/>
      <c r="K21" s="85">
        <f t="shared" si="0"/>
        <v>0</v>
      </c>
      <c r="L21" s="39" t="s">
        <v>5860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5861</v>
      </c>
      <c r="B23" s="16" t="s">
        <v>5862</v>
      </c>
      <c r="C23" s="17">
        <v>24</v>
      </c>
      <c r="D23" s="18" t="s">
        <v>5863</v>
      </c>
      <c r="E23" s="41">
        <v>2</v>
      </c>
      <c r="F23" s="42">
        <v>0.82</v>
      </c>
      <c r="G23" s="34"/>
      <c r="H23" s="35"/>
      <c r="I23" s="36"/>
      <c r="J23" s="37"/>
      <c r="K23" s="85">
        <f t="shared" si="0"/>
        <v>0</v>
      </c>
      <c r="L23" s="39" t="s">
        <v>5864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 t="s">
        <v>5782</v>
      </c>
      <c r="B25" s="16" t="s">
        <v>2662</v>
      </c>
      <c r="C25" s="17">
        <v>22</v>
      </c>
      <c r="D25" s="18" t="s">
        <v>45</v>
      </c>
      <c r="E25" s="41">
        <v>144</v>
      </c>
      <c r="F25" s="42">
        <v>88.14</v>
      </c>
      <c r="G25" s="34" t="s">
        <v>5866</v>
      </c>
      <c r="H25" s="35">
        <v>1981</v>
      </c>
      <c r="I25" s="36">
        <v>3353</v>
      </c>
      <c r="J25" s="37">
        <v>14</v>
      </c>
      <c r="K25" s="85">
        <f t="shared" si="0"/>
        <v>92.992102000000003</v>
      </c>
      <c r="L25" s="39" t="s">
        <v>5868</v>
      </c>
    </row>
    <row r="26" spans="1:12" s="27" customFormat="1" ht="19.5" customHeight="1" x14ac:dyDescent="0.3">
      <c r="A26" s="28"/>
      <c r="B26" s="16"/>
      <c r="C26" s="17">
        <v>22</v>
      </c>
      <c r="D26" s="18" t="s">
        <v>17</v>
      </c>
      <c r="E26" s="41">
        <v>36</v>
      </c>
      <c r="F26" s="42">
        <v>10.08</v>
      </c>
      <c r="G26" s="34" t="s">
        <v>5852</v>
      </c>
      <c r="H26" s="35">
        <v>1981</v>
      </c>
      <c r="I26" s="36">
        <v>3353</v>
      </c>
      <c r="J26" s="37">
        <v>21</v>
      </c>
      <c r="K26" s="85">
        <f t="shared" si="0"/>
        <v>139.48815300000001</v>
      </c>
      <c r="L26" s="39" t="s">
        <v>5869</v>
      </c>
    </row>
    <row r="27" spans="1:12" s="27" customFormat="1" ht="19.5" customHeight="1" x14ac:dyDescent="0.3">
      <c r="A27" s="28"/>
      <c r="B27" s="16"/>
      <c r="C27" s="17">
        <v>22</v>
      </c>
      <c r="D27" s="18" t="s">
        <v>45</v>
      </c>
      <c r="E27" s="41">
        <v>36</v>
      </c>
      <c r="F27" s="42">
        <v>10.08</v>
      </c>
      <c r="G27" s="34" t="s">
        <v>5867</v>
      </c>
      <c r="H27" s="35">
        <v>1981</v>
      </c>
      <c r="I27" s="36">
        <v>3353</v>
      </c>
      <c r="J27" s="37">
        <v>20</v>
      </c>
      <c r="K27" s="85">
        <f t="shared" si="0"/>
        <v>132.84586000000002</v>
      </c>
      <c r="L27" s="39" t="s">
        <v>5868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 t="s">
        <v>5870</v>
      </c>
      <c r="B29" s="16" t="s">
        <v>5871</v>
      </c>
      <c r="C29" s="17">
        <v>24</v>
      </c>
      <c r="D29" s="18" t="s">
        <v>5872</v>
      </c>
      <c r="E29" s="41">
        <v>3</v>
      </c>
      <c r="F29" s="42">
        <v>2.92</v>
      </c>
      <c r="G29" s="34"/>
      <c r="H29" s="35"/>
      <c r="I29" s="36"/>
      <c r="J29" s="37"/>
      <c r="K29" s="85">
        <f>(H29/1000*I29/1000)*J29</f>
        <v>0</v>
      </c>
      <c r="L29" s="39" t="s">
        <v>5873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 t="s">
        <v>5870</v>
      </c>
      <c r="B31" s="16" t="s">
        <v>5871</v>
      </c>
      <c r="C31" s="17">
        <v>24</v>
      </c>
      <c r="D31" s="18" t="s">
        <v>5872</v>
      </c>
      <c r="E31" s="41">
        <v>2</v>
      </c>
      <c r="F31" s="42">
        <v>2.58</v>
      </c>
      <c r="G31" s="34"/>
      <c r="H31" s="35"/>
      <c r="I31" s="36"/>
      <c r="J31" s="37"/>
      <c r="K31" s="25">
        <f t="shared" si="0"/>
        <v>0</v>
      </c>
      <c r="L31" s="39" t="s">
        <v>5874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 t="s">
        <v>5843</v>
      </c>
      <c r="B33" s="16" t="s">
        <v>5844</v>
      </c>
      <c r="C33" s="17">
        <v>22</v>
      </c>
      <c r="D33" s="18" t="s">
        <v>5875</v>
      </c>
      <c r="E33" s="41">
        <v>5</v>
      </c>
      <c r="F33" s="42">
        <v>4.84</v>
      </c>
      <c r="G33" s="34" t="s">
        <v>5866</v>
      </c>
      <c r="H33" s="35">
        <v>2134</v>
      </c>
      <c r="I33" s="36">
        <v>3353</v>
      </c>
      <c r="J33" s="37">
        <v>1</v>
      </c>
      <c r="K33" s="25">
        <f t="shared" si="0"/>
        <v>7.1553019999999998</v>
      </c>
      <c r="L33" s="39"/>
    </row>
    <row r="34" spans="1:12" s="27" customFormat="1" ht="19.5" customHeight="1" x14ac:dyDescent="0.3">
      <c r="A34" s="28"/>
      <c r="B34" s="16"/>
      <c r="C34" s="17">
        <v>22</v>
      </c>
      <c r="D34" s="18" t="s">
        <v>5876</v>
      </c>
      <c r="E34" s="41">
        <v>1</v>
      </c>
      <c r="F34" s="42">
        <v>0.28000000000000003</v>
      </c>
      <c r="G34" s="34" t="s">
        <v>5878</v>
      </c>
      <c r="H34" s="35">
        <v>2286</v>
      </c>
      <c r="I34" s="36">
        <v>3048</v>
      </c>
      <c r="J34" s="37">
        <v>1</v>
      </c>
      <c r="K34" s="25">
        <f t="shared" si="0"/>
        <v>6.9677280000000001</v>
      </c>
      <c r="L34" s="39" t="s">
        <v>5879</v>
      </c>
    </row>
    <row r="35" spans="1:12" s="27" customFormat="1" ht="19.5" customHeight="1" x14ac:dyDescent="0.3">
      <c r="A35" s="28"/>
      <c r="B35" s="16"/>
      <c r="C35" s="17">
        <v>24</v>
      </c>
      <c r="D35" s="18" t="s">
        <v>5877</v>
      </c>
      <c r="E35" s="41">
        <v>2</v>
      </c>
      <c r="F35" s="42">
        <v>3.33</v>
      </c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 t="s">
        <v>5880</v>
      </c>
      <c r="B37" s="16" t="s">
        <v>5865</v>
      </c>
      <c r="C37" s="17">
        <v>22</v>
      </c>
      <c r="D37" s="18" t="s">
        <v>5875</v>
      </c>
      <c r="E37" s="41">
        <v>288</v>
      </c>
      <c r="F37" s="42">
        <v>176.28</v>
      </c>
      <c r="G37" s="34" t="s">
        <v>5866</v>
      </c>
      <c r="H37" s="35">
        <v>1981</v>
      </c>
      <c r="I37" s="36">
        <v>3353</v>
      </c>
      <c r="J37" s="37">
        <v>28</v>
      </c>
      <c r="K37" s="25">
        <f t="shared" si="0"/>
        <v>185.98420400000001</v>
      </c>
      <c r="L37" s="39" t="s">
        <v>5868</v>
      </c>
    </row>
    <row r="38" spans="1:12" s="27" customFormat="1" ht="19.5" customHeight="1" x14ac:dyDescent="0.3">
      <c r="A38" s="28"/>
      <c r="B38" s="16"/>
      <c r="C38" s="17">
        <v>22</v>
      </c>
      <c r="D38" s="18" t="s">
        <v>5875</v>
      </c>
      <c r="E38" s="41">
        <v>72</v>
      </c>
      <c r="F38" s="42">
        <v>20.16</v>
      </c>
      <c r="G38" s="34"/>
      <c r="H38" s="35"/>
      <c r="I38" s="36"/>
      <c r="J38" s="37"/>
      <c r="K38" s="25">
        <f t="shared" si="0"/>
        <v>0</v>
      </c>
      <c r="L38" s="39" t="s">
        <v>5868</v>
      </c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 t="s">
        <v>5881</v>
      </c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0"/>
        <v>0</v>
      </c>
      <c r="L40" s="39"/>
    </row>
    <row r="41" spans="1:12" s="27" customFormat="1" ht="19.5" customHeight="1" x14ac:dyDescent="0.3">
      <c r="A41" s="28" t="s">
        <v>5919</v>
      </c>
      <c r="B41" s="16" t="s">
        <v>5920</v>
      </c>
      <c r="C41" s="17">
        <v>22</v>
      </c>
      <c r="D41" s="18" t="s">
        <v>5921</v>
      </c>
      <c r="E41" s="41">
        <v>288</v>
      </c>
      <c r="F41" s="42">
        <v>176.28</v>
      </c>
      <c r="G41" s="34" t="s">
        <v>216</v>
      </c>
      <c r="H41" s="35">
        <v>1981</v>
      </c>
      <c r="I41" s="36">
        <v>3353</v>
      </c>
      <c r="J41" s="37">
        <v>20</v>
      </c>
      <c r="K41" s="25">
        <f t="shared" si="0"/>
        <v>132.84586000000002</v>
      </c>
      <c r="L41" s="39" t="s">
        <v>5922</v>
      </c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ref="K42:K49" si="1">(H42/1000*I42/1000)*J42</f>
        <v>0</v>
      </c>
      <c r="L42" s="39"/>
    </row>
    <row r="43" spans="1:12" s="27" customFormat="1" ht="19.5" customHeight="1" x14ac:dyDescent="0.3">
      <c r="A43" s="28"/>
      <c r="B43" s="16"/>
      <c r="C43" s="17">
        <v>22</v>
      </c>
      <c r="D43" s="18" t="s">
        <v>5923</v>
      </c>
      <c r="E43" s="41">
        <f>324-24</f>
        <v>300</v>
      </c>
      <c r="F43" s="42">
        <f>271.68-77.52</f>
        <v>194.16000000000003</v>
      </c>
      <c r="G43" s="34" t="s">
        <v>5924</v>
      </c>
      <c r="H43" s="35">
        <v>1981</v>
      </c>
      <c r="I43" s="36">
        <v>3353</v>
      </c>
      <c r="J43" s="37">
        <v>30</v>
      </c>
      <c r="K43" s="25">
        <f t="shared" si="1"/>
        <v>199.26879000000002</v>
      </c>
      <c r="L43" s="39" t="s">
        <v>6272</v>
      </c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1"/>
        <v>0</v>
      </c>
      <c r="L44" s="39"/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25">
        <f t="shared" si="1"/>
        <v>0</v>
      </c>
      <c r="L45" s="39"/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/>
      <c r="H46" s="35"/>
      <c r="I46" s="36"/>
      <c r="J46" s="37"/>
      <c r="K46" s="25">
        <f t="shared" si="1"/>
        <v>0</v>
      </c>
      <c r="L46" s="39"/>
    </row>
    <row r="47" spans="1:12" s="27" customFormat="1" ht="19.5" customHeight="1" x14ac:dyDescent="0.3">
      <c r="A47" s="28"/>
      <c r="B47" s="16"/>
      <c r="C47" s="17"/>
      <c r="D47" s="18"/>
      <c r="E47" s="41"/>
      <c r="F47" s="42"/>
      <c r="G47" s="34"/>
      <c r="H47" s="35"/>
      <c r="I47" s="36"/>
      <c r="J47" s="37"/>
      <c r="K47" s="25">
        <f t="shared" si="1"/>
        <v>0</v>
      </c>
      <c r="L47" s="39"/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25">
        <f t="shared" si="1"/>
        <v>0</v>
      </c>
      <c r="L48" s="39"/>
    </row>
    <row r="49" spans="1:12" s="27" customFormat="1" ht="19.5" customHeight="1" x14ac:dyDescent="0.3">
      <c r="A49" s="28"/>
      <c r="B49" s="16"/>
      <c r="C49" s="17"/>
      <c r="D49" s="18"/>
      <c r="E49" s="41"/>
      <c r="F49" s="42"/>
      <c r="G49" s="34"/>
      <c r="H49" s="35"/>
      <c r="I49" s="36"/>
      <c r="J49" s="37"/>
      <c r="K49" s="25">
        <f t="shared" si="1"/>
        <v>0</v>
      </c>
      <c r="L49" s="39"/>
    </row>
    <row r="50" spans="1:12" s="27" customFormat="1" ht="19.5" customHeight="1" x14ac:dyDescent="0.3">
      <c r="A50" s="28"/>
      <c r="B50" s="16"/>
      <c r="C50" s="17"/>
      <c r="D50" s="18"/>
      <c r="E50" s="41"/>
      <c r="F50" s="42"/>
      <c r="G50" s="34"/>
      <c r="H50" s="35"/>
      <c r="I50" s="36"/>
      <c r="J50" s="37"/>
      <c r="K50" s="25">
        <f t="shared" si="0"/>
        <v>0</v>
      </c>
      <c r="L50" s="39"/>
    </row>
    <row r="51" spans="1:12" s="27" customFormat="1" ht="19.5" customHeight="1" x14ac:dyDescent="0.3">
      <c r="A51" s="28"/>
      <c r="B51" s="16"/>
      <c r="C51" s="17"/>
      <c r="D51" s="18"/>
      <c r="E51" s="41"/>
      <c r="F51" s="42"/>
      <c r="G51" s="34"/>
      <c r="H51" s="35"/>
      <c r="I51" s="36"/>
      <c r="J51" s="37"/>
      <c r="K51" s="25">
        <f t="shared" si="0"/>
        <v>0</v>
      </c>
      <c r="L51" s="39"/>
    </row>
    <row r="52" spans="1:12" s="27" customFormat="1" ht="19.5" customHeight="1" x14ac:dyDescent="0.3">
      <c r="A52" s="28"/>
      <c r="B52" s="16"/>
      <c r="C52" s="17"/>
      <c r="D52" s="18"/>
      <c r="E52" s="41"/>
      <c r="F52" s="42"/>
      <c r="G52" s="34"/>
      <c r="H52" s="35"/>
      <c r="I52" s="36"/>
      <c r="J52" s="37"/>
      <c r="K52" s="25">
        <f t="shared" si="0"/>
        <v>0</v>
      </c>
      <c r="L52" s="39"/>
    </row>
    <row r="53" spans="1:12" s="27" customFormat="1" ht="19.5" customHeight="1" x14ac:dyDescent="0.3">
      <c r="A53" s="28"/>
      <c r="B53" s="16"/>
      <c r="C53" s="17"/>
      <c r="D53" s="18"/>
      <c r="E53" s="41"/>
      <c r="F53" s="42"/>
      <c r="G53" s="34"/>
      <c r="H53" s="35"/>
      <c r="I53" s="36"/>
      <c r="J53" s="37"/>
      <c r="K53" s="25">
        <f t="shared" si="0"/>
        <v>0</v>
      </c>
      <c r="L53" s="39"/>
    </row>
    <row r="54" spans="1:12" s="27" customFormat="1" ht="19.5" customHeight="1" x14ac:dyDescent="0.3">
      <c r="A54" s="28"/>
      <c r="B54" s="16"/>
      <c r="C54" s="17"/>
      <c r="D54" s="18"/>
      <c r="E54" s="41"/>
      <c r="F54" s="42"/>
      <c r="G54" s="34"/>
      <c r="H54" s="35"/>
      <c r="I54" s="36"/>
      <c r="J54" s="37"/>
      <c r="K54" s="25">
        <f t="shared" si="0"/>
        <v>0</v>
      </c>
      <c r="L54" s="39"/>
    </row>
    <row r="55" spans="1:12" s="27" customFormat="1" ht="19.5" customHeight="1" x14ac:dyDescent="0.3">
      <c r="A55" s="28"/>
      <c r="B55" s="16"/>
      <c r="C55" s="17"/>
      <c r="D55" s="18"/>
      <c r="E55" s="41"/>
      <c r="F55" s="42"/>
      <c r="G55" s="34"/>
      <c r="H55" s="35"/>
      <c r="I55" s="36"/>
      <c r="J55" s="37"/>
      <c r="K55" s="25">
        <f t="shared" si="0"/>
        <v>0</v>
      </c>
      <c r="L55" s="39"/>
    </row>
    <row r="56" spans="1:12" s="27" customFormat="1" ht="19.5" customHeight="1" x14ac:dyDescent="0.3">
      <c r="A56" s="28"/>
      <c r="B56" s="29"/>
      <c r="C56" s="30"/>
      <c r="D56" s="31"/>
      <c r="E56" s="41"/>
      <c r="F56" s="42"/>
      <c r="G56" s="43"/>
      <c r="H56" s="35"/>
      <c r="I56" s="36"/>
      <c r="J56" s="37"/>
      <c r="K56" s="25">
        <f t="shared" si="0"/>
        <v>0</v>
      </c>
      <c r="L56" s="39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5882</v>
      </c>
      <c r="B58" s="45" t="s">
        <v>5883</v>
      </c>
      <c r="C58" s="46">
        <v>24</v>
      </c>
      <c r="D58" s="47" t="s">
        <v>5884</v>
      </c>
      <c r="E58" s="48">
        <v>2</v>
      </c>
      <c r="F58" s="49">
        <v>2.57</v>
      </c>
      <c r="G58" s="50" t="s">
        <v>5887</v>
      </c>
      <c r="H58" s="51">
        <v>2438</v>
      </c>
      <c r="I58" s="45">
        <v>3353</v>
      </c>
      <c r="J58" s="52">
        <v>3</v>
      </c>
      <c r="K58" s="53">
        <f t="shared" si="0"/>
        <v>24.523842000000002</v>
      </c>
      <c r="L58" s="54" t="s">
        <v>5888</v>
      </c>
    </row>
    <row r="59" spans="1:12" s="55" customFormat="1" ht="19.5" customHeight="1" x14ac:dyDescent="0.3">
      <c r="A59" s="44" t="s">
        <v>5885</v>
      </c>
      <c r="B59" s="45" t="s">
        <v>5883</v>
      </c>
      <c r="C59" s="46">
        <v>24</v>
      </c>
      <c r="D59" s="47" t="s">
        <v>5886</v>
      </c>
      <c r="E59" s="48">
        <v>9</v>
      </c>
      <c r="F59" s="49">
        <v>13.14</v>
      </c>
      <c r="G59" s="50"/>
      <c r="H59" s="51"/>
      <c r="I59" s="45"/>
      <c r="J59" s="52"/>
      <c r="K59" s="53">
        <f t="shared" si="0"/>
        <v>0</v>
      </c>
      <c r="L59" s="54" t="s">
        <v>5888</v>
      </c>
    </row>
    <row r="60" spans="1:12" s="55" customFormat="1" ht="19.5" customHeight="1" x14ac:dyDescent="0.3">
      <c r="A60" s="44" t="s">
        <v>5870</v>
      </c>
      <c r="B60" s="45" t="s">
        <v>5883</v>
      </c>
      <c r="C60" s="46">
        <v>24</v>
      </c>
      <c r="D60" s="47" t="s">
        <v>5884</v>
      </c>
      <c r="E60" s="48">
        <v>1</v>
      </c>
      <c r="F60" s="49">
        <v>0.34</v>
      </c>
      <c r="G60" s="50"/>
      <c r="H60" s="51"/>
      <c r="I60" s="45"/>
      <c r="J60" s="52"/>
      <c r="K60" s="53">
        <f t="shared" si="0"/>
        <v>0</v>
      </c>
      <c r="L60" s="54" t="s">
        <v>5888</v>
      </c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5885</v>
      </c>
      <c r="B62" s="45" t="s">
        <v>5883</v>
      </c>
      <c r="C62" s="46">
        <v>24</v>
      </c>
      <c r="D62" s="47" t="s">
        <v>5886</v>
      </c>
      <c r="E62" s="48">
        <v>6</v>
      </c>
      <c r="F62" s="49">
        <v>7.47</v>
      </c>
      <c r="G62" s="50" t="s">
        <v>5852</v>
      </c>
      <c r="H62" s="51">
        <v>2438</v>
      </c>
      <c r="I62" s="45">
        <v>3353</v>
      </c>
      <c r="J62" s="52">
        <v>1</v>
      </c>
      <c r="K62" s="53">
        <f t="shared" si="0"/>
        <v>8.174614</v>
      </c>
      <c r="L62" s="54" t="s">
        <v>5889</v>
      </c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5667</v>
      </c>
      <c r="B64" s="45" t="s">
        <v>2456</v>
      </c>
      <c r="C64" s="46">
        <v>43</v>
      </c>
      <c r="D64" s="47" t="s">
        <v>791</v>
      </c>
      <c r="E64" s="48">
        <v>27</v>
      </c>
      <c r="F64" s="49">
        <v>13.08</v>
      </c>
      <c r="G64" s="50" t="s">
        <v>5890</v>
      </c>
      <c r="H64" s="51">
        <v>2438</v>
      </c>
      <c r="I64" s="45">
        <v>3353</v>
      </c>
      <c r="J64" s="52">
        <v>3</v>
      </c>
      <c r="K64" s="53">
        <f t="shared" si="0"/>
        <v>24.523842000000002</v>
      </c>
      <c r="L64" s="54" t="s">
        <v>5891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5668</v>
      </c>
      <c r="B66" s="45" t="s">
        <v>2456</v>
      </c>
      <c r="C66" s="46">
        <v>43</v>
      </c>
      <c r="D66" s="47" t="s">
        <v>791</v>
      </c>
      <c r="E66" s="48">
        <v>58</v>
      </c>
      <c r="F66" s="49">
        <v>35.26</v>
      </c>
      <c r="G66" s="50" t="s">
        <v>5890</v>
      </c>
      <c r="H66" s="51">
        <v>2438</v>
      </c>
      <c r="I66" s="45">
        <v>3353</v>
      </c>
      <c r="J66" s="52">
        <v>9</v>
      </c>
      <c r="K66" s="53">
        <f t="shared" si="0"/>
        <v>73.571526000000006</v>
      </c>
      <c r="L66" s="54" t="s">
        <v>5891</v>
      </c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 t="s">
        <v>5662</v>
      </c>
      <c r="B68" s="45" t="s">
        <v>2456</v>
      </c>
      <c r="C68" s="46">
        <v>43</v>
      </c>
      <c r="D68" s="47" t="s">
        <v>791</v>
      </c>
      <c r="E68" s="48">
        <v>143</v>
      </c>
      <c r="F68" s="49">
        <v>79.7</v>
      </c>
      <c r="G68" s="50" t="s">
        <v>5890</v>
      </c>
      <c r="H68" s="51">
        <v>2438</v>
      </c>
      <c r="I68" s="45">
        <v>3353</v>
      </c>
      <c r="J68" s="52">
        <v>20</v>
      </c>
      <c r="K68" s="53">
        <f t="shared" si="0"/>
        <v>163.49227999999999</v>
      </c>
      <c r="L68" s="54" t="s">
        <v>5891</v>
      </c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 t="s">
        <v>5666</v>
      </c>
      <c r="B70" s="45" t="s">
        <v>2456</v>
      </c>
      <c r="C70" s="46">
        <v>43</v>
      </c>
      <c r="D70" s="47" t="s">
        <v>791</v>
      </c>
      <c r="E70" s="48">
        <v>49</v>
      </c>
      <c r="F70" s="49">
        <v>28.64</v>
      </c>
      <c r="G70" s="50" t="s">
        <v>5890</v>
      </c>
      <c r="H70" s="51">
        <v>2438</v>
      </c>
      <c r="I70" s="45">
        <v>3353</v>
      </c>
      <c r="J70" s="52">
        <v>7</v>
      </c>
      <c r="K70" s="53">
        <f t="shared" si="0"/>
        <v>57.222298000000002</v>
      </c>
      <c r="L70" s="54" t="s">
        <v>5891</v>
      </c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 t="s">
        <v>5892</v>
      </c>
      <c r="B72" s="76" t="s">
        <v>5893</v>
      </c>
      <c r="C72" s="77">
        <v>22</v>
      </c>
      <c r="D72" s="47" t="s">
        <v>5894</v>
      </c>
      <c r="E72" s="48">
        <v>12</v>
      </c>
      <c r="F72" s="49">
        <v>13.2</v>
      </c>
      <c r="G72" s="50" t="s">
        <v>5852</v>
      </c>
      <c r="H72" s="51">
        <v>1981</v>
      </c>
      <c r="I72" s="45">
        <v>3353</v>
      </c>
      <c r="J72" s="52">
        <v>5</v>
      </c>
      <c r="K72" s="53">
        <f t="shared" si="0"/>
        <v>33.211465000000004</v>
      </c>
      <c r="L72" s="54"/>
    </row>
    <row r="73" spans="1:12" s="55" customFormat="1" ht="19.5" customHeight="1" x14ac:dyDescent="0.3">
      <c r="A73" s="44"/>
      <c r="B73" s="76"/>
      <c r="C73" s="77">
        <v>22</v>
      </c>
      <c r="D73" s="47" t="s">
        <v>5895</v>
      </c>
      <c r="E73" s="48">
        <v>12</v>
      </c>
      <c r="F73" s="49">
        <v>13.2</v>
      </c>
      <c r="G73" s="50" t="s">
        <v>39</v>
      </c>
      <c r="H73" s="51">
        <v>2134</v>
      </c>
      <c r="I73" s="45">
        <v>3353</v>
      </c>
      <c r="J73" s="52">
        <v>2</v>
      </c>
      <c r="K73" s="53">
        <f t="shared" si="0"/>
        <v>14.310604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 t="s">
        <v>5878</v>
      </c>
      <c r="H74" s="51">
        <v>1981</v>
      </c>
      <c r="I74" s="45">
        <v>3353</v>
      </c>
      <c r="J74" s="52">
        <v>2</v>
      </c>
      <c r="K74" s="53">
        <f t="shared" si="0"/>
        <v>13.284586000000001</v>
      </c>
      <c r="L74" s="54"/>
    </row>
    <row r="75" spans="1:12" s="55" customFormat="1" ht="19.5" customHeight="1" x14ac:dyDescent="0.3">
      <c r="A75" s="44"/>
      <c r="B75" s="76"/>
      <c r="C75" s="77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 t="s">
        <v>5892</v>
      </c>
      <c r="B76" s="76" t="s">
        <v>5893</v>
      </c>
      <c r="C76" s="46">
        <v>46.76</v>
      </c>
      <c r="D76" s="47" t="s">
        <v>5897</v>
      </c>
      <c r="E76" s="48">
        <v>8</v>
      </c>
      <c r="F76" s="49">
        <v>3.6</v>
      </c>
      <c r="G76" s="50" t="s">
        <v>5896</v>
      </c>
      <c r="H76" s="51">
        <v>2134</v>
      </c>
      <c r="I76" s="45">
        <v>3353</v>
      </c>
      <c r="J76" s="52">
        <v>2</v>
      </c>
      <c r="K76" s="53">
        <f t="shared" si="0"/>
        <v>14.310604</v>
      </c>
      <c r="L76" s="54" t="s">
        <v>5901</v>
      </c>
    </row>
    <row r="77" spans="1:12" s="55" customFormat="1" ht="19.5" customHeight="1" x14ac:dyDescent="0.3">
      <c r="A77" s="44" t="s">
        <v>5898</v>
      </c>
      <c r="B77" s="76" t="s">
        <v>5893</v>
      </c>
      <c r="C77" s="46">
        <v>46.76</v>
      </c>
      <c r="D77" s="47" t="s">
        <v>5897</v>
      </c>
      <c r="E77" s="48">
        <v>4</v>
      </c>
      <c r="F77" s="49">
        <v>1.6</v>
      </c>
      <c r="G77" s="50" t="s">
        <v>5878</v>
      </c>
      <c r="H77" s="51">
        <v>1981</v>
      </c>
      <c r="I77" s="45">
        <v>3353</v>
      </c>
      <c r="J77" s="52">
        <v>2</v>
      </c>
      <c r="K77" s="53">
        <f t="shared" si="0"/>
        <v>13.284586000000001</v>
      </c>
      <c r="L77" s="54" t="s">
        <v>5901</v>
      </c>
    </row>
    <row r="78" spans="1:12" s="55" customFormat="1" ht="19.5" customHeight="1" x14ac:dyDescent="0.3">
      <c r="A78" s="44" t="s">
        <v>5899</v>
      </c>
      <c r="B78" s="76" t="s">
        <v>5893</v>
      </c>
      <c r="C78" s="46">
        <v>46.76</v>
      </c>
      <c r="D78" s="47" t="s">
        <v>5897</v>
      </c>
      <c r="E78" s="48">
        <v>4</v>
      </c>
      <c r="F78" s="49">
        <v>1.8</v>
      </c>
      <c r="G78" s="50"/>
      <c r="H78" s="51"/>
      <c r="I78" s="45"/>
      <c r="J78" s="52"/>
      <c r="K78" s="53">
        <f t="shared" si="0"/>
        <v>0</v>
      </c>
      <c r="L78" s="54" t="s">
        <v>5901</v>
      </c>
    </row>
    <row r="79" spans="1:12" s="55" customFormat="1" ht="19.5" customHeight="1" x14ac:dyDescent="0.3">
      <c r="A79" s="44" t="s">
        <v>5900</v>
      </c>
      <c r="B79" s="76" t="s">
        <v>5893</v>
      </c>
      <c r="C79" s="46">
        <v>46.76</v>
      </c>
      <c r="D79" s="47" t="s">
        <v>5897</v>
      </c>
      <c r="E79" s="48">
        <v>4</v>
      </c>
      <c r="F79" s="49">
        <v>1.8</v>
      </c>
      <c r="G79" s="50"/>
      <c r="H79" s="51"/>
      <c r="I79" s="45"/>
      <c r="J79" s="52"/>
      <c r="K79" s="53">
        <f t="shared" si="0"/>
        <v>0</v>
      </c>
      <c r="L79" s="54" t="s">
        <v>5901</v>
      </c>
    </row>
    <row r="80" spans="1:12" s="55" customFormat="1" ht="19.5" customHeight="1" x14ac:dyDescent="0.3">
      <c r="A80" s="44"/>
      <c r="B80" s="76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 t="s">
        <v>5898</v>
      </c>
      <c r="B81" s="76" t="s">
        <v>5893</v>
      </c>
      <c r="C81" s="77">
        <v>22</v>
      </c>
      <c r="D81" s="47" t="s">
        <v>5894</v>
      </c>
      <c r="E81" s="48">
        <v>8</v>
      </c>
      <c r="F81" s="49">
        <v>12.8</v>
      </c>
      <c r="G81" s="50" t="s">
        <v>5852</v>
      </c>
      <c r="H81" s="51">
        <v>1981</v>
      </c>
      <c r="I81" s="45">
        <v>3353</v>
      </c>
      <c r="J81" s="52">
        <v>7</v>
      </c>
      <c r="K81" s="53">
        <f t="shared" si="0"/>
        <v>46.496051000000001</v>
      </c>
      <c r="L81" s="54" t="s">
        <v>5902</v>
      </c>
    </row>
    <row r="82" spans="1:12" s="55" customFormat="1" ht="19.5" customHeight="1" x14ac:dyDescent="0.3">
      <c r="A82" s="44" t="s">
        <v>5899</v>
      </c>
      <c r="B82" s="76" t="s">
        <v>5893</v>
      </c>
      <c r="C82" s="77">
        <v>22</v>
      </c>
      <c r="D82" s="47" t="s">
        <v>5894</v>
      </c>
      <c r="E82" s="48">
        <v>8</v>
      </c>
      <c r="F82" s="49">
        <v>11.28</v>
      </c>
      <c r="G82" s="50" t="s">
        <v>5914</v>
      </c>
      <c r="H82" s="51">
        <v>1981</v>
      </c>
      <c r="I82" s="45">
        <v>3353</v>
      </c>
      <c r="J82" s="52">
        <v>7</v>
      </c>
      <c r="K82" s="53">
        <f t="shared" si="0"/>
        <v>46.496051000000001</v>
      </c>
      <c r="L82" s="54" t="s">
        <v>5902</v>
      </c>
    </row>
    <row r="83" spans="1:12" s="55" customFormat="1" ht="19.5" customHeight="1" x14ac:dyDescent="0.3">
      <c r="A83" s="44" t="s">
        <v>5900</v>
      </c>
      <c r="B83" s="76" t="s">
        <v>5893</v>
      </c>
      <c r="C83" s="77">
        <v>22</v>
      </c>
      <c r="D83" s="47" t="s">
        <v>5894</v>
      </c>
      <c r="E83" s="48">
        <v>12</v>
      </c>
      <c r="F83" s="49">
        <v>13.2</v>
      </c>
      <c r="G83" s="50"/>
      <c r="H83" s="51"/>
      <c r="I83" s="45"/>
      <c r="J83" s="52"/>
      <c r="K83" s="53">
        <f t="shared" si="0"/>
        <v>0</v>
      </c>
      <c r="L83" s="54" t="s">
        <v>5902</v>
      </c>
    </row>
    <row r="84" spans="1:12" s="55" customFormat="1" ht="19.5" customHeight="1" x14ac:dyDescent="0.3">
      <c r="A84" s="44"/>
      <c r="B84" s="76"/>
      <c r="C84" s="46"/>
      <c r="D84" s="47"/>
      <c r="E84" s="48"/>
      <c r="F84" s="49"/>
      <c r="G84" s="50"/>
      <c r="H84" s="51"/>
      <c r="I84" s="45"/>
      <c r="J84" s="52"/>
      <c r="K84" s="53">
        <f t="shared" si="0"/>
        <v>0</v>
      </c>
      <c r="L84" s="54"/>
    </row>
    <row r="85" spans="1:12" s="55" customFormat="1" ht="19.5" customHeight="1" x14ac:dyDescent="0.3">
      <c r="A85" s="44" t="s">
        <v>5881</v>
      </c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5" customFormat="1" ht="19.5" customHeight="1" x14ac:dyDescent="0.3">
      <c r="A86" s="44" t="s">
        <v>5905</v>
      </c>
      <c r="B86" s="76" t="s">
        <v>5906</v>
      </c>
      <c r="C86" s="46">
        <v>24</v>
      </c>
      <c r="D86" s="78" t="s">
        <v>5907</v>
      </c>
      <c r="E86" s="48">
        <v>1</v>
      </c>
      <c r="F86" s="49">
        <v>1.81</v>
      </c>
      <c r="G86" s="50" t="s">
        <v>5908</v>
      </c>
      <c r="H86" s="51">
        <v>2134</v>
      </c>
      <c r="I86" s="45">
        <v>3353</v>
      </c>
      <c r="J86" s="52">
        <v>1</v>
      </c>
      <c r="K86" s="53">
        <f t="shared" si="0"/>
        <v>7.1553019999999998</v>
      </c>
      <c r="L86" s="54"/>
    </row>
    <row r="87" spans="1:12" s="55" customFormat="1" ht="19.5" customHeight="1" x14ac:dyDescent="0.3">
      <c r="A87" s="44"/>
      <c r="B87" s="45"/>
      <c r="C87" s="46"/>
      <c r="D87" s="47"/>
      <c r="E87" s="48"/>
      <c r="F87" s="49"/>
      <c r="G87" s="50"/>
      <c r="H87" s="51"/>
      <c r="I87" s="45"/>
      <c r="J87" s="52"/>
      <c r="K87" s="53">
        <f t="shared" si="0"/>
        <v>0</v>
      </c>
      <c r="L87" s="54"/>
    </row>
    <row r="88" spans="1:12" s="55" customFormat="1" ht="19.5" customHeight="1" x14ac:dyDescent="0.3">
      <c r="A88" s="44" t="s">
        <v>5909</v>
      </c>
      <c r="B88" s="45" t="s">
        <v>5221</v>
      </c>
      <c r="C88" s="46">
        <v>43</v>
      </c>
      <c r="D88" s="47" t="s">
        <v>5910</v>
      </c>
      <c r="E88" s="48">
        <v>15</v>
      </c>
      <c r="F88" s="49">
        <v>22.18</v>
      </c>
      <c r="G88" s="50" t="s">
        <v>291</v>
      </c>
      <c r="H88" s="51">
        <v>2438</v>
      </c>
      <c r="I88" s="45">
        <v>3353</v>
      </c>
      <c r="J88" s="52">
        <v>6</v>
      </c>
      <c r="K88" s="53">
        <f t="shared" si="0"/>
        <v>49.047684000000004</v>
      </c>
      <c r="L88" s="54" t="s">
        <v>106</v>
      </c>
    </row>
    <row r="89" spans="1:12" s="55" customFormat="1" ht="19.5" customHeight="1" x14ac:dyDescent="0.3">
      <c r="A89" s="44"/>
      <c r="B89" s="45"/>
      <c r="C89" s="46"/>
      <c r="D89" s="47"/>
      <c r="E89" s="48"/>
      <c r="F89" s="49"/>
      <c r="G89" s="50"/>
      <c r="H89" s="51"/>
      <c r="I89" s="45"/>
      <c r="J89" s="52"/>
      <c r="K89" s="53">
        <f t="shared" si="0"/>
        <v>0</v>
      </c>
      <c r="L89" s="54"/>
    </row>
    <row r="90" spans="1:12" s="55" customFormat="1" ht="19.5" customHeight="1" x14ac:dyDescent="0.3">
      <c r="A90" s="44"/>
      <c r="B90" s="45"/>
      <c r="C90" s="46">
        <v>24</v>
      </c>
      <c r="D90" s="47" t="s">
        <v>289</v>
      </c>
      <c r="E90" s="48">
        <v>56</v>
      </c>
      <c r="F90" s="49">
        <v>30.75</v>
      </c>
      <c r="G90" s="50" t="s">
        <v>291</v>
      </c>
      <c r="H90" s="51">
        <v>2134</v>
      </c>
      <c r="I90" s="45">
        <v>3353</v>
      </c>
      <c r="J90" s="52">
        <v>5</v>
      </c>
      <c r="K90" s="53">
        <f t="shared" si="0"/>
        <v>35.776510000000002</v>
      </c>
      <c r="L90" s="54" t="s">
        <v>106</v>
      </c>
    </row>
    <row r="91" spans="1:12" s="55" customFormat="1" ht="19.5" customHeight="1" x14ac:dyDescent="0.3">
      <c r="A91" s="44"/>
      <c r="B91" s="45"/>
      <c r="C91" s="46"/>
      <c r="D91" s="47"/>
      <c r="E91" s="48"/>
      <c r="F91" s="49"/>
      <c r="G91" s="50"/>
      <c r="H91" s="51"/>
      <c r="I91" s="45"/>
      <c r="J91" s="52"/>
      <c r="K91" s="53">
        <f t="shared" si="0"/>
        <v>0</v>
      </c>
      <c r="L91" s="54"/>
    </row>
    <row r="92" spans="1:12" s="55" customFormat="1" ht="19.5" customHeight="1" x14ac:dyDescent="0.3">
      <c r="A92" s="44" t="s">
        <v>5911</v>
      </c>
      <c r="B92" s="45" t="s">
        <v>5221</v>
      </c>
      <c r="C92" s="46">
        <v>43</v>
      </c>
      <c r="D92" s="47" t="s">
        <v>5910</v>
      </c>
      <c r="E92" s="48">
        <v>15</v>
      </c>
      <c r="F92" s="49">
        <v>22.53</v>
      </c>
      <c r="G92" s="50" t="s">
        <v>291</v>
      </c>
      <c r="H92" s="51">
        <v>2438</v>
      </c>
      <c r="I92" s="45">
        <v>3353</v>
      </c>
      <c r="J92" s="52">
        <v>6</v>
      </c>
      <c r="K92" s="53">
        <f t="shared" si="0"/>
        <v>49.047684000000004</v>
      </c>
      <c r="L92" s="54" t="s">
        <v>106</v>
      </c>
    </row>
    <row r="93" spans="1:12" s="55" customFormat="1" ht="19.5" customHeight="1" x14ac:dyDescent="0.3">
      <c r="A93" s="44"/>
      <c r="B93" s="45"/>
      <c r="C93" s="46"/>
      <c r="D93" s="47"/>
      <c r="E93" s="48"/>
      <c r="F93" s="49"/>
      <c r="G93" s="50" t="s">
        <v>291</v>
      </c>
      <c r="H93" s="51">
        <v>2134</v>
      </c>
      <c r="I93" s="45">
        <v>3353</v>
      </c>
      <c r="J93" s="52">
        <v>1</v>
      </c>
      <c r="K93" s="53">
        <f t="shared" si="0"/>
        <v>7.1553019999999998</v>
      </c>
      <c r="L93" s="54"/>
    </row>
    <row r="94" spans="1:12" s="55" customFormat="1" ht="19.5" customHeight="1" x14ac:dyDescent="0.3">
      <c r="A94" s="44"/>
      <c r="B94" s="45"/>
      <c r="C94" s="46">
        <v>24</v>
      </c>
      <c r="D94" s="47" t="s">
        <v>289</v>
      </c>
      <c r="E94" s="48">
        <v>56</v>
      </c>
      <c r="F94" s="49">
        <v>31.18</v>
      </c>
      <c r="G94" s="50" t="s">
        <v>291</v>
      </c>
      <c r="H94" s="51">
        <v>2134</v>
      </c>
      <c r="I94" s="45">
        <v>3353</v>
      </c>
      <c r="J94" s="52">
        <v>5</v>
      </c>
      <c r="K94" s="53">
        <f t="shared" si="0"/>
        <v>35.776510000000002</v>
      </c>
      <c r="L94" s="54" t="s">
        <v>106</v>
      </c>
    </row>
    <row r="95" spans="1:12" s="55" customFormat="1" ht="19.5" customHeight="1" x14ac:dyDescent="0.3">
      <c r="A95" s="44"/>
      <c r="B95" s="45"/>
      <c r="C95" s="46"/>
      <c r="D95" s="47"/>
      <c r="E95" s="48"/>
      <c r="F95" s="49"/>
      <c r="G95" s="50"/>
      <c r="H95" s="51"/>
      <c r="I95" s="45"/>
      <c r="J95" s="52"/>
      <c r="K95" s="53">
        <f t="shared" si="0"/>
        <v>0</v>
      </c>
      <c r="L95" s="54"/>
    </row>
    <row r="96" spans="1:12" s="55" customFormat="1" ht="19.5" customHeight="1" x14ac:dyDescent="0.3">
      <c r="A96" s="44" t="s">
        <v>5912</v>
      </c>
      <c r="B96" s="45" t="s">
        <v>5221</v>
      </c>
      <c r="C96" s="46">
        <v>43</v>
      </c>
      <c r="D96" s="47" t="s">
        <v>5910</v>
      </c>
      <c r="E96" s="48">
        <v>33</v>
      </c>
      <c r="F96" s="49">
        <v>50.92</v>
      </c>
      <c r="G96" s="50" t="s">
        <v>291</v>
      </c>
      <c r="H96" s="51">
        <v>2438</v>
      </c>
      <c r="I96" s="45">
        <v>3353</v>
      </c>
      <c r="J96" s="52">
        <v>14</v>
      </c>
      <c r="K96" s="53">
        <f t="shared" si="0"/>
        <v>114.444596</v>
      </c>
      <c r="L96" s="54" t="s">
        <v>106</v>
      </c>
    </row>
    <row r="97" spans="1:12" s="55" customFormat="1" ht="19.5" customHeight="1" x14ac:dyDescent="0.3">
      <c r="A97" s="44"/>
      <c r="B97" s="45"/>
      <c r="C97" s="46"/>
      <c r="D97" s="47"/>
      <c r="E97" s="48"/>
      <c r="F97" s="49"/>
      <c r="G97" s="50"/>
      <c r="H97" s="51"/>
      <c r="I97" s="45"/>
      <c r="J97" s="52"/>
      <c r="K97" s="53">
        <f t="shared" si="0"/>
        <v>0</v>
      </c>
      <c r="L97" s="54"/>
    </row>
    <row r="98" spans="1:12" s="55" customFormat="1" ht="19.5" customHeight="1" x14ac:dyDescent="0.3">
      <c r="A98" s="44"/>
      <c r="B98" s="45"/>
      <c r="C98" s="46">
        <v>24</v>
      </c>
      <c r="D98" s="47" t="s">
        <v>289</v>
      </c>
      <c r="E98" s="48">
        <v>120</v>
      </c>
      <c r="F98" s="49">
        <v>67.03</v>
      </c>
      <c r="G98" s="50" t="s">
        <v>291</v>
      </c>
      <c r="H98" s="51">
        <v>2134</v>
      </c>
      <c r="I98" s="45">
        <v>3353</v>
      </c>
      <c r="J98" s="52">
        <v>10</v>
      </c>
      <c r="K98" s="53">
        <f t="shared" si="0"/>
        <v>71.553020000000004</v>
      </c>
      <c r="L98" s="54" t="s">
        <v>106</v>
      </c>
    </row>
    <row r="99" spans="1:12" s="55" customFormat="1" ht="19.5" customHeight="1" x14ac:dyDescent="0.3">
      <c r="A99" s="44"/>
      <c r="B99" s="45"/>
      <c r="C99" s="46"/>
      <c r="D99" s="47"/>
      <c r="E99" s="48"/>
      <c r="F99" s="49"/>
      <c r="G99" s="50"/>
      <c r="H99" s="51"/>
      <c r="I99" s="45"/>
      <c r="J99" s="52"/>
      <c r="K99" s="53">
        <f t="shared" si="0"/>
        <v>0</v>
      </c>
      <c r="L99" s="54"/>
    </row>
    <row r="100" spans="1:12" s="55" customFormat="1" ht="19.5" customHeight="1" x14ac:dyDescent="0.3">
      <c r="A100" s="44"/>
      <c r="B100" s="45"/>
      <c r="C100" s="46"/>
      <c r="D100" s="47"/>
      <c r="E100" s="48"/>
      <c r="F100" s="49"/>
      <c r="G100" s="50"/>
      <c r="H100" s="51"/>
      <c r="I100" s="45"/>
      <c r="J100" s="52"/>
      <c r="K100" s="53">
        <f t="shared" si="0"/>
        <v>0</v>
      </c>
      <c r="L100" s="54"/>
    </row>
    <row r="101" spans="1:12" s="55" customFormat="1" ht="19.5" customHeight="1" x14ac:dyDescent="0.3">
      <c r="A101" s="44"/>
      <c r="B101" s="45"/>
      <c r="C101" s="46"/>
      <c r="D101" s="47"/>
      <c r="E101" s="48"/>
      <c r="F101" s="49"/>
      <c r="G101" s="50"/>
      <c r="H101" s="51"/>
      <c r="I101" s="45"/>
      <c r="J101" s="52"/>
      <c r="K101" s="53">
        <f t="shared" si="0"/>
        <v>0</v>
      </c>
      <c r="L101" s="54"/>
    </row>
    <row r="102" spans="1:12" s="55" customFormat="1" ht="19.5" customHeight="1" x14ac:dyDescent="0.3">
      <c r="A102" s="44"/>
      <c r="B102" s="45"/>
      <c r="C102" s="46"/>
      <c r="D102" s="47"/>
      <c r="E102" s="48"/>
      <c r="F102" s="49"/>
      <c r="G102" s="50"/>
      <c r="H102" s="51"/>
      <c r="I102" s="45"/>
      <c r="J102" s="52"/>
      <c r="K102" s="53">
        <f t="shared" si="0"/>
        <v>0</v>
      </c>
      <c r="L102" s="54"/>
    </row>
    <row r="103" spans="1:12" s="55" customFormat="1" ht="19.5" customHeight="1" x14ac:dyDescent="0.3">
      <c r="A103" s="44"/>
      <c r="B103" s="45"/>
      <c r="C103" s="46"/>
      <c r="D103" s="47"/>
      <c r="E103" s="48"/>
      <c r="F103" s="49"/>
      <c r="G103" s="50"/>
      <c r="H103" s="51"/>
      <c r="I103" s="45"/>
      <c r="J103" s="52"/>
      <c r="K103" s="53">
        <f t="shared" si="0"/>
        <v>0</v>
      </c>
      <c r="L103" s="54"/>
    </row>
    <row r="104" spans="1:12" s="55" customFormat="1" ht="19.5" customHeight="1" x14ac:dyDescent="0.3">
      <c r="A104" s="44"/>
      <c r="B104" s="45"/>
      <c r="C104" s="46"/>
      <c r="D104" s="47"/>
      <c r="E104" s="48"/>
      <c r="F104" s="49"/>
      <c r="G104" s="50"/>
      <c r="H104" s="51"/>
      <c r="I104" s="45"/>
      <c r="J104" s="52"/>
      <c r="K104" s="53">
        <f t="shared" si="0"/>
        <v>0</v>
      </c>
      <c r="L104" s="54"/>
    </row>
    <row r="105" spans="1:12" s="59" customFormat="1" ht="20.100000000000001" customHeight="1" x14ac:dyDescent="0.3">
      <c r="A105" s="44"/>
      <c r="B105" s="45"/>
      <c r="C105" s="46"/>
      <c r="D105" s="47"/>
      <c r="E105" s="56"/>
      <c r="F105" s="57"/>
      <c r="G105" s="50"/>
      <c r="H105" s="51"/>
      <c r="I105" s="45"/>
      <c r="J105" s="52"/>
      <c r="K105" s="53">
        <f t="shared" si="0"/>
        <v>0</v>
      </c>
      <c r="L105" s="58">
        <f>SUM(J57:J106)</f>
        <v>118</v>
      </c>
    </row>
    <row r="106" spans="1:12" s="59" customFormat="1" ht="20.100000000000001" customHeight="1" x14ac:dyDescent="0.3">
      <c r="A106" s="44"/>
      <c r="B106" s="45"/>
      <c r="C106" s="46"/>
      <c r="D106" s="47"/>
      <c r="E106" s="60"/>
      <c r="F106" s="61"/>
      <c r="G106" s="62"/>
      <c r="H106" s="51"/>
      <c r="I106" s="45"/>
      <c r="J106" s="63"/>
      <c r="K106" s="53">
        <f t="shared" si="0"/>
        <v>0</v>
      </c>
      <c r="L106" s="64">
        <f>SUM(K57:K106)</f>
        <v>902.85895700000015</v>
      </c>
    </row>
    <row r="107" spans="1:12" s="59" customFormat="1" ht="20.100000000000001" customHeight="1" thickBot="1" x14ac:dyDescent="0.35">
      <c r="A107" s="114"/>
      <c r="B107" s="115"/>
      <c r="C107" s="115"/>
      <c r="D107" s="115"/>
      <c r="E107" s="115"/>
      <c r="F107" s="115"/>
      <c r="G107" s="115"/>
      <c r="H107" s="115"/>
      <c r="I107" s="115"/>
      <c r="J107" s="65">
        <f>SUM(J7:J106)</f>
        <v>260</v>
      </c>
      <c r="K107" s="66">
        <f>SUM(K7:K106)</f>
        <v>1852.0581200000001</v>
      </c>
      <c r="L107" s="67"/>
    </row>
    <row r="108" spans="1:12" s="59" customFormat="1" ht="20.100000000000001" customHeight="1" thickTop="1" thickBot="1" x14ac:dyDescent="0.35">
      <c r="A108" s="116" t="s">
        <v>52</v>
      </c>
      <c r="B108" s="117"/>
      <c r="C108" s="68"/>
      <c r="D108" s="118">
        <f>J107</f>
        <v>260</v>
      </c>
      <c r="E108" s="119"/>
      <c r="F108" s="119"/>
      <c r="G108" s="120"/>
      <c r="H108" s="121"/>
      <c r="I108" s="121"/>
      <c r="J108" s="122"/>
      <c r="K108" s="119"/>
      <c r="L108" s="123"/>
    </row>
    <row r="109" spans="1:12" s="59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71"/>
    </row>
    <row r="110" spans="1:12" s="59" customFormat="1" ht="20.100000000000001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59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59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59" customFormat="1" ht="20.100000000000001" customHeight="1" x14ac:dyDescent="0.3">
      <c r="A113" s="113"/>
      <c r="B113" s="113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59" customFormat="1" ht="20.100000000000001" customHeight="1" x14ac:dyDescent="0.3">
      <c r="A114" s="113"/>
      <c r="B114" s="113"/>
      <c r="C114" s="5"/>
      <c r="D114" s="5"/>
      <c r="E114" s="72"/>
      <c r="F114" s="5"/>
      <c r="G114" s="5"/>
      <c r="H114" s="5"/>
      <c r="I114" s="5"/>
      <c r="J114" s="5"/>
      <c r="K114" s="5"/>
      <c r="L114" s="5"/>
    </row>
    <row r="115" spans="1:12" s="59" customFormat="1" ht="20.100000000000001" customHeight="1" x14ac:dyDescent="0.3">
      <c r="A115" s="113"/>
      <c r="B115" s="113"/>
      <c r="C115" s="5"/>
      <c r="D115" s="5"/>
      <c r="E115" s="5"/>
      <c r="F115" s="5"/>
      <c r="G115" s="73"/>
      <c r="H115" s="5"/>
      <c r="I115" s="74"/>
      <c r="J115" s="5"/>
      <c r="K115" s="5"/>
      <c r="L115" s="5"/>
    </row>
    <row r="116" spans="1:12" s="59" customFormat="1" ht="20.100000000000001" customHeight="1" x14ac:dyDescent="0.3">
      <c r="A116" s="113"/>
      <c r="B116" s="113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s="59" customFormat="1" ht="20.100000000000001" customHeight="1" x14ac:dyDescent="0.3">
      <c r="A117" s="69"/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59" customFormat="1" ht="20.100000000000001" customHeight="1" x14ac:dyDescent="0.3">
      <c r="A118" s="113"/>
      <c r="B118" s="113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59" customFormat="1" ht="20.100000000000001" customHeight="1" x14ac:dyDescent="0.3">
      <c r="A119" s="113"/>
      <c r="B119" s="113"/>
      <c r="C119" s="5"/>
      <c r="D119" s="5"/>
      <c r="E119" s="5"/>
      <c r="F119" s="70"/>
      <c r="G119" s="5"/>
      <c r="H119" s="72"/>
      <c r="I119" s="72"/>
      <c r="J119" s="5"/>
      <c r="K119" s="5"/>
      <c r="L119" s="5"/>
    </row>
    <row r="120" spans="1:12" ht="20.100000000000001" customHeight="1" x14ac:dyDescent="0.3">
      <c r="A120" s="113"/>
      <c r="B120" s="113"/>
      <c r="H120" s="72"/>
      <c r="I120" s="72"/>
    </row>
    <row r="121" spans="1:12" ht="20.100000000000001" customHeight="1" x14ac:dyDescent="0.3">
      <c r="H121" s="72"/>
      <c r="I121" s="72"/>
    </row>
    <row r="122" spans="1:12" ht="20.100000000000001" customHeight="1" x14ac:dyDescent="0.3">
      <c r="H122" s="72"/>
      <c r="I122" s="72"/>
    </row>
    <row r="123" spans="1:12" ht="20.100000000000001" customHeight="1" x14ac:dyDescent="0.3">
      <c r="A123" s="113"/>
      <c r="B123" s="113"/>
      <c r="H123" s="72"/>
      <c r="I123" s="72"/>
    </row>
    <row r="124" spans="1:12" ht="20.100000000000001" customHeight="1" x14ac:dyDescent="0.3">
      <c r="A124" s="113"/>
      <c r="B124" s="113"/>
      <c r="H124" s="72"/>
      <c r="I124" s="72"/>
    </row>
    <row r="125" spans="1:12" ht="20.100000000000001" customHeight="1" x14ac:dyDescent="0.3">
      <c r="H125" s="72"/>
      <c r="I125" s="72"/>
    </row>
    <row r="126" spans="1:12" ht="20.100000000000001" customHeight="1" x14ac:dyDescent="0.3">
      <c r="H126" s="72"/>
      <c r="I126" s="72"/>
    </row>
    <row r="127" spans="1:12" ht="20.100000000000001" customHeight="1" x14ac:dyDescent="0.3">
      <c r="H127" s="72"/>
      <c r="I127" s="72"/>
    </row>
    <row r="128" spans="1:12" s="72" customFormat="1" ht="20.100000000000001" customHeight="1" x14ac:dyDescent="0.3">
      <c r="A128" s="69"/>
      <c r="B128" s="5"/>
      <c r="C128" s="5"/>
      <c r="D128" s="5"/>
      <c r="E128" s="5"/>
      <c r="F128" s="70"/>
      <c r="G128" s="5"/>
      <c r="J128" s="5"/>
      <c r="K128" s="5"/>
      <c r="L128" s="5"/>
    </row>
    <row r="129" spans="1:12" s="72" customFormat="1" ht="20.100000000000001" customHeight="1" x14ac:dyDescent="0.3">
      <c r="A129" s="69"/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1:12" s="75" customFormat="1" ht="20.100000000000001" customHeight="1" x14ac:dyDescent="0.3">
      <c r="A130" s="69"/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1:12" s="75" customFormat="1" ht="20.100000000000001" customHeight="1" x14ac:dyDescent="0.3">
      <c r="A131" s="69"/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1:12" s="75" customFormat="1" ht="19.5" customHeight="1" x14ac:dyDescent="0.3">
      <c r="A132" s="69"/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1:12" s="72" customFormat="1" ht="20.100000000000001" customHeight="1" x14ac:dyDescent="0.3">
      <c r="A133" s="69"/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1:12" s="72" customFormat="1" ht="20.100000000000001" customHeight="1" x14ac:dyDescent="0.3">
      <c r="A134" s="69"/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1:12" ht="19.5" customHeight="1" x14ac:dyDescent="0.3"/>
    <row r="136" spans="1:12" ht="19.5" customHeight="1" x14ac:dyDescent="0.3"/>
    <row r="137" spans="1:12" ht="19.5" customHeight="1" x14ac:dyDescent="0.3"/>
    <row r="138" spans="1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1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1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1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1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1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1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ht="19.5" customHeight="1" x14ac:dyDescent="0.3"/>
    <row r="155" spans="2:12" ht="19.5" customHeight="1" x14ac:dyDescent="0.3"/>
    <row r="156" spans="2:12" ht="19.5" customHeight="1" x14ac:dyDescent="0.3"/>
    <row r="157" spans="2:12" ht="19.5" customHeight="1" x14ac:dyDescent="0.3"/>
    <row r="158" spans="2:12" ht="19.5" customHeight="1" x14ac:dyDescent="0.3"/>
    <row r="159" spans="2:12" ht="19.5" customHeight="1" x14ac:dyDescent="0.3"/>
    <row r="160" spans="2:12" ht="19.5" customHeight="1" x14ac:dyDescent="0.3"/>
    <row r="161" spans="2:12" ht="19.5" customHeight="1" x14ac:dyDescent="0.3"/>
    <row r="162" spans="2:12" ht="19.5" customHeight="1" x14ac:dyDescent="0.3"/>
    <row r="163" spans="2:12" ht="19.5" customHeight="1" x14ac:dyDescent="0.3"/>
    <row r="164" spans="2:12" ht="19.5" customHeight="1" x14ac:dyDescent="0.3"/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  <row r="185" spans="2:12" s="69" customFormat="1" ht="19.5" customHeight="1" x14ac:dyDescent="0.3">
      <c r="B185" s="5"/>
      <c r="C185" s="5"/>
      <c r="D185" s="5"/>
      <c r="E185" s="5"/>
      <c r="F185" s="70"/>
      <c r="G185" s="5"/>
      <c r="H185" s="5"/>
      <c r="I185" s="5"/>
      <c r="J185" s="5"/>
      <c r="K185" s="5"/>
      <c r="L185" s="5"/>
    </row>
    <row r="186" spans="2:12" s="69" customFormat="1" ht="19.5" customHeight="1" x14ac:dyDescent="0.3">
      <c r="B186" s="5"/>
      <c r="C186" s="5"/>
      <c r="D186" s="5"/>
      <c r="E186" s="5"/>
      <c r="F186" s="70"/>
      <c r="G186" s="5"/>
      <c r="H186" s="5"/>
      <c r="I186" s="5"/>
      <c r="J186" s="5"/>
      <c r="K186" s="5"/>
      <c r="L186" s="5"/>
    </row>
    <row r="187" spans="2:12" s="69" customFormat="1" ht="19.5" customHeight="1" x14ac:dyDescent="0.3">
      <c r="B187" s="5"/>
      <c r="C187" s="5"/>
      <c r="D187" s="5"/>
      <c r="E187" s="5"/>
      <c r="F187" s="70"/>
      <c r="G187" s="5"/>
      <c r="H187" s="5"/>
      <c r="I187" s="5"/>
      <c r="J187" s="5"/>
      <c r="K187" s="5"/>
      <c r="L187" s="5"/>
    </row>
    <row r="188" spans="2:12" s="69" customFormat="1" ht="19.5" customHeight="1" x14ac:dyDescent="0.3">
      <c r="B188" s="5"/>
      <c r="C188" s="5"/>
      <c r="D188" s="5"/>
      <c r="E188" s="5"/>
      <c r="F188" s="70"/>
      <c r="G188" s="5"/>
      <c r="H188" s="5"/>
      <c r="I188" s="5"/>
      <c r="J188" s="5"/>
      <c r="K188" s="5"/>
      <c r="L188" s="5"/>
    </row>
    <row r="189" spans="2:12" s="69" customFormat="1" ht="19.5" customHeight="1" x14ac:dyDescent="0.3">
      <c r="B189" s="5"/>
      <c r="C189" s="5"/>
      <c r="D189" s="5"/>
      <c r="E189" s="5"/>
      <c r="F189" s="70"/>
      <c r="G189" s="5"/>
      <c r="H189" s="5"/>
      <c r="I189" s="5"/>
      <c r="J189" s="5"/>
      <c r="K189" s="5"/>
      <c r="L189" s="5"/>
    </row>
    <row r="190" spans="2:12" s="69" customFormat="1" ht="19.5" customHeight="1" x14ac:dyDescent="0.3">
      <c r="B190" s="5"/>
      <c r="C190" s="5"/>
      <c r="D190" s="5"/>
      <c r="E190" s="5"/>
      <c r="F190" s="70"/>
      <c r="G190" s="5"/>
      <c r="H190" s="5"/>
      <c r="I190" s="5"/>
      <c r="J190" s="5"/>
      <c r="K190" s="5"/>
      <c r="L190" s="5"/>
    </row>
    <row r="191" spans="2:12" s="69" customFormat="1" ht="19.5" customHeight="1" x14ac:dyDescent="0.3">
      <c r="B191" s="5"/>
      <c r="C191" s="5"/>
      <c r="D191" s="5"/>
      <c r="E191" s="5"/>
      <c r="F191" s="70"/>
      <c r="G191" s="5"/>
      <c r="H191" s="5"/>
      <c r="I191" s="5"/>
      <c r="J191" s="5"/>
      <c r="K191" s="5"/>
      <c r="L191" s="5"/>
    </row>
    <row r="192" spans="2:12" s="69" customFormat="1" ht="19.5" customHeight="1" x14ac:dyDescent="0.3">
      <c r="B192" s="5"/>
      <c r="C192" s="5"/>
      <c r="D192" s="5"/>
      <c r="E192" s="5"/>
      <c r="F192" s="70"/>
      <c r="G192" s="5"/>
      <c r="H192" s="5"/>
      <c r="I192" s="5"/>
      <c r="J192" s="5"/>
      <c r="K192" s="5"/>
      <c r="L192" s="5"/>
    </row>
    <row r="193" spans="2:12" s="69" customFormat="1" ht="19.5" customHeight="1" x14ac:dyDescent="0.3">
      <c r="B193" s="5"/>
      <c r="C193" s="5"/>
      <c r="D193" s="5"/>
      <c r="E193" s="5"/>
      <c r="F193" s="70"/>
      <c r="G193" s="5"/>
      <c r="H193" s="5"/>
      <c r="I193" s="5"/>
      <c r="J193" s="5"/>
      <c r="K193" s="5"/>
      <c r="L193" s="5"/>
    </row>
    <row r="194" spans="2:12" s="69" customFormat="1" ht="19.5" customHeight="1" x14ac:dyDescent="0.3">
      <c r="B194" s="5"/>
      <c r="C194" s="5"/>
      <c r="D194" s="5"/>
      <c r="E194" s="5"/>
      <c r="F194" s="70"/>
      <c r="G194" s="5"/>
      <c r="H194" s="5"/>
      <c r="I194" s="5"/>
      <c r="J194" s="5"/>
      <c r="K194" s="5"/>
      <c r="L194" s="5"/>
    </row>
    <row r="195" spans="2:12" s="69" customFormat="1" ht="19.5" customHeight="1" x14ac:dyDescent="0.3">
      <c r="B195" s="5"/>
      <c r="C195" s="5"/>
      <c r="D195" s="5"/>
      <c r="E195" s="5"/>
      <c r="F195" s="70"/>
      <c r="G195" s="5"/>
      <c r="H195" s="5"/>
      <c r="I195" s="5"/>
      <c r="J195" s="5"/>
      <c r="K195" s="5"/>
      <c r="L195" s="5"/>
    </row>
    <row r="196" spans="2:12" s="69" customFormat="1" ht="19.5" customHeight="1" x14ac:dyDescent="0.3">
      <c r="B196" s="5"/>
      <c r="C196" s="5"/>
      <c r="D196" s="5"/>
      <c r="E196" s="5"/>
      <c r="F196" s="70"/>
      <c r="G196" s="5"/>
      <c r="H196" s="5"/>
      <c r="I196" s="5"/>
      <c r="J196" s="5"/>
      <c r="K196" s="5"/>
      <c r="L196" s="5"/>
    </row>
    <row r="197" spans="2:12" s="69" customFormat="1" ht="19.5" customHeight="1" x14ac:dyDescent="0.3">
      <c r="B197" s="5"/>
      <c r="C197" s="5"/>
      <c r="D197" s="5"/>
      <c r="E197" s="5"/>
      <c r="F197" s="70"/>
      <c r="G197" s="5"/>
      <c r="H197" s="5"/>
      <c r="I197" s="5"/>
      <c r="J197" s="5"/>
      <c r="K197" s="5"/>
      <c r="L197" s="5"/>
    </row>
    <row r="198" spans="2:12" s="69" customFormat="1" ht="19.5" customHeight="1" x14ac:dyDescent="0.3">
      <c r="B198" s="5"/>
      <c r="C198" s="5"/>
      <c r="D198" s="5"/>
      <c r="E198" s="5"/>
      <c r="F198" s="70"/>
      <c r="G198" s="5"/>
      <c r="H198" s="5"/>
      <c r="I198" s="5"/>
      <c r="J198" s="5"/>
      <c r="K198" s="5"/>
      <c r="L198" s="5"/>
    </row>
  </sheetData>
  <mergeCells count="30">
    <mergeCell ref="A123:B123"/>
    <mergeCell ref="A124:B124"/>
    <mergeCell ref="A114:B114"/>
    <mergeCell ref="A115:B115"/>
    <mergeCell ref="A116:B116"/>
    <mergeCell ref="A118:B118"/>
    <mergeCell ref="A119:B119"/>
    <mergeCell ref="A120:B120"/>
    <mergeCell ref="A113:B113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107:I107"/>
    <mergeCell ref="A108:B108"/>
    <mergeCell ref="D108:G108"/>
    <mergeCell ref="H108:J108"/>
    <mergeCell ref="K108:L108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36" orientation="portrait" verticalDpi="30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L193"/>
  <sheetViews>
    <sheetView view="pageBreakPreview" topLeftCell="A88" zoomScale="85" zoomScaleNormal="100" zoomScaleSheetLayoutView="85" workbookViewId="0">
      <selection activeCell="L100" sqref="L100:L10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46205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101" si="0">(H7/1000*I7/1000)*J7</f>
        <v>0</v>
      </c>
      <c r="L7" s="26">
        <f>SUM(J7:J51)</f>
        <v>186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SUM(K7:K51)</f>
        <v>1239.7084310000002</v>
      </c>
    </row>
    <row r="9" spans="1:12" s="27" customFormat="1" ht="19.5" customHeight="1" x14ac:dyDescent="0.3">
      <c r="A9" s="28" t="s">
        <v>5757</v>
      </c>
      <c r="B9" s="16" t="s">
        <v>5758</v>
      </c>
      <c r="C9" s="17">
        <v>16</v>
      </c>
      <c r="D9" s="18" t="s">
        <v>5759</v>
      </c>
      <c r="E9" s="41">
        <v>1</v>
      </c>
      <c r="F9" s="42">
        <v>1.75</v>
      </c>
      <c r="G9" s="34" t="s">
        <v>5760</v>
      </c>
      <c r="H9" s="35">
        <v>2286</v>
      </c>
      <c r="I9" s="36">
        <v>3048</v>
      </c>
      <c r="J9" s="37">
        <v>2</v>
      </c>
      <c r="K9" s="85">
        <f t="shared" si="0"/>
        <v>13.935456</v>
      </c>
      <c r="L9" s="39" t="s">
        <v>5764</v>
      </c>
    </row>
    <row r="10" spans="1:12" s="27" customFormat="1" ht="19.5" customHeight="1" x14ac:dyDescent="0.3">
      <c r="A10" s="28" t="s">
        <v>5761</v>
      </c>
      <c r="B10" s="16" t="s">
        <v>5762</v>
      </c>
      <c r="C10" s="17">
        <v>24</v>
      </c>
      <c r="D10" s="18" t="s">
        <v>5763</v>
      </c>
      <c r="E10" s="41">
        <v>3</v>
      </c>
      <c r="F10" s="42">
        <v>12.79</v>
      </c>
      <c r="G10" s="34" t="s">
        <v>5760</v>
      </c>
      <c r="H10" s="35">
        <v>1829</v>
      </c>
      <c r="I10" s="36">
        <v>3353</v>
      </c>
      <c r="J10" s="37">
        <v>1</v>
      </c>
      <c r="K10" s="85">
        <f t="shared" si="0"/>
        <v>6.1326369999999999</v>
      </c>
      <c r="L10" s="39" t="s">
        <v>5765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 t="s">
        <v>5761</v>
      </c>
      <c r="B12" s="16" t="s">
        <v>5762</v>
      </c>
      <c r="C12" s="17">
        <v>24</v>
      </c>
      <c r="D12" s="18" t="s">
        <v>5763</v>
      </c>
      <c r="E12" s="41">
        <v>6</v>
      </c>
      <c r="F12" s="42">
        <v>22.46</v>
      </c>
      <c r="G12" s="34" t="s">
        <v>39</v>
      </c>
      <c r="H12" s="35">
        <v>2134</v>
      </c>
      <c r="I12" s="36">
        <v>3353</v>
      </c>
      <c r="J12" s="37">
        <v>6</v>
      </c>
      <c r="K12" s="85">
        <f t="shared" si="0"/>
        <v>42.931812000000001</v>
      </c>
      <c r="L12" s="39" t="s">
        <v>5776</v>
      </c>
    </row>
    <row r="13" spans="1:12" s="27" customFormat="1" ht="19.5" customHeight="1" x14ac:dyDescent="0.3">
      <c r="A13" s="28" t="s">
        <v>5767</v>
      </c>
      <c r="B13" s="16" t="s">
        <v>5768</v>
      </c>
      <c r="C13" s="17">
        <v>24</v>
      </c>
      <c r="D13" s="18" t="s">
        <v>5769</v>
      </c>
      <c r="E13" s="41">
        <v>4</v>
      </c>
      <c r="F13" s="42">
        <v>4.5199999999999996</v>
      </c>
      <c r="G13" s="34"/>
      <c r="H13" s="35"/>
      <c r="I13" s="36"/>
      <c r="J13" s="37"/>
      <c r="K13" s="85">
        <f t="shared" si="0"/>
        <v>0</v>
      </c>
      <c r="L13" s="39" t="s">
        <v>5777</v>
      </c>
    </row>
    <row r="14" spans="1:12" s="27" customFormat="1" ht="19.5" customHeight="1" x14ac:dyDescent="0.3">
      <c r="A14" s="28"/>
      <c r="B14" s="16"/>
      <c r="C14" s="17">
        <v>24</v>
      </c>
      <c r="D14" s="18" t="s">
        <v>5770</v>
      </c>
      <c r="E14" s="41">
        <v>4</v>
      </c>
      <c r="F14" s="42">
        <v>1.52</v>
      </c>
      <c r="G14" s="34"/>
      <c r="H14" s="35"/>
      <c r="I14" s="36"/>
      <c r="J14" s="37"/>
      <c r="K14" s="85">
        <f t="shared" si="0"/>
        <v>0</v>
      </c>
      <c r="L14" s="39" t="s">
        <v>5778</v>
      </c>
    </row>
    <row r="15" spans="1:12" s="27" customFormat="1" ht="19.5" customHeight="1" x14ac:dyDescent="0.3">
      <c r="A15" s="28" t="s">
        <v>5772</v>
      </c>
      <c r="B15" s="16" t="s">
        <v>5773</v>
      </c>
      <c r="C15" s="17">
        <v>46.76</v>
      </c>
      <c r="D15" s="18" t="s">
        <v>5774</v>
      </c>
      <c r="E15" s="41">
        <v>5</v>
      </c>
      <c r="F15" s="42">
        <f>3.2/8*5</f>
        <v>2</v>
      </c>
      <c r="G15" s="34"/>
      <c r="H15" s="35"/>
      <c r="I15" s="36"/>
      <c r="J15" s="37"/>
      <c r="K15" s="85">
        <f t="shared" si="0"/>
        <v>0</v>
      </c>
      <c r="L15" s="39" t="s">
        <v>5779</v>
      </c>
    </row>
    <row r="16" spans="1:12" s="27" customFormat="1" ht="19.5" customHeight="1" x14ac:dyDescent="0.3">
      <c r="A16" s="28" t="s">
        <v>5775</v>
      </c>
      <c r="B16" s="16" t="s">
        <v>5773</v>
      </c>
      <c r="C16" s="17">
        <v>46.76</v>
      </c>
      <c r="D16" s="18" t="s">
        <v>5774</v>
      </c>
      <c r="E16" s="41">
        <v>2</v>
      </c>
      <c r="F16" s="42">
        <v>0.9</v>
      </c>
      <c r="G16" s="34"/>
      <c r="H16" s="35"/>
      <c r="I16" s="36"/>
      <c r="J16" s="37"/>
      <c r="K16" s="85">
        <f t="shared" si="0"/>
        <v>0</v>
      </c>
      <c r="L16" s="39" t="s">
        <v>5779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0"/>
        <v>0</v>
      </c>
      <c r="L17" s="39"/>
    </row>
    <row r="18" spans="1:12" s="27" customFormat="1" ht="19.5" customHeight="1" x14ac:dyDescent="0.3">
      <c r="A18" s="28" t="s">
        <v>5780</v>
      </c>
      <c r="B18" s="16" t="s">
        <v>5781</v>
      </c>
      <c r="C18" s="17">
        <v>22</v>
      </c>
      <c r="D18" s="18" t="s">
        <v>5783</v>
      </c>
      <c r="E18" s="41">
        <v>16</v>
      </c>
      <c r="F18" s="42">
        <v>41.42</v>
      </c>
      <c r="G18" s="34" t="s">
        <v>5771</v>
      </c>
      <c r="H18" s="35">
        <v>1981</v>
      </c>
      <c r="I18" s="36">
        <v>3353</v>
      </c>
      <c r="J18" s="37">
        <v>15</v>
      </c>
      <c r="K18" s="85">
        <f t="shared" si="0"/>
        <v>99.634395000000012</v>
      </c>
      <c r="L18" s="39" t="s">
        <v>5788</v>
      </c>
    </row>
    <row r="19" spans="1:12" s="27" customFormat="1" ht="19.5" customHeight="1" x14ac:dyDescent="0.3">
      <c r="A19" s="28"/>
      <c r="B19" s="16"/>
      <c r="C19" s="17">
        <v>22</v>
      </c>
      <c r="D19" s="18" t="s">
        <v>5784</v>
      </c>
      <c r="E19" s="41">
        <v>2</v>
      </c>
      <c r="F19" s="42">
        <v>6.46</v>
      </c>
      <c r="G19" s="34" t="s">
        <v>5787</v>
      </c>
      <c r="H19" s="35">
        <v>1981</v>
      </c>
      <c r="I19" s="36">
        <v>3353</v>
      </c>
      <c r="J19" s="37">
        <v>13</v>
      </c>
      <c r="K19" s="85">
        <f t="shared" si="0"/>
        <v>86.349809000000008</v>
      </c>
      <c r="L19" s="39" t="s">
        <v>5789</v>
      </c>
    </row>
    <row r="20" spans="1:12" s="27" customFormat="1" ht="19.5" customHeight="1" x14ac:dyDescent="0.3">
      <c r="A20" s="28" t="s">
        <v>5782</v>
      </c>
      <c r="B20" s="16" t="s">
        <v>5781</v>
      </c>
      <c r="C20" s="17">
        <v>22</v>
      </c>
      <c r="D20" s="18" t="s">
        <v>5783</v>
      </c>
      <c r="E20" s="41">
        <v>16</v>
      </c>
      <c r="F20" s="42">
        <v>41.253999999999998</v>
      </c>
      <c r="G20" s="34"/>
      <c r="H20" s="35"/>
      <c r="I20" s="36"/>
      <c r="J20" s="37"/>
      <c r="K20" s="85">
        <f t="shared" si="0"/>
        <v>0</v>
      </c>
      <c r="L20" s="39" t="s">
        <v>5788</v>
      </c>
    </row>
    <row r="21" spans="1:12" s="27" customFormat="1" ht="19.5" customHeight="1" x14ac:dyDescent="0.3">
      <c r="A21" s="28"/>
      <c r="B21" s="16"/>
      <c r="C21" s="17">
        <v>22</v>
      </c>
      <c r="D21" s="18" t="s">
        <v>5784</v>
      </c>
      <c r="E21" s="41">
        <v>2</v>
      </c>
      <c r="F21" s="42">
        <v>6.46</v>
      </c>
      <c r="G21" s="34"/>
      <c r="H21" s="35"/>
      <c r="I21" s="36"/>
      <c r="J21" s="37"/>
      <c r="K21" s="85">
        <f t="shared" si="0"/>
        <v>0</v>
      </c>
      <c r="L21" s="39" t="s">
        <v>5789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5745</v>
      </c>
      <c r="B23" s="16" t="s">
        <v>2662</v>
      </c>
      <c r="C23" s="17">
        <v>22</v>
      </c>
      <c r="D23" s="18" t="s">
        <v>45</v>
      </c>
      <c r="E23" s="41">
        <v>144</v>
      </c>
      <c r="F23" s="42">
        <v>88.14</v>
      </c>
      <c r="G23" s="34" t="s">
        <v>5771</v>
      </c>
      <c r="H23" s="35">
        <v>1981</v>
      </c>
      <c r="I23" s="36">
        <v>3353</v>
      </c>
      <c r="J23" s="37">
        <v>14</v>
      </c>
      <c r="K23" s="85">
        <f t="shared" si="0"/>
        <v>92.992102000000003</v>
      </c>
      <c r="L23" s="39" t="s">
        <v>5790</v>
      </c>
    </row>
    <row r="24" spans="1:12" s="27" customFormat="1" ht="19.5" customHeight="1" x14ac:dyDescent="0.3">
      <c r="A24" s="28"/>
      <c r="B24" s="16"/>
      <c r="C24" s="17">
        <v>22</v>
      </c>
      <c r="D24" s="18" t="s">
        <v>45</v>
      </c>
      <c r="E24" s="41">
        <v>36</v>
      </c>
      <c r="F24" s="42">
        <v>10.08</v>
      </c>
      <c r="G24" s="34"/>
      <c r="H24" s="35"/>
      <c r="I24" s="36"/>
      <c r="J24" s="37"/>
      <c r="K24" s="85">
        <f t="shared" si="0"/>
        <v>0</v>
      </c>
      <c r="L24" s="39" t="s">
        <v>202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/>
      <c r="L25" s="39"/>
    </row>
    <row r="26" spans="1:12" s="27" customFormat="1" ht="19.5" customHeight="1" x14ac:dyDescent="0.3">
      <c r="A26" s="28" t="s">
        <v>5791</v>
      </c>
      <c r="B26" s="16" t="s">
        <v>5781</v>
      </c>
      <c r="C26" s="17">
        <v>22</v>
      </c>
      <c r="D26" s="18" t="s">
        <v>5783</v>
      </c>
      <c r="E26" s="41">
        <v>16</v>
      </c>
      <c r="F26" s="42">
        <v>37.76</v>
      </c>
      <c r="G26" s="34" t="s">
        <v>5771</v>
      </c>
      <c r="H26" s="35">
        <v>1981</v>
      </c>
      <c r="I26" s="36">
        <v>3353</v>
      </c>
      <c r="J26" s="37">
        <v>8</v>
      </c>
      <c r="K26" s="85">
        <f t="shared" si="0"/>
        <v>53.138344000000004</v>
      </c>
      <c r="L26" s="39" t="s">
        <v>5786</v>
      </c>
    </row>
    <row r="27" spans="1:12" s="27" customFormat="1" ht="19.5" customHeight="1" x14ac:dyDescent="0.3">
      <c r="A27" s="28"/>
      <c r="B27" s="16"/>
      <c r="C27" s="17">
        <v>22</v>
      </c>
      <c r="D27" s="18" t="s">
        <v>5784</v>
      </c>
      <c r="E27" s="41">
        <v>4</v>
      </c>
      <c r="F27" s="42">
        <v>12.92</v>
      </c>
      <c r="G27" s="34" t="s">
        <v>5787</v>
      </c>
      <c r="H27" s="35">
        <v>1981</v>
      </c>
      <c r="I27" s="36">
        <v>3353</v>
      </c>
      <c r="J27" s="37">
        <v>6</v>
      </c>
      <c r="K27" s="85">
        <f t="shared" si="0"/>
        <v>39.853757999999999</v>
      </c>
      <c r="L27" s="39" t="s">
        <v>5785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 t="s">
        <v>5792</v>
      </c>
      <c r="B29" s="16" t="s">
        <v>5781</v>
      </c>
      <c r="C29" s="17">
        <v>22</v>
      </c>
      <c r="D29" s="18" t="s">
        <v>5783</v>
      </c>
      <c r="E29" s="41">
        <v>28</v>
      </c>
      <c r="F29" s="42">
        <v>69.56</v>
      </c>
      <c r="G29" s="34" t="s">
        <v>5771</v>
      </c>
      <c r="H29" s="35">
        <v>1981</v>
      </c>
      <c r="I29" s="36">
        <v>3353</v>
      </c>
      <c r="J29" s="37">
        <v>15</v>
      </c>
      <c r="K29" s="85">
        <f>(H29/1000*I29/1000)*J29</f>
        <v>99.634395000000012</v>
      </c>
      <c r="L29" s="39" t="s">
        <v>5786</v>
      </c>
    </row>
    <row r="30" spans="1:12" s="27" customFormat="1" ht="19.5" customHeight="1" x14ac:dyDescent="0.3">
      <c r="A30" s="28"/>
      <c r="B30" s="16"/>
      <c r="C30" s="17">
        <v>22</v>
      </c>
      <c r="D30" s="18" t="s">
        <v>5784</v>
      </c>
      <c r="E30" s="41">
        <v>8</v>
      </c>
      <c r="F30" s="42">
        <v>25.84</v>
      </c>
      <c r="G30" s="34" t="s">
        <v>5787</v>
      </c>
      <c r="H30" s="35">
        <v>1981</v>
      </c>
      <c r="I30" s="36">
        <v>3353</v>
      </c>
      <c r="J30" s="37">
        <v>11</v>
      </c>
      <c r="K30" s="25">
        <f t="shared" si="0"/>
        <v>73.065223000000003</v>
      </c>
      <c r="L30" s="39" t="s">
        <v>5785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 t="s">
        <v>5933</v>
      </c>
      <c r="B32" s="16" t="s">
        <v>5934</v>
      </c>
      <c r="C32" s="17">
        <v>22</v>
      </c>
      <c r="D32" s="18" t="s">
        <v>5935</v>
      </c>
      <c r="E32" s="41">
        <v>150</v>
      </c>
      <c r="F32" s="42">
        <f>105/84*150</f>
        <v>187.5</v>
      </c>
      <c r="G32" s="34" t="s">
        <v>5936</v>
      </c>
      <c r="H32" s="35">
        <v>1981</v>
      </c>
      <c r="I32" s="36">
        <v>3353</v>
      </c>
      <c r="J32" s="37">
        <v>30</v>
      </c>
      <c r="K32" s="85">
        <f t="shared" si="0"/>
        <v>199.26879000000002</v>
      </c>
      <c r="L32" s="39" t="s">
        <v>5986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 t="s">
        <v>5793</v>
      </c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 t="s">
        <v>5822</v>
      </c>
      <c r="B35" s="16" t="s">
        <v>5823</v>
      </c>
      <c r="C35" s="17">
        <v>43</v>
      </c>
      <c r="D35" s="18" t="s">
        <v>5824</v>
      </c>
      <c r="E35" s="41">
        <v>7</v>
      </c>
      <c r="F35" s="42">
        <v>11.95</v>
      </c>
      <c r="G35" s="34" t="s">
        <v>5825</v>
      </c>
      <c r="H35" s="35">
        <v>2438</v>
      </c>
      <c r="I35" s="36">
        <v>3353</v>
      </c>
      <c r="J35" s="37">
        <v>1</v>
      </c>
      <c r="K35" s="25">
        <f t="shared" ref="K35:K45" si="1">(H35/1000*I35/1000)*J35</f>
        <v>8.174614</v>
      </c>
      <c r="L35" s="39" t="s">
        <v>5826</v>
      </c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 t="s">
        <v>5825</v>
      </c>
      <c r="H36" s="35">
        <v>1829</v>
      </c>
      <c r="I36" s="36">
        <v>3353</v>
      </c>
      <c r="J36" s="37">
        <v>1</v>
      </c>
      <c r="K36" s="25">
        <f t="shared" si="1"/>
        <v>6.1326369999999999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1"/>
        <v>0</v>
      </c>
      <c r="L37" s="39"/>
    </row>
    <row r="38" spans="1:12" s="27" customFormat="1" ht="19.5" customHeight="1" x14ac:dyDescent="0.3">
      <c r="A38" s="28" t="s">
        <v>5827</v>
      </c>
      <c r="B38" s="16" t="s">
        <v>2662</v>
      </c>
      <c r="C38" s="17">
        <v>22</v>
      </c>
      <c r="D38" s="18" t="s">
        <v>5828</v>
      </c>
      <c r="E38" s="41">
        <v>162</v>
      </c>
      <c r="F38" s="42">
        <v>135.84</v>
      </c>
      <c r="G38" s="34" t="s">
        <v>5825</v>
      </c>
      <c r="H38" s="35">
        <v>1981</v>
      </c>
      <c r="I38" s="36">
        <v>3353</v>
      </c>
      <c r="J38" s="37">
        <v>20</v>
      </c>
      <c r="K38" s="25">
        <f t="shared" si="1"/>
        <v>132.84586000000002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 t="s">
        <v>5829</v>
      </c>
      <c r="H39" s="35">
        <v>1981</v>
      </c>
      <c r="I39" s="36">
        <v>3353</v>
      </c>
      <c r="J39" s="37">
        <v>21</v>
      </c>
      <c r="K39" s="25">
        <f t="shared" si="1"/>
        <v>139.48815300000001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1"/>
        <v>0</v>
      </c>
      <c r="L40" s="39"/>
    </row>
    <row r="41" spans="1:12" s="27" customFormat="1" ht="19.5" customHeight="1" x14ac:dyDescent="0.3">
      <c r="A41" s="28" t="s">
        <v>5745</v>
      </c>
      <c r="B41" s="16" t="s">
        <v>2662</v>
      </c>
      <c r="C41" s="17">
        <v>22</v>
      </c>
      <c r="D41" s="18" t="s">
        <v>665</v>
      </c>
      <c r="E41" s="41">
        <v>2</v>
      </c>
      <c r="F41" s="42">
        <v>6.46</v>
      </c>
      <c r="G41" s="34" t="s">
        <v>5829</v>
      </c>
      <c r="H41" s="35">
        <v>1981</v>
      </c>
      <c r="I41" s="36">
        <v>3353</v>
      </c>
      <c r="J41" s="37">
        <v>1</v>
      </c>
      <c r="K41" s="25">
        <f t="shared" si="1"/>
        <v>6.6422930000000004</v>
      </c>
      <c r="L41" s="39" t="s">
        <v>5830</v>
      </c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1"/>
        <v>0</v>
      </c>
      <c r="L42" s="39"/>
    </row>
    <row r="43" spans="1:12" s="27" customFormat="1" ht="19.5" customHeight="1" x14ac:dyDescent="0.3">
      <c r="A43" s="28" t="s">
        <v>5791</v>
      </c>
      <c r="B43" s="16" t="s">
        <v>2662</v>
      </c>
      <c r="C43" s="17">
        <v>22</v>
      </c>
      <c r="D43" s="18" t="s">
        <v>665</v>
      </c>
      <c r="E43" s="41">
        <v>4</v>
      </c>
      <c r="F43" s="42">
        <v>12.92</v>
      </c>
      <c r="G43" s="34" t="s">
        <v>5829</v>
      </c>
      <c r="H43" s="35">
        <v>1981</v>
      </c>
      <c r="I43" s="36">
        <v>3353</v>
      </c>
      <c r="J43" s="37">
        <v>2</v>
      </c>
      <c r="K43" s="25">
        <f t="shared" si="1"/>
        <v>13.284586000000001</v>
      </c>
      <c r="L43" s="39" t="s">
        <v>5830</v>
      </c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1"/>
        <v>0</v>
      </c>
      <c r="L44" s="39"/>
    </row>
    <row r="45" spans="1:12" s="27" customFormat="1" ht="19.5" customHeight="1" x14ac:dyDescent="0.3">
      <c r="A45" s="28" t="s">
        <v>5792</v>
      </c>
      <c r="B45" s="16" t="s">
        <v>2662</v>
      </c>
      <c r="C45" s="17">
        <v>22</v>
      </c>
      <c r="D45" s="18" t="s">
        <v>665</v>
      </c>
      <c r="E45" s="41">
        <v>8</v>
      </c>
      <c r="F45" s="42">
        <v>25.84</v>
      </c>
      <c r="G45" s="34" t="s">
        <v>5829</v>
      </c>
      <c r="H45" s="35">
        <v>1981</v>
      </c>
      <c r="I45" s="36">
        <v>3353</v>
      </c>
      <c r="J45" s="37">
        <v>4</v>
      </c>
      <c r="K45" s="25">
        <f t="shared" si="1"/>
        <v>26.569172000000002</v>
      </c>
      <c r="L45" s="39" t="s">
        <v>5830</v>
      </c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/>
      <c r="H46" s="35"/>
      <c r="I46" s="36"/>
      <c r="J46" s="37"/>
      <c r="K46" s="25">
        <f t="shared" si="0"/>
        <v>0</v>
      </c>
      <c r="L46" s="39"/>
    </row>
    <row r="47" spans="1:12" s="27" customFormat="1" ht="19.5" customHeight="1" x14ac:dyDescent="0.3">
      <c r="A47" s="28" t="s">
        <v>5782</v>
      </c>
      <c r="B47" s="16" t="s">
        <v>2662</v>
      </c>
      <c r="C47" s="17">
        <v>22</v>
      </c>
      <c r="D47" s="18" t="s">
        <v>665</v>
      </c>
      <c r="E47" s="41">
        <v>2</v>
      </c>
      <c r="F47" s="42">
        <v>6.46</v>
      </c>
      <c r="G47" s="34" t="s">
        <v>5829</v>
      </c>
      <c r="H47" s="35">
        <v>1981</v>
      </c>
      <c r="I47" s="36">
        <v>3353</v>
      </c>
      <c r="J47" s="37">
        <v>1</v>
      </c>
      <c r="K47" s="25">
        <f t="shared" si="0"/>
        <v>6.6422930000000004</v>
      </c>
      <c r="L47" s="39" t="s">
        <v>5830</v>
      </c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25">
        <f t="shared" si="0"/>
        <v>0</v>
      </c>
      <c r="L48" s="39"/>
    </row>
    <row r="49" spans="1:12" s="27" customFormat="1" ht="19.5" customHeight="1" x14ac:dyDescent="0.3">
      <c r="A49" s="28" t="s">
        <v>5831</v>
      </c>
      <c r="B49" s="16" t="s">
        <v>2662</v>
      </c>
      <c r="C49" s="17">
        <v>22</v>
      </c>
      <c r="D49" s="18" t="s">
        <v>45</v>
      </c>
      <c r="E49" s="41">
        <v>144</v>
      </c>
      <c r="F49" s="42">
        <v>88.14</v>
      </c>
      <c r="G49" s="34" t="s">
        <v>5829</v>
      </c>
      <c r="H49" s="35">
        <v>1981</v>
      </c>
      <c r="I49" s="36">
        <v>3353</v>
      </c>
      <c r="J49" s="37">
        <v>14</v>
      </c>
      <c r="K49" s="25">
        <f t="shared" ref="K49" si="2">(H49/1000*I49/1000)*J49</f>
        <v>92.992102000000003</v>
      </c>
      <c r="L49" s="39" t="s">
        <v>5830</v>
      </c>
    </row>
    <row r="50" spans="1:12" s="27" customFormat="1" ht="19.5" customHeight="1" x14ac:dyDescent="0.3">
      <c r="A50" s="28"/>
      <c r="B50" s="16"/>
      <c r="C50" s="17">
        <v>22</v>
      </c>
      <c r="D50" s="18" t="s">
        <v>45</v>
      </c>
      <c r="E50" s="41">
        <v>36</v>
      </c>
      <c r="F50" s="42">
        <v>10.08</v>
      </c>
      <c r="G50" s="34"/>
      <c r="H50" s="35"/>
      <c r="I50" s="36"/>
      <c r="J50" s="37"/>
      <c r="K50" s="25">
        <f t="shared" si="0"/>
        <v>0</v>
      </c>
      <c r="L50" s="39" t="s">
        <v>5830</v>
      </c>
    </row>
    <row r="51" spans="1:12" s="27" customFormat="1" ht="19.5" customHeight="1" x14ac:dyDescent="0.3">
      <c r="A51" s="28"/>
      <c r="B51" s="29"/>
      <c r="C51" s="30"/>
      <c r="D51" s="31"/>
      <c r="E51" s="41"/>
      <c r="F51" s="42"/>
      <c r="G51" s="43"/>
      <c r="H51" s="35"/>
      <c r="I51" s="36"/>
      <c r="J51" s="37"/>
      <c r="K51" s="25">
        <f t="shared" si="0"/>
        <v>0</v>
      </c>
      <c r="L51" s="39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5794</v>
      </c>
      <c r="B53" s="45" t="s">
        <v>5781</v>
      </c>
      <c r="C53" s="46">
        <v>22</v>
      </c>
      <c r="D53" s="47" t="s">
        <v>5795</v>
      </c>
      <c r="E53" s="48">
        <v>4</v>
      </c>
      <c r="F53" s="49">
        <v>1.1200000000000001</v>
      </c>
      <c r="G53" s="50" t="s">
        <v>5760</v>
      </c>
      <c r="H53" s="51">
        <v>1981</v>
      </c>
      <c r="I53" s="45">
        <v>3353</v>
      </c>
      <c r="J53" s="52">
        <v>1</v>
      </c>
      <c r="K53" s="53">
        <f t="shared" si="0"/>
        <v>6.6422930000000004</v>
      </c>
      <c r="L53" s="54" t="s">
        <v>5798</v>
      </c>
    </row>
    <row r="54" spans="1:12" s="55" customFormat="1" ht="19.5" customHeight="1" x14ac:dyDescent="0.3">
      <c r="A54" s="44"/>
      <c r="B54" s="45"/>
      <c r="C54" s="46">
        <v>22</v>
      </c>
      <c r="D54" s="47" t="s">
        <v>5796</v>
      </c>
      <c r="E54" s="48">
        <v>4</v>
      </c>
      <c r="F54" s="49">
        <v>1.1200000000000001</v>
      </c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>
        <v>24</v>
      </c>
      <c r="D55" s="47" t="s">
        <v>5797</v>
      </c>
      <c r="E55" s="48">
        <v>3</v>
      </c>
      <c r="F55" s="49">
        <v>0.95</v>
      </c>
      <c r="G55" s="50"/>
      <c r="H55" s="51"/>
      <c r="I55" s="45"/>
      <c r="J55" s="52"/>
      <c r="K55" s="53">
        <f t="shared" si="0"/>
        <v>0</v>
      </c>
      <c r="L55" s="54" t="s">
        <v>5799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5800</v>
      </c>
      <c r="B57" s="45" t="s">
        <v>5801</v>
      </c>
      <c r="C57" s="46">
        <v>24</v>
      </c>
      <c r="D57" s="47" t="s">
        <v>5802</v>
      </c>
      <c r="E57" s="48">
        <v>3</v>
      </c>
      <c r="F57" s="49">
        <v>4.42</v>
      </c>
      <c r="G57" s="50" t="s">
        <v>5803</v>
      </c>
      <c r="H57" s="51">
        <v>1829</v>
      </c>
      <c r="I57" s="45">
        <v>3353</v>
      </c>
      <c r="J57" s="52">
        <v>1</v>
      </c>
      <c r="K57" s="53">
        <f t="shared" si="0"/>
        <v>6.1326369999999999</v>
      </c>
      <c r="L57" s="54" t="s">
        <v>5766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5800</v>
      </c>
      <c r="B59" s="45" t="s">
        <v>5801</v>
      </c>
      <c r="C59" s="46">
        <v>24</v>
      </c>
      <c r="D59" s="47" t="s">
        <v>5802</v>
      </c>
      <c r="E59" s="48">
        <v>2</v>
      </c>
      <c r="F59" s="49">
        <v>3.16</v>
      </c>
      <c r="G59" s="50"/>
      <c r="H59" s="51"/>
      <c r="I59" s="45"/>
      <c r="J59" s="52"/>
      <c r="K59" s="53">
        <f t="shared" si="0"/>
        <v>0</v>
      </c>
      <c r="L59" s="54" t="s">
        <v>5804</v>
      </c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5805</v>
      </c>
      <c r="B61" s="45" t="s">
        <v>5806</v>
      </c>
      <c r="C61" s="46">
        <v>24</v>
      </c>
      <c r="D61" s="47" t="s">
        <v>5807</v>
      </c>
      <c r="E61" s="48">
        <v>1</v>
      </c>
      <c r="F61" s="49">
        <v>1.81</v>
      </c>
      <c r="G61" s="50"/>
      <c r="H61" s="51"/>
      <c r="I61" s="45"/>
      <c r="J61" s="52"/>
      <c r="K61" s="53">
        <f t="shared" si="0"/>
        <v>0</v>
      </c>
      <c r="L61" s="54" t="s">
        <v>5808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5809</v>
      </c>
      <c r="B63" s="45" t="s">
        <v>5810</v>
      </c>
      <c r="C63" s="46">
        <v>39</v>
      </c>
      <c r="D63" s="47" t="s">
        <v>5811</v>
      </c>
      <c r="E63" s="48">
        <v>2</v>
      </c>
      <c r="F63" s="49">
        <v>3.18</v>
      </c>
      <c r="G63" s="50" t="s">
        <v>5760</v>
      </c>
      <c r="H63" s="51">
        <v>1981</v>
      </c>
      <c r="I63" s="45">
        <v>3353</v>
      </c>
      <c r="J63" s="52">
        <v>1</v>
      </c>
      <c r="K63" s="53">
        <f t="shared" si="0"/>
        <v>6.6422930000000004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 t="s">
        <v>5812</v>
      </c>
      <c r="H64" s="51">
        <v>1981</v>
      </c>
      <c r="I64" s="45">
        <v>3048</v>
      </c>
      <c r="J64" s="52">
        <v>1</v>
      </c>
      <c r="K64" s="53">
        <f t="shared" si="0"/>
        <v>6.038088000000001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5754</v>
      </c>
      <c r="B66" s="45" t="s">
        <v>3370</v>
      </c>
      <c r="C66" s="46">
        <v>22</v>
      </c>
      <c r="D66" s="47" t="s">
        <v>5783</v>
      </c>
      <c r="E66" s="48">
        <v>2</v>
      </c>
      <c r="F66" s="49">
        <v>6.28</v>
      </c>
      <c r="G66" s="50" t="s">
        <v>5771</v>
      </c>
      <c r="H66" s="51">
        <v>2134</v>
      </c>
      <c r="I66" s="45">
        <v>3353</v>
      </c>
      <c r="J66" s="52">
        <v>4</v>
      </c>
      <c r="K66" s="53">
        <f t="shared" si="0"/>
        <v>28.621207999999999</v>
      </c>
      <c r="L66" s="54"/>
    </row>
    <row r="67" spans="1:12" s="55" customFormat="1" ht="19.5" customHeight="1" x14ac:dyDescent="0.3">
      <c r="A67" s="44"/>
      <c r="B67" s="76"/>
      <c r="C67" s="77">
        <v>22</v>
      </c>
      <c r="D67" s="47" t="s">
        <v>5813</v>
      </c>
      <c r="E67" s="48">
        <v>28</v>
      </c>
      <c r="F67" s="49">
        <v>23.84</v>
      </c>
      <c r="G67" s="50" t="s">
        <v>5814</v>
      </c>
      <c r="H67" s="51">
        <v>2134</v>
      </c>
      <c r="I67" s="45">
        <v>3353</v>
      </c>
      <c r="J67" s="52">
        <v>4</v>
      </c>
      <c r="K67" s="53">
        <f t="shared" si="0"/>
        <v>28.621207999999999</v>
      </c>
      <c r="L67" s="54"/>
    </row>
    <row r="68" spans="1:12" s="55" customFormat="1" ht="19.5" customHeight="1" x14ac:dyDescent="0.3">
      <c r="A68" s="44"/>
      <c r="B68" s="76"/>
      <c r="C68" s="77"/>
      <c r="D68" s="78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5815</v>
      </c>
      <c r="B69" s="45" t="s">
        <v>3370</v>
      </c>
      <c r="C69" s="46">
        <v>22</v>
      </c>
      <c r="D69" s="47" t="s">
        <v>5783</v>
      </c>
      <c r="E69" s="48">
        <v>1</v>
      </c>
      <c r="F69" s="49">
        <v>2.94</v>
      </c>
      <c r="G69" s="50" t="s">
        <v>5771</v>
      </c>
      <c r="H69" s="51">
        <v>2134</v>
      </c>
      <c r="I69" s="45">
        <v>3353</v>
      </c>
      <c r="J69" s="52">
        <v>2</v>
      </c>
      <c r="K69" s="53">
        <f t="shared" si="0"/>
        <v>14.310604</v>
      </c>
      <c r="L69" s="54"/>
    </row>
    <row r="70" spans="1:12" s="55" customFormat="1" ht="19.5" customHeight="1" x14ac:dyDescent="0.3">
      <c r="A70" s="44"/>
      <c r="B70" s="76"/>
      <c r="C70" s="77">
        <v>22</v>
      </c>
      <c r="D70" s="47" t="s">
        <v>5813</v>
      </c>
      <c r="E70" s="48">
        <v>14</v>
      </c>
      <c r="F70" s="49">
        <v>10.52</v>
      </c>
      <c r="G70" s="50" t="s">
        <v>5760</v>
      </c>
      <c r="H70" s="51">
        <v>2134</v>
      </c>
      <c r="I70" s="45">
        <v>3353</v>
      </c>
      <c r="J70" s="52">
        <v>2</v>
      </c>
      <c r="K70" s="53">
        <f t="shared" si="0"/>
        <v>14.310604</v>
      </c>
      <c r="L70" s="54"/>
    </row>
    <row r="71" spans="1:12" s="55" customFormat="1" ht="19.5" customHeight="1" x14ac:dyDescent="0.3">
      <c r="A71" s="44"/>
      <c r="B71" s="76"/>
      <c r="C71" s="46">
        <v>22</v>
      </c>
      <c r="D71" s="47" t="s">
        <v>17</v>
      </c>
      <c r="E71" s="48">
        <v>13</v>
      </c>
      <c r="F71" s="49">
        <v>12.74</v>
      </c>
      <c r="G71" s="50" t="s">
        <v>5814</v>
      </c>
      <c r="H71" s="51">
        <v>2134</v>
      </c>
      <c r="I71" s="45">
        <v>3353</v>
      </c>
      <c r="J71" s="52">
        <v>4</v>
      </c>
      <c r="K71" s="53">
        <f t="shared" si="0"/>
        <v>28.621207999999999</v>
      </c>
      <c r="L71" s="54"/>
    </row>
    <row r="72" spans="1:12" s="55" customFormat="1" ht="19.5" customHeight="1" x14ac:dyDescent="0.3">
      <c r="A72" s="44"/>
      <c r="B72" s="76"/>
      <c r="C72" s="77"/>
      <c r="D72" s="78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 t="s">
        <v>5816</v>
      </c>
      <c r="B73" s="45" t="s">
        <v>3370</v>
      </c>
      <c r="C73" s="46">
        <v>22</v>
      </c>
      <c r="D73" s="47" t="s">
        <v>5783</v>
      </c>
      <c r="E73" s="48">
        <v>1</v>
      </c>
      <c r="F73" s="49">
        <v>3.14</v>
      </c>
      <c r="G73" s="50" t="s">
        <v>5771</v>
      </c>
      <c r="H73" s="51">
        <v>2134</v>
      </c>
      <c r="I73" s="45">
        <v>3353</v>
      </c>
      <c r="J73" s="52">
        <v>3</v>
      </c>
      <c r="K73" s="53">
        <f t="shared" si="0"/>
        <v>21.465906</v>
      </c>
      <c r="L73" s="54"/>
    </row>
    <row r="74" spans="1:12" s="55" customFormat="1" ht="19.5" customHeight="1" x14ac:dyDescent="0.3">
      <c r="A74" s="44"/>
      <c r="B74" s="76"/>
      <c r="C74" s="77">
        <v>22</v>
      </c>
      <c r="D74" s="47" t="s">
        <v>5813</v>
      </c>
      <c r="E74" s="48">
        <v>14</v>
      </c>
      <c r="F74" s="49">
        <v>11.92</v>
      </c>
      <c r="G74" s="50" t="s">
        <v>5760</v>
      </c>
      <c r="H74" s="51">
        <v>2134</v>
      </c>
      <c r="I74" s="45">
        <v>3353</v>
      </c>
      <c r="J74" s="52">
        <v>2</v>
      </c>
      <c r="K74" s="53">
        <f t="shared" si="0"/>
        <v>14.310604</v>
      </c>
      <c r="L74" s="54"/>
    </row>
    <row r="75" spans="1:12" s="55" customFormat="1" ht="19.5" customHeight="1" x14ac:dyDescent="0.3">
      <c r="A75" s="44"/>
      <c r="B75" s="76"/>
      <c r="C75" s="46">
        <v>22</v>
      </c>
      <c r="D75" s="47" t="s">
        <v>17</v>
      </c>
      <c r="E75" s="48">
        <v>11</v>
      </c>
      <c r="F75" s="49">
        <v>11.82</v>
      </c>
      <c r="G75" s="50" t="s">
        <v>5814</v>
      </c>
      <c r="H75" s="51">
        <v>2134</v>
      </c>
      <c r="I75" s="45">
        <v>3353</v>
      </c>
      <c r="J75" s="52">
        <v>4</v>
      </c>
      <c r="K75" s="53">
        <f t="shared" si="0"/>
        <v>28.621207999999999</v>
      </c>
      <c r="L75" s="54"/>
    </row>
    <row r="76" spans="1:12" s="55" customFormat="1" ht="19.5" customHeight="1" x14ac:dyDescent="0.3">
      <c r="A76" s="44"/>
      <c r="B76" s="76"/>
      <c r="C76" s="77"/>
      <c r="D76" s="78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 t="s">
        <v>5817</v>
      </c>
      <c r="B77" s="45" t="s">
        <v>3370</v>
      </c>
      <c r="C77" s="46">
        <v>22</v>
      </c>
      <c r="D77" s="47" t="s">
        <v>5783</v>
      </c>
      <c r="E77" s="48">
        <v>2</v>
      </c>
      <c r="F77" s="49">
        <v>8.34</v>
      </c>
      <c r="G77" s="50" t="s">
        <v>5771</v>
      </c>
      <c r="H77" s="51">
        <v>2134</v>
      </c>
      <c r="I77" s="45">
        <v>3353</v>
      </c>
      <c r="J77" s="52">
        <v>5</v>
      </c>
      <c r="K77" s="53">
        <f t="shared" si="0"/>
        <v>35.776510000000002</v>
      </c>
      <c r="L77" s="54"/>
    </row>
    <row r="78" spans="1:12" s="55" customFormat="1" ht="19.5" customHeight="1" x14ac:dyDescent="0.3">
      <c r="A78" s="44"/>
      <c r="B78" s="76"/>
      <c r="C78" s="77">
        <v>22</v>
      </c>
      <c r="D78" s="47" t="s">
        <v>5813</v>
      </c>
      <c r="E78" s="48">
        <v>30</v>
      </c>
      <c r="F78" s="49">
        <v>24.3</v>
      </c>
      <c r="G78" s="50" t="s">
        <v>5760</v>
      </c>
      <c r="H78" s="51">
        <v>2134</v>
      </c>
      <c r="I78" s="45">
        <v>3353</v>
      </c>
      <c r="J78" s="52">
        <v>4</v>
      </c>
      <c r="K78" s="53">
        <f t="shared" si="0"/>
        <v>28.621207999999999</v>
      </c>
      <c r="L78" s="54"/>
    </row>
    <row r="79" spans="1:12" s="55" customFormat="1" ht="19.5" customHeight="1" x14ac:dyDescent="0.3">
      <c r="A79" s="44"/>
      <c r="B79" s="76"/>
      <c r="C79" s="46">
        <v>22</v>
      </c>
      <c r="D79" s="47" t="s">
        <v>17</v>
      </c>
      <c r="E79" s="48">
        <v>26</v>
      </c>
      <c r="F79" s="49">
        <v>28.54</v>
      </c>
      <c r="G79" s="50" t="s">
        <v>5814</v>
      </c>
      <c r="H79" s="51">
        <v>2134</v>
      </c>
      <c r="I79" s="45">
        <v>3353</v>
      </c>
      <c r="J79" s="52">
        <v>9</v>
      </c>
      <c r="K79" s="53">
        <f t="shared" si="0"/>
        <v>64.397717999999998</v>
      </c>
      <c r="L79" s="54"/>
    </row>
    <row r="80" spans="1:12" s="55" customFormat="1" ht="19.5" customHeight="1" x14ac:dyDescent="0.3">
      <c r="A80" s="44"/>
      <c r="B80" s="45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 t="s">
        <v>5818</v>
      </c>
      <c r="B81" s="76"/>
      <c r="C81" s="46"/>
      <c r="D81" s="78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45" t="s">
        <v>5801</v>
      </c>
      <c r="C82" s="46">
        <v>24</v>
      </c>
      <c r="D82" s="47" t="s">
        <v>5802</v>
      </c>
      <c r="E82" s="48">
        <v>104</v>
      </c>
      <c r="F82" s="49">
        <v>151.13</v>
      </c>
      <c r="G82" s="50" t="s">
        <v>5803</v>
      </c>
      <c r="H82" s="51">
        <v>3048</v>
      </c>
      <c r="I82" s="45">
        <v>3658</v>
      </c>
      <c r="J82" s="52">
        <v>2</v>
      </c>
      <c r="K82" s="53">
        <f t="shared" si="0"/>
        <v>22.299168000000002</v>
      </c>
      <c r="L82" s="54" t="s">
        <v>5819</v>
      </c>
    </row>
    <row r="83" spans="1:12" s="55" customFormat="1" ht="19.5" customHeight="1" x14ac:dyDescent="0.3">
      <c r="A83" s="44"/>
      <c r="B83" s="45"/>
      <c r="C83" s="46"/>
      <c r="D83" s="47"/>
      <c r="E83" s="48"/>
      <c r="F83" s="49"/>
      <c r="G83" s="50" t="s">
        <v>5803</v>
      </c>
      <c r="H83" s="51">
        <v>2438</v>
      </c>
      <c r="I83" s="45">
        <v>3353</v>
      </c>
      <c r="J83" s="52">
        <v>15</v>
      </c>
      <c r="K83" s="53">
        <f t="shared" si="0"/>
        <v>122.61921</v>
      </c>
      <c r="L83" s="54"/>
    </row>
    <row r="84" spans="1:12" s="55" customFormat="1" ht="19.5" customHeight="1" x14ac:dyDescent="0.3">
      <c r="A84" s="44"/>
      <c r="B84" s="45"/>
      <c r="C84" s="46"/>
      <c r="D84" s="47"/>
      <c r="E84" s="48"/>
      <c r="F84" s="49"/>
      <c r="G84" s="50" t="s">
        <v>5803</v>
      </c>
      <c r="H84" s="51">
        <v>1829</v>
      </c>
      <c r="I84" s="45">
        <v>3353</v>
      </c>
      <c r="J84" s="52">
        <v>8</v>
      </c>
      <c r="K84" s="53">
        <f t="shared" si="0"/>
        <v>49.061095999999999</v>
      </c>
      <c r="L84" s="54"/>
    </row>
    <row r="85" spans="1:12" s="55" customFormat="1" ht="19.5" customHeight="1" x14ac:dyDescent="0.3">
      <c r="A85" s="44"/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5" customFormat="1" ht="19.5" customHeight="1" x14ac:dyDescent="0.3">
      <c r="A86" s="44" t="s">
        <v>5793</v>
      </c>
      <c r="B86" s="45"/>
      <c r="C86" s="46"/>
      <c r="D86" s="47"/>
      <c r="E86" s="48"/>
      <c r="F86" s="49"/>
      <c r="G86" s="50"/>
      <c r="H86" s="51"/>
      <c r="I86" s="45"/>
      <c r="J86" s="52"/>
      <c r="K86" s="53">
        <f t="shared" si="0"/>
        <v>0</v>
      </c>
      <c r="L86" s="54"/>
    </row>
    <row r="87" spans="1:12" s="55" customFormat="1" ht="19.5" customHeight="1" x14ac:dyDescent="0.3">
      <c r="A87" s="44" t="s">
        <v>5832</v>
      </c>
      <c r="B87" s="45" t="s">
        <v>5833</v>
      </c>
      <c r="C87" s="46">
        <v>24</v>
      </c>
      <c r="D87" s="47" t="s">
        <v>5834</v>
      </c>
      <c r="E87" s="48">
        <v>74</v>
      </c>
      <c r="F87" s="49">
        <v>104.44</v>
      </c>
      <c r="G87" s="50" t="s">
        <v>5835</v>
      </c>
      <c r="H87" s="51">
        <v>2438</v>
      </c>
      <c r="I87" s="45">
        <v>3353</v>
      </c>
      <c r="J87" s="52">
        <v>14</v>
      </c>
      <c r="K87" s="53">
        <f t="shared" si="0"/>
        <v>114.444596</v>
      </c>
      <c r="L87" s="54"/>
    </row>
    <row r="88" spans="1:12" s="55" customFormat="1" ht="19.5" customHeight="1" x14ac:dyDescent="0.3">
      <c r="A88" s="44"/>
      <c r="B88" s="45"/>
      <c r="C88" s="46"/>
      <c r="D88" s="47"/>
      <c r="E88" s="48"/>
      <c r="F88" s="49"/>
      <c r="G88" s="50" t="s">
        <v>5825</v>
      </c>
      <c r="H88" s="51">
        <v>2438</v>
      </c>
      <c r="I88" s="45">
        <v>3353</v>
      </c>
      <c r="J88" s="52">
        <v>14</v>
      </c>
      <c r="K88" s="53">
        <f t="shared" si="0"/>
        <v>114.444596</v>
      </c>
      <c r="L88" s="54"/>
    </row>
    <row r="89" spans="1:12" s="55" customFormat="1" ht="19.5" customHeight="1" x14ac:dyDescent="0.3">
      <c r="A89" s="44"/>
      <c r="B89" s="45"/>
      <c r="C89" s="46"/>
      <c r="D89" s="47"/>
      <c r="E89" s="48"/>
      <c r="F89" s="49"/>
      <c r="G89" s="50"/>
      <c r="H89" s="51"/>
      <c r="I89" s="45"/>
      <c r="J89" s="52"/>
      <c r="K89" s="53">
        <f t="shared" si="0"/>
        <v>0</v>
      </c>
      <c r="L89" s="54"/>
    </row>
    <row r="90" spans="1:12" s="55" customFormat="1" ht="19.5" customHeight="1" x14ac:dyDescent="0.3">
      <c r="A90" s="44" t="s">
        <v>5836</v>
      </c>
      <c r="B90" s="45" t="s">
        <v>5837</v>
      </c>
      <c r="C90" s="46">
        <v>22</v>
      </c>
      <c r="D90" s="47" t="s">
        <v>5828</v>
      </c>
      <c r="E90" s="48">
        <v>11</v>
      </c>
      <c r="F90" s="49">
        <v>16.309999999999999</v>
      </c>
      <c r="G90" s="50" t="s">
        <v>5825</v>
      </c>
      <c r="H90" s="51">
        <v>2286</v>
      </c>
      <c r="I90" s="45">
        <v>3048</v>
      </c>
      <c r="J90" s="52">
        <v>3</v>
      </c>
      <c r="K90" s="53">
        <f t="shared" si="0"/>
        <v>20.903184</v>
      </c>
      <c r="L90" s="54" t="s">
        <v>5838</v>
      </c>
    </row>
    <row r="91" spans="1:12" s="55" customFormat="1" ht="19.5" customHeight="1" x14ac:dyDescent="0.3">
      <c r="A91" s="44"/>
      <c r="B91" s="45"/>
      <c r="C91" s="46"/>
      <c r="D91" s="47"/>
      <c r="E91" s="48"/>
      <c r="F91" s="49"/>
      <c r="G91" s="50" t="s">
        <v>19</v>
      </c>
      <c r="H91" s="51">
        <v>2286</v>
      </c>
      <c r="I91" s="45">
        <v>3048</v>
      </c>
      <c r="J91" s="52">
        <v>3</v>
      </c>
      <c r="K91" s="53">
        <f t="shared" si="0"/>
        <v>20.903184</v>
      </c>
      <c r="L91" s="54"/>
    </row>
    <row r="92" spans="1:12" s="55" customFormat="1" ht="19.5" customHeight="1" x14ac:dyDescent="0.3">
      <c r="A92" s="44"/>
      <c r="B92" s="45"/>
      <c r="C92" s="46"/>
      <c r="D92" s="47"/>
      <c r="E92" s="48"/>
      <c r="F92" s="49"/>
      <c r="G92" s="50"/>
      <c r="H92" s="51"/>
      <c r="I92" s="45"/>
      <c r="J92" s="52"/>
      <c r="K92" s="53">
        <f t="shared" si="0"/>
        <v>0</v>
      </c>
      <c r="L92" s="54"/>
    </row>
    <row r="93" spans="1:12" s="55" customFormat="1" ht="19.5" customHeight="1" x14ac:dyDescent="0.3">
      <c r="A93" s="44" t="s">
        <v>5839</v>
      </c>
      <c r="B93" s="45" t="s">
        <v>5833</v>
      </c>
      <c r="C93" s="46">
        <v>24</v>
      </c>
      <c r="D93" s="47" t="s">
        <v>5834</v>
      </c>
      <c r="E93" s="48">
        <v>104</v>
      </c>
      <c r="F93" s="49">
        <v>151.13</v>
      </c>
      <c r="G93" s="50" t="s">
        <v>5825</v>
      </c>
      <c r="H93" s="51">
        <v>2438</v>
      </c>
      <c r="I93" s="45">
        <v>3353</v>
      </c>
      <c r="J93" s="52">
        <v>10</v>
      </c>
      <c r="K93" s="53">
        <f t="shared" si="0"/>
        <v>81.746139999999997</v>
      </c>
      <c r="L93" s="54" t="s">
        <v>5840</v>
      </c>
    </row>
    <row r="94" spans="1:12" s="55" customFormat="1" ht="19.5" customHeight="1" x14ac:dyDescent="0.3">
      <c r="A94" s="44"/>
      <c r="B94" s="45"/>
      <c r="C94" s="46"/>
      <c r="D94" s="47"/>
      <c r="E94" s="48"/>
      <c r="F94" s="49"/>
      <c r="G94" s="50" t="s">
        <v>5825</v>
      </c>
      <c r="H94" s="51">
        <v>1829</v>
      </c>
      <c r="I94" s="45">
        <v>3353</v>
      </c>
      <c r="J94" s="52">
        <v>15</v>
      </c>
      <c r="K94" s="53">
        <f t="shared" si="0"/>
        <v>91.989554999999996</v>
      </c>
      <c r="L94" s="54"/>
    </row>
    <row r="95" spans="1:12" s="55" customFormat="1" ht="19.5" customHeight="1" x14ac:dyDescent="0.3">
      <c r="A95" s="44"/>
      <c r="B95" s="45"/>
      <c r="C95" s="46"/>
      <c r="D95" s="47"/>
      <c r="E95" s="48"/>
      <c r="F95" s="49"/>
      <c r="G95" s="50"/>
      <c r="H95" s="51"/>
      <c r="I95" s="45"/>
      <c r="J95" s="52"/>
      <c r="K95" s="53">
        <f t="shared" si="0"/>
        <v>0</v>
      </c>
      <c r="L95" s="54"/>
    </row>
    <row r="96" spans="1:12" s="55" customFormat="1" ht="19.5" customHeight="1" x14ac:dyDescent="0.3">
      <c r="A96" s="44"/>
      <c r="B96" s="45"/>
      <c r="C96" s="46"/>
      <c r="D96" s="47"/>
      <c r="E96" s="48"/>
      <c r="F96" s="49"/>
      <c r="G96" s="50"/>
      <c r="H96" s="51"/>
      <c r="I96" s="45"/>
      <c r="J96" s="52"/>
      <c r="K96" s="53">
        <f t="shared" si="0"/>
        <v>0</v>
      </c>
      <c r="L96" s="54"/>
    </row>
    <row r="97" spans="1:12" s="55" customFormat="1" ht="19.5" customHeight="1" x14ac:dyDescent="0.3">
      <c r="A97" s="44"/>
      <c r="B97" s="45"/>
      <c r="C97" s="46"/>
      <c r="D97" s="47"/>
      <c r="E97" s="48"/>
      <c r="F97" s="49"/>
      <c r="G97" s="50"/>
      <c r="H97" s="51"/>
      <c r="I97" s="45"/>
      <c r="J97" s="52"/>
      <c r="K97" s="53">
        <f t="shared" si="0"/>
        <v>0</v>
      </c>
      <c r="L97" s="54"/>
    </row>
    <row r="98" spans="1:12" s="55" customFormat="1" ht="19.5" customHeight="1" x14ac:dyDescent="0.3">
      <c r="A98" s="44"/>
      <c r="B98" s="45"/>
      <c r="C98" s="46"/>
      <c r="D98" s="47"/>
      <c r="E98" s="48"/>
      <c r="F98" s="49"/>
      <c r="G98" s="50"/>
      <c r="H98" s="51"/>
      <c r="I98" s="45"/>
      <c r="J98" s="52"/>
      <c r="K98" s="53">
        <f t="shared" si="0"/>
        <v>0</v>
      </c>
      <c r="L98" s="54"/>
    </row>
    <row r="99" spans="1:12" s="55" customFormat="1" ht="19.5" customHeight="1" x14ac:dyDescent="0.3">
      <c r="A99" s="44"/>
      <c r="B99" s="45"/>
      <c r="C99" s="46"/>
      <c r="D99" s="47"/>
      <c r="E99" s="48"/>
      <c r="F99" s="49"/>
      <c r="G99" s="50"/>
      <c r="H99" s="51"/>
      <c r="I99" s="45"/>
      <c r="J99" s="52"/>
      <c r="K99" s="53">
        <f t="shared" si="0"/>
        <v>0</v>
      </c>
      <c r="L99" s="54"/>
    </row>
    <row r="100" spans="1:12" s="59" customFormat="1" ht="20.100000000000001" customHeight="1" x14ac:dyDescent="0.3">
      <c r="A100" s="44"/>
      <c r="B100" s="45"/>
      <c r="C100" s="46"/>
      <c r="D100" s="47"/>
      <c r="E100" s="56"/>
      <c r="F100" s="57"/>
      <c r="G100" s="50"/>
      <c r="H100" s="51"/>
      <c r="I100" s="45"/>
      <c r="J100" s="52"/>
      <c r="K100" s="53">
        <f t="shared" si="0"/>
        <v>0</v>
      </c>
      <c r="L100" s="58">
        <f>SUM(J52:J101)</f>
        <v>131</v>
      </c>
    </row>
    <row r="101" spans="1:12" s="59" customFormat="1" ht="20.100000000000001" customHeight="1" x14ac:dyDescent="0.3">
      <c r="A101" s="44"/>
      <c r="B101" s="45"/>
      <c r="C101" s="46"/>
      <c r="D101" s="47"/>
      <c r="E101" s="60"/>
      <c r="F101" s="61"/>
      <c r="G101" s="62"/>
      <c r="H101" s="51"/>
      <c r="I101" s="45"/>
      <c r="J101" s="63"/>
      <c r="K101" s="53">
        <f t="shared" si="0"/>
        <v>0</v>
      </c>
      <c r="L101" s="64">
        <f>SUM(K52:K101)</f>
        <v>971.54402600000014</v>
      </c>
    </row>
    <row r="102" spans="1:12" s="59" customFormat="1" ht="20.100000000000001" customHeight="1" thickBot="1" x14ac:dyDescent="0.35">
      <c r="A102" s="114"/>
      <c r="B102" s="115"/>
      <c r="C102" s="115"/>
      <c r="D102" s="115"/>
      <c r="E102" s="115"/>
      <c r="F102" s="115"/>
      <c r="G102" s="115"/>
      <c r="H102" s="115"/>
      <c r="I102" s="115"/>
      <c r="J102" s="65">
        <f>SUM(J7:J101)</f>
        <v>317</v>
      </c>
      <c r="K102" s="66">
        <f>SUM(K7:K101)</f>
        <v>2211.2524570000005</v>
      </c>
      <c r="L102" s="67"/>
    </row>
    <row r="103" spans="1:12" s="59" customFormat="1" ht="20.100000000000001" customHeight="1" thickTop="1" thickBot="1" x14ac:dyDescent="0.35">
      <c r="A103" s="116" t="s">
        <v>52</v>
      </c>
      <c r="B103" s="117"/>
      <c r="C103" s="68"/>
      <c r="D103" s="118">
        <f>J102</f>
        <v>317</v>
      </c>
      <c r="E103" s="119"/>
      <c r="F103" s="119"/>
      <c r="G103" s="120"/>
      <c r="H103" s="121"/>
      <c r="I103" s="121"/>
      <c r="J103" s="122"/>
      <c r="K103" s="119"/>
      <c r="L103" s="123"/>
    </row>
    <row r="104" spans="1:12" s="59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71"/>
    </row>
    <row r="105" spans="1:12" s="59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59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59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59" customFormat="1" ht="20.100000000000001" customHeight="1" x14ac:dyDescent="0.3">
      <c r="A108" s="113"/>
      <c r="B108" s="113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59" customFormat="1" ht="20.100000000000001" customHeight="1" x14ac:dyDescent="0.3">
      <c r="A109" s="113"/>
      <c r="B109" s="113"/>
      <c r="C109" s="5"/>
      <c r="D109" s="5"/>
      <c r="E109" s="72"/>
      <c r="F109" s="5"/>
      <c r="G109" s="5"/>
      <c r="H109" s="5"/>
      <c r="I109" s="5"/>
      <c r="J109" s="5"/>
      <c r="K109" s="5"/>
      <c r="L109" s="5"/>
    </row>
    <row r="110" spans="1:12" s="59" customFormat="1" ht="20.100000000000001" customHeight="1" x14ac:dyDescent="0.3">
      <c r="A110" s="113"/>
      <c r="B110" s="113"/>
      <c r="C110" s="5"/>
      <c r="D110" s="5"/>
      <c r="E110" s="5"/>
      <c r="F110" s="5"/>
      <c r="G110" s="73"/>
      <c r="H110" s="5"/>
      <c r="I110" s="74"/>
      <c r="J110" s="5"/>
      <c r="K110" s="5"/>
      <c r="L110" s="5"/>
    </row>
    <row r="111" spans="1:12" s="59" customFormat="1" ht="20.100000000000001" customHeight="1" x14ac:dyDescent="0.3">
      <c r="A111" s="113"/>
      <c r="B111" s="113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59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59" customFormat="1" ht="20.100000000000001" customHeight="1" x14ac:dyDescent="0.3">
      <c r="A113" s="113"/>
      <c r="B113" s="113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59" customFormat="1" ht="20.100000000000001" customHeight="1" x14ac:dyDescent="0.3">
      <c r="A114" s="113"/>
      <c r="B114" s="113"/>
      <c r="C114" s="5"/>
      <c r="D114" s="5"/>
      <c r="E114" s="5"/>
      <c r="F114" s="70"/>
      <c r="G114" s="5"/>
      <c r="H114" s="72"/>
      <c r="I114" s="72"/>
      <c r="J114" s="5"/>
      <c r="K114" s="5"/>
      <c r="L114" s="5"/>
    </row>
    <row r="115" spans="1:12" ht="20.100000000000001" customHeight="1" x14ac:dyDescent="0.3">
      <c r="A115" s="113"/>
      <c r="B115" s="113"/>
      <c r="H115" s="72"/>
      <c r="I115" s="72"/>
    </row>
    <row r="116" spans="1:12" ht="20.100000000000001" customHeight="1" x14ac:dyDescent="0.3">
      <c r="H116" s="72"/>
      <c r="I116" s="72"/>
    </row>
    <row r="117" spans="1:12" ht="20.100000000000001" customHeight="1" x14ac:dyDescent="0.3">
      <c r="H117" s="72"/>
      <c r="I117" s="72"/>
    </row>
    <row r="118" spans="1:12" ht="20.100000000000001" customHeight="1" x14ac:dyDescent="0.3">
      <c r="A118" s="113"/>
      <c r="B118" s="113"/>
      <c r="H118" s="72"/>
      <c r="I118" s="72"/>
    </row>
    <row r="119" spans="1:12" ht="20.100000000000001" customHeight="1" x14ac:dyDescent="0.3">
      <c r="A119" s="113"/>
      <c r="B119" s="113"/>
      <c r="H119" s="72"/>
      <c r="I119" s="72"/>
    </row>
    <row r="120" spans="1:12" ht="20.100000000000001" customHeight="1" x14ac:dyDescent="0.3">
      <c r="H120" s="72"/>
      <c r="I120" s="72"/>
    </row>
    <row r="121" spans="1:12" ht="20.100000000000001" customHeight="1" x14ac:dyDescent="0.3">
      <c r="H121" s="72"/>
      <c r="I121" s="72"/>
    </row>
    <row r="122" spans="1:12" ht="20.100000000000001" customHeight="1" x14ac:dyDescent="0.3">
      <c r="H122" s="72"/>
      <c r="I122" s="72"/>
    </row>
    <row r="123" spans="1:12" s="72" customFormat="1" ht="20.100000000000001" customHeight="1" x14ac:dyDescent="0.3">
      <c r="A123" s="69"/>
      <c r="B123" s="5"/>
      <c r="C123" s="5"/>
      <c r="D123" s="5"/>
      <c r="E123" s="5"/>
      <c r="F123" s="70"/>
      <c r="G123" s="5"/>
      <c r="J123" s="5"/>
      <c r="K123" s="5"/>
      <c r="L123" s="5"/>
    </row>
    <row r="124" spans="1:12" s="72" customFormat="1" ht="20.100000000000001" customHeight="1" x14ac:dyDescent="0.3">
      <c r="A124" s="69"/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75" customFormat="1" ht="20.100000000000001" customHeight="1" x14ac:dyDescent="0.3">
      <c r="A125" s="69"/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75" customFormat="1" ht="20.100000000000001" customHeight="1" x14ac:dyDescent="0.3">
      <c r="A126" s="69"/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75" customFormat="1" ht="19.5" customHeight="1" x14ac:dyDescent="0.3">
      <c r="A127" s="69"/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72" customFormat="1" ht="20.100000000000001" customHeight="1" x14ac:dyDescent="0.3">
      <c r="A128" s="69"/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1:12" s="72" customFormat="1" ht="20.100000000000001" customHeight="1" x14ac:dyDescent="0.3">
      <c r="A129" s="69"/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1:12" ht="19.5" customHeight="1" x14ac:dyDescent="0.3"/>
    <row r="131" spans="1:12" ht="19.5" customHeight="1" x14ac:dyDescent="0.3"/>
    <row r="132" spans="1:12" ht="19.5" customHeight="1" x14ac:dyDescent="0.3"/>
    <row r="133" spans="1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1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1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1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1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1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1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1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1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1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1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1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ht="19.5" customHeight="1" x14ac:dyDescent="0.3"/>
    <row r="150" spans="2:12" ht="19.5" customHeight="1" x14ac:dyDescent="0.3"/>
    <row r="151" spans="2:12" ht="19.5" customHeight="1" x14ac:dyDescent="0.3"/>
    <row r="152" spans="2:12" ht="19.5" customHeight="1" x14ac:dyDescent="0.3"/>
    <row r="153" spans="2:12" ht="19.5" customHeight="1" x14ac:dyDescent="0.3"/>
    <row r="154" spans="2:12" ht="19.5" customHeight="1" x14ac:dyDescent="0.3"/>
    <row r="155" spans="2:12" ht="19.5" customHeight="1" x14ac:dyDescent="0.3"/>
    <row r="156" spans="2:12" ht="19.5" customHeight="1" x14ac:dyDescent="0.3"/>
    <row r="157" spans="2:12" ht="19.5" customHeight="1" x14ac:dyDescent="0.3"/>
    <row r="158" spans="2:12" ht="19.5" customHeight="1" x14ac:dyDescent="0.3"/>
    <row r="159" spans="2:12" ht="19.5" customHeight="1" x14ac:dyDescent="0.3"/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  <row r="185" spans="2:12" s="69" customFormat="1" ht="19.5" customHeight="1" x14ac:dyDescent="0.3">
      <c r="B185" s="5"/>
      <c r="C185" s="5"/>
      <c r="D185" s="5"/>
      <c r="E185" s="5"/>
      <c r="F185" s="70"/>
      <c r="G185" s="5"/>
      <c r="H185" s="5"/>
      <c r="I185" s="5"/>
      <c r="J185" s="5"/>
      <c r="K185" s="5"/>
      <c r="L185" s="5"/>
    </row>
    <row r="186" spans="2:12" s="69" customFormat="1" ht="19.5" customHeight="1" x14ac:dyDescent="0.3">
      <c r="B186" s="5"/>
      <c r="C186" s="5"/>
      <c r="D186" s="5"/>
      <c r="E186" s="5"/>
      <c r="F186" s="70"/>
      <c r="G186" s="5"/>
      <c r="H186" s="5"/>
      <c r="I186" s="5"/>
      <c r="J186" s="5"/>
      <c r="K186" s="5"/>
      <c r="L186" s="5"/>
    </row>
    <row r="187" spans="2:12" s="69" customFormat="1" ht="19.5" customHeight="1" x14ac:dyDescent="0.3">
      <c r="B187" s="5"/>
      <c r="C187" s="5"/>
      <c r="D187" s="5"/>
      <c r="E187" s="5"/>
      <c r="F187" s="70"/>
      <c r="G187" s="5"/>
      <c r="H187" s="5"/>
      <c r="I187" s="5"/>
      <c r="J187" s="5"/>
      <c r="K187" s="5"/>
      <c r="L187" s="5"/>
    </row>
    <row r="188" spans="2:12" s="69" customFormat="1" ht="19.5" customHeight="1" x14ac:dyDescent="0.3">
      <c r="B188" s="5"/>
      <c r="C188" s="5"/>
      <c r="D188" s="5"/>
      <c r="E188" s="5"/>
      <c r="F188" s="70"/>
      <c r="G188" s="5"/>
      <c r="H188" s="5"/>
      <c r="I188" s="5"/>
      <c r="J188" s="5"/>
      <c r="K188" s="5"/>
      <c r="L188" s="5"/>
    </row>
    <row r="189" spans="2:12" s="69" customFormat="1" ht="19.5" customHeight="1" x14ac:dyDescent="0.3">
      <c r="B189" s="5"/>
      <c r="C189" s="5"/>
      <c r="D189" s="5"/>
      <c r="E189" s="5"/>
      <c r="F189" s="70"/>
      <c r="G189" s="5"/>
      <c r="H189" s="5"/>
      <c r="I189" s="5"/>
      <c r="J189" s="5"/>
      <c r="K189" s="5"/>
      <c r="L189" s="5"/>
    </row>
    <row r="190" spans="2:12" s="69" customFormat="1" ht="19.5" customHeight="1" x14ac:dyDescent="0.3">
      <c r="B190" s="5"/>
      <c r="C190" s="5"/>
      <c r="D190" s="5"/>
      <c r="E190" s="5"/>
      <c r="F190" s="70"/>
      <c r="G190" s="5"/>
      <c r="H190" s="5"/>
      <c r="I190" s="5"/>
      <c r="J190" s="5"/>
      <c r="K190" s="5"/>
      <c r="L190" s="5"/>
    </row>
    <row r="191" spans="2:12" s="69" customFormat="1" ht="19.5" customHeight="1" x14ac:dyDescent="0.3">
      <c r="B191" s="5"/>
      <c r="C191" s="5"/>
      <c r="D191" s="5"/>
      <c r="E191" s="5"/>
      <c r="F191" s="70"/>
      <c r="G191" s="5"/>
      <c r="H191" s="5"/>
      <c r="I191" s="5"/>
      <c r="J191" s="5"/>
      <c r="K191" s="5"/>
      <c r="L191" s="5"/>
    </row>
    <row r="192" spans="2:12" s="69" customFormat="1" ht="19.5" customHeight="1" x14ac:dyDescent="0.3">
      <c r="B192" s="5"/>
      <c r="C192" s="5"/>
      <c r="D192" s="5"/>
      <c r="E192" s="5"/>
      <c r="F192" s="70"/>
      <c r="G192" s="5"/>
      <c r="H192" s="5"/>
      <c r="I192" s="5"/>
      <c r="J192" s="5"/>
      <c r="K192" s="5"/>
      <c r="L192" s="5"/>
    </row>
    <row r="193" spans="2:12" s="69" customFormat="1" ht="19.5" customHeight="1" x14ac:dyDescent="0.3">
      <c r="B193" s="5"/>
      <c r="C193" s="5"/>
      <c r="D193" s="5"/>
      <c r="E193" s="5"/>
      <c r="F193" s="70"/>
      <c r="G193" s="5"/>
      <c r="H193" s="5"/>
      <c r="I193" s="5"/>
      <c r="J193" s="5"/>
      <c r="K193" s="5"/>
      <c r="L193" s="5"/>
    </row>
  </sheetData>
  <mergeCells count="30">
    <mergeCell ref="A118:B118"/>
    <mergeCell ref="A119:B119"/>
    <mergeCell ref="A109:B109"/>
    <mergeCell ref="A110:B110"/>
    <mergeCell ref="A111:B111"/>
    <mergeCell ref="A113:B113"/>
    <mergeCell ref="A114:B114"/>
    <mergeCell ref="A115:B115"/>
    <mergeCell ref="A108:B10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102:I102"/>
    <mergeCell ref="A103:B103"/>
    <mergeCell ref="D103:G103"/>
    <mergeCell ref="H103:J103"/>
    <mergeCell ref="K103:L103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38" orientation="portrait" verticalDpi="30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L192"/>
  <sheetViews>
    <sheetView view="pageBreakPreview" topLeftCell="A87" zoomScale="85" zoomScaleNormal="100" zoomScaleSheetLayoutView="85" workbookViewId="0">
      <selection activeCell="L99" sqref="L99:L10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46204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100" si="0">(H7/1000*I7/1000)*J7</f>
        <v>0</v>
      </c>
      <c r="L7" s="26">
        <f>SUM(J7:J37)</f>
        <v>129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SUM(K7:K37)</f>
        <v>1007.1547170000001</v>
      </c>
    </row>
    <row r="9" spans="1:12" s="27" customFormat="1" ht="19.5" customHeight="1" x14ac:dyDescent="0.3">
      <c r="A9" s="28" t="s">
        <v>5675</v>
      </c>
      <c r="B9" s="16" t="s">
        <v>5676</v>
      </c>
      <c r="C9" s="17">
        <v>12</v>
      </c>
      <c r="D9" s="18" t="s">
        <v>5677</v>
      </c>
      <c r="E9" s="41">
        <v>2</v>
      </c>
      <c r="F9" s="42">
        <v>0.56000000000000005</v>
      </c>
      <c r="G9" s="34"/>
      <c r="H9" s="35"/>
      <c r="I9" s="36"/>
      <c r="J9" s="37"/>
      <c r="K9" s="85">
        <f t="shared" si="0"/>
        <v>0</v>
      </c>
      <c r="L9" s="39" t="s">
        <v>5678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5679</v>
      </c>
      <c r="B11" s="16" t="s">
        <v>5680</v>
      </c>
      <c r="C11" s="17">
        <v>26.76</v>
      </c>
      <c r="D11" s="18" t="s">
        <v>5681</v>
      </c>
      <c r="E11" s="41">
        <v>23</v>
      </c>
      <c r="F11" s="42">
        <v>55.2</v>
      </c>
      <c r="G11" s="34" t="s">
        <v>5684</v>
      </c>
      <c r="H11" s="35">
        <v>2438</v>
      </c>
      <c r="I11" s="36">
        <v>3353</v>
      </c>
      <c r="J11" s="37">
        <v>54</v>
      </c>
      <c r="K11" s="85">
        <f t="shared" si="0"/>
        <v>441.42915599999998</v>
      </c>
      <c r="L11" s="39" t="s">
        <v>5687</v>
      </c>
    </row>
    <row r="12" spans="1:12" s="27" customFormat="1" ht="19.5" customHeight="1" x14ac:dyDescent="0.3">
      <c r="A12" s="28"/>
      <c r="B12" s="16"/>
      <c r="C12" s="17">
        <v>28</v>
      </c>
      <c r="D12" s="18" t="s">
        <v>5682</v>
      </c>
      <c r="E12" s="41">
        <v>23</v>
      </c>
      <c r="F12" s="42">
        <v>52.67</v>
      </c>
      <c r="G12" s="34" t="s">
        <v>5685</v>
      </c>
      <c r="H12" s="35">
        <v>2438</v>
      </c>
      <c r="I12" s="36">
        <v>3353</v>
      </c>
      <c r="J12" s="37">
        <v>19</v>
      </c>
      <c r="K12" s="85">
        <f t="shared" si="0"/>
        <v>155.317666</v>
      </c>
      <c r="L12" s="39" t="s">
        <v>5687</v>
      </c>
    </row>
    <row r="13" spans="1:12" s="27" customFormat="1" ht="19.5" customHeight="1" x14ac:dyDescent="0.3">
      <c r="A13" s="28"/>
      <c r="B13" s="16"/>
      <c r="C13" s="17">
        <v>28</v>
      </c>
      <c r="D13" s="18" t="s">
        <v>5683</v>
      </c>
      <c r="E13" s="41">
        <v>82</v>
      </c>
      <c r="F13" s="42">
        <v>142.34</v>
      </c>
      <c r="G13" s="34" t="s">
        <v>5685</v>
      </c>
      <c r="H13" s="35">
        <v>2438</v>
      </c>
      <c r="I13" s="36">
        <v>3048</v>
      </c>
      <c r="J13" s="37">
        <v>20</v>
      </c>
      <c r="K13" s="85">
        <f t="shared" si="0"/>
        <v>148.62048000000001</v>
      </c>
      <c r="L13" s="39" t="s">
        <v>5687</v>
      </c>
    </row>
    <row r="14" spans="1:12" s="27" customFormat="1" ht="19.5" customHeight="1" x14ac:dyDescent="0.3">
      <c r="A14" s="28"/>
      <c r="B14" s="16"/>
      <c r="C14" s="17">
        <v>28</v>
      </c>
      <c r="D14" s="18" t="s">
        <v>5682</v>
      </c>
      <c r="E14" s="41">
        <v>18</v>
      </c>
      <c r="F14" s="42">
        <v>50.64</v>
      </c>
      <c r="G14" s="34" t="s">
        <v>5685</v>
      </c>
      <c r="H14" s="35">
        <v>2134</v>
      </c>
      <c r="I14" s="36">
        <v>3048</v>
      </c>
      <c r="J14" s="37">
        <v>3</v>
      </c>
      <c r="K14" s="85">
        <f t="shared" si="0"/>
        <v>19.513295999999997</v>
      </c>
      <c r="L14" s="39" t="s">
        <v>5687</v>
      </c>
    </row>
    <row r="15" spans="1:12" s="27" customFormat="1" ht="19.5" customHeight="1" x14ac:dyDescent="0.3">
      <c r="A15" s="28" t="s">
        <v>5686</v>
      </c>
      <c r="B15" s="16" t="s">
        <v>5680</v>
      </c>
      <c r="C15" s="17">
        <v>28</v>
      </c>
      <c r="D15" s="18" t="s">
        <v>5683</v>
      </c>
      <c r="E15" s="41">
        <f>28+28</f>
        <v>56</v>
      </c>
      <c r="F15" s="42">
        <v>44.8</v>
      </c>
      <c r="G15" s="34"/>
      <c r="H15" s="35"/>
      <c r="I15" s="36"/>
      <c r="J15" s="37"/>
      <c r="K15" s="85">
        <f t="shared" si="0"/>
        <v>0</v>
      </c>
      <c r="L15" s="39" t="s">
        <v>5687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 t="s">
        <v>5688</v>
      </c>
      <c r="B17" s="16" t="s">
        <v>5689</v>
      </c>
      <c r="C17" s="17">
        <v>26.76</v>
      </c>
      <c r="D17" s="18" t="s">
        <v>5690</v>
      </c>
      <c r="E17" s="41">
        <v>2</v>
      </c>
      <c r="F17" s="42">
        <v>2.06</v>
      </c>
      <c r="G17" s="34" t="s">
        <v>5691</v>
      </c>
      <c r="H17" s="35">
        <v>2438</v>
      </c>
      <c r="I17" s="36">
        <v>3048</v>
      </c>
      <c r="J17" s="37">
        <v>1</v>
      </c>
      <c r="K17" s="85">
        <f t="shared" si="0"/>
        <v>7.4310240000000007</v>
      </c>
      <c r="L17" s="39" t="s">
        <v>5692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</row>
    <row r="19" spans="1:12" s="27" customFormat="1" ht="19.5" customHeight="1" x14ac:dyDescent="0.3">
      <c r="A19" s="28" t="s">
        <v>5693</v>
      </c>
      <c r="B19" s="16" t="s">
        <v>5694</v>
      </c>
      <c r="C19" s="17">
        <v>24</v>
      </c>
      <c r="D19" s="18" t="s">
        <v>5695</v>
      </c>
      <c r="E19" s="41">
        <v>10</v>
      </c>
      <c r="F19" s="42">
        <v>5.42</v>
      </c>
      <c r="G19" s="34" t="s">
        <v>5696</v>
      </c>
      <c r="H19" s="35">
        <v>2438</v>
      </c>
      <c r="I19" s="36">
        <v>3353</v>
      </c>
      <c r="J19" s="37">
        <v>1</v>
      </c>
      <c r="K19" s="85">
        <f t="shared" si="0"/>
        <v>8.174614</v>
      </c>
      <c r="L19" s="39" t="s">
        <v>5697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5698</v>
      </c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0"/>
        <v>0</v>
      </c>
      <c r="L21" s="39"/>
    </row>
    <row r="22" spans="1:12" s="27" customFormat="1" ht="19.5" customHeight="1" x14ac:dyDescent="0.3">
      <c r="A22" s="28" t="s">
        <v>5729</v>
      </c>
      <c r="B22" s="16" t="s">
        <v>5730</v>
      </c>
      <c r="C22" s="17">
        <v>38</v>
      </c>
      <c r="D22" s="18" t="s">
        <v>5731</v>
      </c>
      <c r="E22" s="41">
        <v>3</v>
      </c>
      <c r="F22" s="42">
        <v>4.05</v>
      </c>
      <c r="G22" s="34" t="s">
        <v>5733</v>
      </c>
      <c r="H22" s="35">
        <v>1829</v>
      </c>
      <c r="I22" s="36">
        <v>3353</v>
      </c>
      <c r="J22" s="37">
        <v>1</v>
      </c>
      <c r="K22" s="85">
        <f t="shared" si="0"/>
        <v>6.1326369999999999</v>
      </c>
      <c r="L22" s="39"/>
    </row>
    <row r="23" spans="1:12" s="27" customFormat="1" ht="19.5" customHeight="1" x14ac:dyDescent="0.3">
      <c r="A23" s="28"/>
      <c r="B23" s="16"/>
      <c r="C23" s="17">
        <v>10</v>
      </c>
      <c r="D23" s="18" t="s">
        <v>5732</v>
      </c>
      <c r="E23" s="41">
        <v>11</v>
      </c>
      <c r="F23" s="42">
        <v>16.82</v>
      </c>
      <c r="G23" s="34" t="s">
        <v>5734</v>
      </c>
      <c r="H23" s="35">
        <v>2438</v>
      </c>
      <c r="I23" s="36">
        <v>3353</v>
      </c>
      <c r="J23" s="37">
        <v>1</v>
      </c>
      <c r="K23" s="85">
        <f t="shared" si="0"/>
        <v>8.174614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5735</v>
      </c>
      <c r="H24" s="35">
        <v>2438</v>
      </c>
      <c r="I24" s="36">
        <v>3048</v>
      </c>
      <c r="J24" s="37">
        <v>3</v>
      </c>
      <c r="K24" s="85">
        <f t="shared" si="0"/>
        <v>22.293072000000002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 t="s">
        <v>5736</v>
      </c>
      <c r="B26" s="16" t="s">
        <v>5737</v>
      </c>
      <c r="C26" s="17">
        <v>8</v>
      </c>
      <c r="D26" s="18" t="s">
        <v>5738</v>
      </c>
      <c r="E26" s="41">
        <v>62</v>
      </c>
      <c r="F26" s="42">
        <v>68.88</v>
      </c>
      <c r="G26" s="34" t="s">
        <v>5739</v>
      </c>
      <c r="H26" s="35">
        <v>2438</v>
      </c>
      <c r="I26" s="36">
        <v>3353</v>
      </c>
      <c r="J26" s="37">
        <v>11</v>
      </c>
      <c r="K26" s="85">
        <f t="shared" si="0"/>
        <v>89.920754000000002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 t="s">
        <v>5740</v>
      </c>
      <c r="B28" s="16" t="s">
        <v>5741</v>
      </c>
      <c r="C28" s="17">
        <v>43</v>
      </c>
      <c r="D28" s="18" t="s">
        <v>5742</v>
      </c>
      <c r="E28" s="41">
        <v>2</v>
      </c>
      <c r="F28" s="42">
        <v>4.3499999999999996</v>
      </c>
      <c r="G28" s="34" t="s">
        <v>5743</v>
      </c>
      <c r="H28" s="35">
        <v>2134</v>
      </c>
      <c r="I28" s="36">
        <v>3353</v>
      </c>
      <c r="J28" s="37">
        <v>1</v>
      </c>
      <c r="K28" s="85">
        <f>(H28/1000*I28/1000)*J28</f>
        <v>7.1553019999999998</v>
      </c>
      <c r="L28" s="39" t="s">
        <v>5744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 t="s">
        <v>5745</v>
      </c>
      <c r="B30" s="16" t="s">
        <v>5746</v>
      </c>
      <c r="C30" s="17">
        <v>22</v>
      </c>
      <c r="D30" s="18" t="s">
        <v>5747</v>
      </c>
      <c r="E30" s="41">
        <v>144</v>
      </c>
      <c r="F30" s="42">
        <v>88.14</v>
      </c>
      <c r="G30" s="34" t="s">
        <v>5748</v>
      </c>
      <c r="H30" s="35">
        <v>1981</v>
      </c>
      <c r="I30" s="36">
        <v>3353</v>
      </c>
      <c r="J30" s="37">
        <v>14</v>
      </c>
      <c r="K30" s="25">
        <f t="shared" si="0"/>
        <v>92.992102000000003</v>
      </c>
      <c r="L30" s="39" t="s">
        <v>5749</v>
      </c>
    </row>
    <row r="31" spans="1:12" s="27" customFormat="1" ht="19.5" customHeight="1" x14ac:dyDescent="0.3">
      <c r="A31" s="28"/>
      <c r="B31" s="16"/>
      <c r="C31" s="17">
        <v>22</v>
      </c>
      <c r="D31" s="18" t="s">
        <v>45</v>
      </c>
      <c r="E31" s="41">
        <v>36</v>
      </c>
      <c r="F31" s="42">
        <v>10.08</v>
      </c>
      <c r="G31" s="34"/>
      <c r="H31" s="35"/>
      <c r="I31" s="36"/>
      <c r="J31" s="37"/>
      <c r="K31" s="25">
        <f t="shared" si="0"/>
        <v>0</v>
      </c>
      <c r="L31" s="39" t="s">
        <v>106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29"/>
      <c r="C37" s="30"/>
      <c r="D37" s="31"/>
      <c r="E37" s="41"/>
      <c r="F37" s="42"/>
      <c r="G37" s="43"/>
      <c r="H37" s="35"/>
      <c r="I37" s="36"/>
      <c r="J37" s="37"/>
      <c r="K37" s="25">
        <f t="shared" si="0"/>
        <v>0</v>
      </c>
      <c r="L37" s="39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5699</v>
      </c>
      <c r="B39" s="45" t="s">
        <v>5700</v>
      </c>
      <c r="C39" s="46">
        <v>22</v>
      </c>
      <c r="D39" s="47" t="s">
        <v>5701</v>
      </c>
      <c r="E39" s="48">
        <v>1</v>
      </c>
      <c r="F39" s="49">
        <v>2.72</v>
      </c>
      <c r="G39" s="50" t="s">
        <v>5704</v>
      </c>
      <c r="H39" s="51">
        <v>1981</v>
      </c>
      <c r="I39" s="45">
        <v>3353</v>
      </c>
      <c r="J39" s="52">
        <v>2</v>
      </c>
      <c r="K39" s="53">
        <f t="shared" si="0"/>
        <v>13.284586000000001</v>
      </c>
      <c r="L39" s="54"/>
    </row>
    <row r="40" spans="1:12" s="55" customFormat="1" ht="19.5" customHeight="1" x14ac:dyDescent="0.3">
      <c r="A40" s="44"/>
      <c r="B40" s="45"/>
      <c r="C40" s="46">
        <v>22</v>
      </c>
      <c r="D40" s="47" t="s">
        <v>5702</v>
      </c>
      <c r="E40" s="48">
        <v>14</v>
      </c>
      <c r="F40" s="49">
        <v>9.1999999999999993</v>
      </c>
      <c r="G40" s="50" t="s">
        <v>5705</v>
      </c>
      <c r="H40" s="51">
        <v>1981</v>
      </c>
      <c r="I40" s="45">
        <v>3353</v>
      </c>
      <c r="J40" s="52">
        <v>2</v>
      </c>
      <c r="K40" s="53">
        <f t="shared" si="0"/>
        <v>13.284586000000001</v>
      </c>
      <c r="L40" s="54"/>
    </row>
    <row r="41" spans="1:12" s="55" customFormat="1" ht="19.5" customHeight="1" x14ac:dyDescent="0.3">
      <c r="A41" s="44"/>
      <c r="B41" s="45"/>
      <c r="C41" s="46">
        <v>22</v>
      </c>
      <c r="D41" s="47" t="s">
        <v>5703</v>
      </c>
      <c r="E41" s="48">
        <v>13</v>
      </c>
      <c r="F41" s="49">
        <v>11.28</v>
      </c>
      <c r="G41" s="50" t="s">
        <v>70</v>
      </c>
      <c r="H41" s="51">
        <v>1981</v>
      </c>
      <c r="I41" s="45">
        <v>3353</v>
      </c>
      <c r="J41" s="52">
        <v>2</v>
      </c>
      <c r="K41" s="53">
        <f t="shared" si="0"/>
        <v>13.284586000000001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 t="s">
        <v>5707</v>
      </c>
      <c r="H42" s="51">
        <v>1981</v>
      </c>
      <c r="I42" s="45">
        <v>3353</v>
      </c>
      <c r="J42" s="52">
        <v>2</v>
      </c>
      <c r="K42" s="53">
        <f t="shared" si="0"/>
        <v>13.284586000000001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5708</v>
      </c>
      <c r="B44" s="45" t="s">
        <v>5700</v>
      </c>
      <c r="C44" s="46">
        <v>22</v>
      </c>
      <c r="D44" s="47" t="s">
        <v>5701</v>
      </c>
      <c r="E44" s="48">
        <v>1</v>
      </c>
      <c r="F44" s="49">
        <v>2.72</v>
      </c>
      <c r="G44" s="50" t="s">
        <v>5704</v>
      </c>
      <c r="H44" s="51">
        <v>1981</v>
      </c>
      <c r="I44" s="45">
        <v>3353</v>
      </c>
      <c r="J44" s="52">
        <v>2</v>
      </c>
      <c r="K44" s="53">
        <f t="shared" si="0"/>
        <v>13.284586000000001</v>
      </c>
      <c r="L44" s="54"/>
    </row>
    <row r="45" spans="1:12" s="55" customFormat="1" ht="19.5" customHeight="1" x14ac:dyDescent="0.3">
      <c r="A45" s="44"/>
      <c r="B45" s="45"/>
      <c r="C45" s="46">
        <v>22</v>
      </c>
      <c r="D45" s="47" t="s">
        <v>5702</v>
      </c>
      <c r="E45" s="48">
        <v>12</v>
      </c>
      <c r="F45" s="49">
        <v>9.98</v>
      </c>
      <c r="G45" s="50" t="s">
        <v>5705</v>
      </c>
      <c r="H45" s="51">
        <v>1981</v>
      </c>
      <c r="I45" s="45">
        <v>3353</v>
      </c>
      <c r="J45" s="52">
        <v>2</v>
      </c>
      <c r="K45" s="53">
        <f t="shared" si="0"/>
        <v>13.284586000000001</v>
      </c>
      <c r="L45" s="54"/>
    </row>
    <row r="46" spans="1:12" s="55" customFormat="1" ht="19.5" customHeight="1" x14ac:dyDescent="0.3">
      <c r="A46" s="44"/>
      <c r="B46" s="45"/>
      <c r="C46" s="46">
        <v>22</v>
      </c>
      <c r="D46" s="47" t="s">
        <v>5703</v>
      </c>
      <c r="E46" s="48">
        <v>11</v>
      </c>
      <c r="F46" s="49">
        <v>12.06</v>
      </c>
      <c r="G46" s="50" t="s">
        <v>5706</v>
      </c>
      <c r="H46" s="51">
        <v>1981</v>
      </c>
      <c r="I46" s="45">
        <v>3353</v>
      </c>
      <c r="J46" s="52">
        <v>2</v>
      </c>
      <c r="K46" s="53">
        <f t="shared" si="0"/>
        <v>13.284586000000001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 t="s">
        <v>5707</v>
      </c>
      <c r="H47" s="51">
        <v>1981</v>
      </c>
      <c r="I47" s="45">
        <v>3353</v>
      </c>
      <c r="J47" s="52">
        <v>2</v>
      </c>
      <c r="K47" s="53">
        <f t="shared" si="0"/>
        <v>13.284586000000001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5709</v>
      </c>
      <c r="B49" s="45" t="s">
        <v>5700</v>
      </c>
      <c r="C49" s="46">
        <v>22</v>
      </c>
      <c r="D49" s="47" t="s">
        <v>5701</v>
      </c>
      <c r="E49" s="48">
        <v>1</v>
      </c>
      <c r="F49" s="49">
        <v>2.72</v>
      </c>
      <c r="G49" s="50" t="s">
        <v>5704</v>
      </c>
      <c r="H49" s="51">
        <v>1981</v>
      </c>
      <c r="I49" s="45">
        <v>3353</v>
      </c>
      <c r="J49" s="52">
        <v>2</v>
      </c>
      <c r="K49" s="53">
        <f t="shared" si="0"/>
        <v>13.284586000000001</v>
      </c>
      <c r="L49" s="54"/>
    </row>
    <row r="50" spans="1:12" s="55" customFormat="1" ht="19.5" customHeight="1" x14ac:dyDescent="0.3">
      <c r="A50" s="44"/>
      <c r="B50" s="45"/>
      <c r="C50" s="46">
        <v>22</v>
      </c>
      <c r="D50" s="47" t="s">
        <v>5702</v>
      </c>
      <c r="E50" s="48">
        <v>18</v>
      </c>
      <c r="F50" s="49">
        <v>12.3</v>
      </c>
      <c r="G50" s="50" t="s">
        <v>5705</v>
      </c>
      <c r="H50" s="51">
        <v>1981</v>
      </c>
      <c r="I50" s="45">
        <v>3353</v>
      </c>
      <c r="J50" s="52">
        <v>2</v>
      </c>
      <c r="K50" s="53">
        <f t="shared" si="0"/>
        <v>13.284586000000001</v>
      </c>
      <c r="L50" s="54"/>
    </row>
    <row r="51" spans="1:12" s="55" customFormat="1" ht="19.5" customHeight="1" x14ac:dyDescent="0.3">
      <c r="A51" s="44"/>
      <c r="B51" s="45"/>
      <c r="C51" s="46">
        <v>22</v>
      </c>
      <c r="D51" s="47" t="s">
        <v>5703</v>
      </c>
      <c r="E51" s="48">
        <v>15</v>
      </c>
      <c r="F51" s="49">
        <v>12.22</v>
      </c>
      <c r="G51" s="50" t="s">
        <v>5706</v>
      </c>
      <c r="H51" s="51">
        <v>1981</v>
      </c>
      <c r="I51" s="45">
        <v>3353</v>
      </c>
      <c r="J51" s="52">
        <v>2</v>
      </c>
      <c r="K51" s="53">
        <f t="shared" si="0"/>
        <v>13.284586000000001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 t="s">
        <v>5707</v>
      </c>
      <c r="H52" s="51">
        <v>1981</v>
      </c>
      <c r="I52" s="45">
        <v>3353</v>
      </c>
      <c r="J52" s="52">
        <v>2</v>
      </c>
      <c r="K52" s="53">
        <f t="shared" si="0"/>
        <v>13.284586000000001</v>
      </c>
      <c r="L52" s="54"/>
    </row>
    <row r="53" spans="1:12" s="55" customFormat="1" ht="19.5" customHeight="1" x14ac:dyDescent="0.3">
      <c r="A53" s="44"/>
      <c r="B53" s="76"/>
      <c r="C53" s="77"/>
      <c r="D53" s="78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5710</v>
      </c>
      <c r="B54" s="76" t="s">
        <v>5712</v>
      </c>
      <c r="C54" s="77">
        <v>24</v>
      </c>
      <c r="D54" s="78" t="s">
        <v>5711</v>
      </c>
      <c r="E54" s="48">
        <v>2</v>
      </c>
      <c r="F54" s="49">
        <v>3.06</v>
      </c>
      <c r="G54" s="50" t="s">
        <v>5715</v>
      </c>
      <c r="H54" s="51">
        <v>2438</v>
      </c>
      <c r="I54" s="45">
        <v>3353</v>
      </c>
      <c r="J54" s="52">
        <v>1</v>
      </c>
      <c r="K54" s="53">
        <f t="shared" si="0"/>
        <v>8.174614</v>
      </c>
      <c r="L54" s="54" t="s">
        <v>5716</v>
      </c>
    </row>
    <row r="55" spans="1:12" s="55" customFormat="1" ht="19.5" customHeight="1" x14ac:dyDescent="0.3">
      <c r="A55" s="44" t="s">
        <v>5713</v>
      </c>
      <c r="B55" s="76" t="s">
        <v>5712</v>
      </c>
      <c r="C55" s="77">
        <v>24</v>
      </c>
      <c r="D55" s="78" t="s">
        <v>5714</v>
      </c>
      <c r="E55" s="48">
        <v>6</v>
      </c>
      <c r="F55" s="49">
        <v>7.52</v>
      </c>
      <c r="G55" s="50"/>
      <c r="H55" s="51"/>
      <c r="I55" s="45"/>
      <c r="J55" s="52"/>
      <c r="K55" s="53">
        <f t="shared" si="0"/>
        <v>0</v>
      </c>
      <c r="L55" s="54" t="s">
        <v>5716</v>
      </c>
    </row>
    <row r="56" spans="1:12" s="55" customFormat="1" ht="19.5" customHeight="1" x14ac:dyDescent="0.3">
      <c r="A56" s="44"/>
      <c r="B56" s="76"/>
      <c r="C56" s="77"/>
      <c r="D56" s="78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5710</v>
      </c>
      <c r="B57" s="76" t="s">
        <v>5712</v>
      </c>
      <c r="C57" s="77">
        <v>24</v>
      </c>
      <c r="D57" s="78" t="s">
        <v>5711</v>
      </c>
      <c r="E57" s="48">
        <v>2</v>
      </c>
      <c r="F57" s="49">
        <v>3.18</v>
      </c>
      <c r="G57" s="50" t="s">
        <v>5705</v>
      </c>
      <c r="H57" s="51">
        <v>2438</v>
      </c>
      <c r="I57" s="45">
        <v>3353</v>
      </c>
      <c r="J57" s="52">
        <v>1</v>
      </c>
      <c r="K57" s="53">
        <f t="shared" si="0"/>
        <v>8.174614</v>
      </c>
      <c r="L57" s="54" t="s">
        <v>5717</v>
      </c>
    </row>
    <row r="58" spans="1:12" s="55" customFormat="1" ht="19.5" customHeight="1" x14ac:dyDescent="0.3">
      <c r="A58" s="44" t="s">
        <v>5713</v>
      </c>
      <c r="B58" s="76" t="s">
        <v>5712</v>
      </c>
      <c r="C58" s="77">
        <v>24</v>
      </c>
      <c r="D58" s="78" t="s">
        <v>5714</v>
      </c>
      <c r="E58" s="48">
        <v>2</v>
      </c>
      <c r="F58" s="49">
        <v>2.86</v>
      </c>
      <c r="G58" s="50"/>
      <c r="H58" s="51"/>
      <c r="I58" s="45"/>
      <c r="J58" s="52"/>
      <c r="K58" s="53">
        <f t="shared" si="0"/>
        <v>0</v>
      </c>
      <c r="L58" s="54" t="s">
        <v>5718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5719</v>
      </c>
      <c r="B60" s="76" t="s">
        <v>5712</v>
      </c>
      <c r="C60" s="46">
        <v>24</v>
      </c>
      <c r="D60" s="78" t="s">
        <v>5714</v>
      </c>
      <c r="E60" s="48">
        <v>88</v>
      </c>
      <c r="F60" s="49">
        <v>104.56</v>
      </c>
      <c r="G60" s="50" t="s">
        <v>5705</v>
      </c>
      <c r="H60" s="51">
        <v>1829</v>
      </c>
      <c r="I60" s="45">
        <v>3353</v>
      </c>
      <c r="J60" s="52">
        <v>18</v>
      </c>
      <c r="K60" s="53">
        <f t="shared" si="0"/>
        <v>110.387466</v>
      </c>
      <c r="L60" s="54" t="s">
        <v>5720</v>
      </c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5721</v>
      </c>
      <c r="B62" s="76" t="s">
        <v>5712</v>
      </c>
      <c r="C62" s="77">
        <v>24</v>
      </c>
      <c r="D62" s="78" t="s">
        <v>5711</v>
      </c>
      <c r="E62" s="48">
        <v>144</v>
      </c>
      <c r="F62" s="49">
        <v>182.32</v>
      </c>
      <c r="G62" s="50" t="s">
        <v>5705</v>
      </c>
      <c r="H62" s="51">
        <v>2438</v>
      </c>
      <c r="I62" s="45">
        <v>3353</v>
      </c>
      <c r="J62" s="52">
        <v>13</v>
      </c>
      <c r="K62" s="53">
        <f t="shared" si="0"/>
        <v>106.269982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 t="s">
        <v>5705</v>
      </c>
      <c r="H63" s="51">
        <v>1829</v>
      </c>
      <c r="I63" s="45">
        <v>3353</v>
      </c>
      <c r="J63" s="52">
        <v>15</v>
      </c>
      <c r="K63" s="53">
        <f t="shared" si="0"/>
        <v>91.989554999999996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 t="s">
        <v>5715</v>
      </c>
      <c r="H64" s="51">
        <v>1829</v>
      </c>
      <c r="I64" s="45">
        <v>3353</v>
      </c>
      <c r="J64" s="52">
        <v>15</v>
      </c>
      <c r="K64" s="53">
        <f t="shared" si="0"/>
        <v>91.989554999999996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 t="s">
        <v>5715</v>
      </c>
      <c r="H65" s="51">
        <v>2438</v>
      </c>
      <c r="I65" s="45">
        <v>3353</v>
      </c>
      <c r="J65" s="52">
        <v>13</v>
      </c>
      <c r="K65" s="53">
        <f t="shared" si="0"/>
        <v>106.269982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5722</v>
      </c>
      <c r="B67" s="76" t="s">
        <v>5712</v>
      </c>
      <c r="C67" s="46">
        <v>24</v>
      </c>
      <c r="D67" s="78" t="s">
        <v>5714</v>
      </c>
      <c r="E67" s="48">
        <v>48</v>
      </c>
      <c r="F67" s="49">
        <v>70.209999999999994</v>
      </c>
      <c r="G67" s="50" t="s">
        <v>5705</v>
      </c>
      <c r="H67" s="51">
        <v>2438</v>
      </c>
      <c r="I67" s="45">
        <v>3353</v>
      </c>
      <c r="J67" s="52">
        <v>10</v>
      </c>
      <c r="K67" s="53">
        <f t="shared" si="0"/>
        <v>81.746139999999997</v>
      </c>
      <c r="L67" s="54" t="s">
        <v>5720</v>
      </c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5723</v>
      </c>
      <c r="B69" s="45" t="s">
        <v>5724</v>
      </c>
      <c r="C69" s="46">
        <v>23.76</v>
      </c>
      <c r="D69" s="47" t="s">
        <v>5725</v>
      </c>
      <c r="E69" s="48">
        <v>1</v>
      </c>
      <c r="F69" s="49">
        <v>3.23</v>
      </c>
      <c r="G69" s="50" t="s">
        <v>5705</v>
      </c>
      <c r="H69" s="51">
        <v>1829</v>
      </c>
      <c r="I69" s="45">
        <v>3353</v>
      </c>
      <c r="J69" s="52">
        <v>1</v>
      </c>
      <c r="K69" s="53">
        <f t="shared" si="0"/>
        <v>6.1326369999999999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5726</v>
      </c>
      <c r="B71" s="45" t="s">
        <v>5676</v>
      </c>
      <c r="C71" s="46">
        <v>24</v>
      </c>
      <c r="D71" s="47" t="s">
        <v>5695</v>
      </c>
      <c r="E71" s="48">
        <v>7</v>
      </c>
      <c r="F71" s="49">
        <v>8.19</v>
      </c>
      <c r="G71" s="50" t="s">
        <v>5696</v>
      </c>
      <c r="H71" s="51">
        <v>2134</v>
      </c>
      <c r="I71" s="45">
        <v>3353</v>
      </c>
      <c r="J71" s="52">
        <v>3</v>
      </c>
      <c r="K71" s="53">
        <f t="shared" si="0"/>
        <v>21.465906</v>
      </c>
      <c r="L71" s="54" t="s">
        <v>5697</v>
      </c>
    </row>
    <row r="72" spans="1:12" s="55" customFormat="1" ht="19.5" customHeight="1" x14ac:dyDescent="0.3">
      <c r="A72" s="44"/>
      <c r="B72" s="45"/>
      <c r="C72" s="46">
        <v>24</v>
      </c>
      <c r="D72" s="47" t="s">
        <v>5727</v>
      </c>
      <c r="E72" s="48">
        <v>2</v>
      </c>
      <c r="F72" s="49">
        <v>4.76</v>
      </c>
      <c r="G72" s="50"/>
      <c r="H72" s="51"/>
      <c r="I72" s="45"/>
      <c r="J72" s="52"/>
      <c r="K72" s="53">
        <f t="shared" si="0"/>
        <v>0</v>
      </c>
      <c r="L72" s="54" t="s">
        <v>5697</v>
      </c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 t="s">
        <v>5728</v>
      </c>
      <c r="B74" s="45" t="s">
        <v>5676</v>
      </c>
      <c r="C74" s="46">
        <v>24</v>
      </c>
      <c r="D74" s="47" t="s">
        <v>5695</v>
      </c>
      <c r="E74" s="48">
        <v>6</v>
      </c>
      <c r="F74" s="49">
        <v>5.59</v>
      </c>
      <c r="G74" s="50" t="s">
        <v>5696</v>
      </c>
      <c r="H74" s="51">
        <v>2134</v>
      </c>
      <c r="I74" s="45">
        <v>3353</v>
      </c>
      <c r="J74" s="52">
        <v>2</v>
      </c>
      <c r="K74" s="53">
        <f t="shared" si="0"/>
        <v>14.310604</v>
      </c>
      <c r="L74" s="54" t="s">
        <v>5697</v>
      </c>
    </row>
    <row r="75" spans="1:12" s="55" customFormat="1" ht="19.5" customHeight="1" x14ac:dyDescent="0.3">
      <c r="A75" s="44"/>
      <c r="B75" s="45"/>
      <c r="C75" s="46">
        <v>24</v>
      </c>
      <c r="D75" s="47" t="s">
        <v>5727</v>
      </c>
      <c r="E75" s="48">
        <v>4</v>
      </c>
      <c r="F75" s="49">
        <v>5.75</v>
      </c>
      <c r="G75" s="50"/>
      <c r="H75" s="51"/>
      <c r="I75" s="45"/>
      <c r="J75" s="52"/>
      <c r="K75" s="53">
        <f t="shared" si="0"/>
        <v>0</v>
      </c>
      <c r="L75" s="54" t="s">
        <v>5697</v>
      </c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 t="s">
        <v>5698</v>
      </c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 t="s">
        <v>5750</v>
      </c>
      <c r="B78" s="45" t="s">
        <v>3370</v>
      </c>
      <c r="C78" s="46">
        <v>22</v>
      </c>
      <c r="D78" s="47" t="s">
        <v>146</v>
      </c>
      <c r="E78" s="48">
        <v>1</v>
      </c>
      <c r="F78" s="49">
        <v>2.94</v>
      </c>
      <c r="G78" s="50" t="s">
        <v>49</v>
      </c>
      <c r="H78" s="51">
        <v>2134</v>
      </c>
      <c r="I78" s="45">
        <v>3353</v>
      </c>
      <c r="J78" s="52">
        <v>3</v>
      </c>
      <c r="K78" s="53">
        <f t="shared" si="0"/>
        <v>21.465906</v>
      </c>
      <c r="L78" s="54"/>
    </row>
    <row r="79" spans="1:12" s="55" customFormat="1" ht="19.5" customHeight="1" x14ac:dyDescent="0.3">
      <c r="A79" s="44"/>
      <c r="B79" s="45"/>
      <c r="C79" s="46">
        <v>22</v>
      </c>
      <c r="D79" s="47" t="s">
        <v>45</v>
      </c>
      <c r="E79" s="48">
        <v>16</v>
      </c>
      <c r="F79" s="49">
        <v>13.34</v>
      </c>
      <c r="G79" s="50" t="s">
        <v>18</v>
      </c>
      <c r="H79" s="51">
        <v>2134</v>
      </c>
      <c r="I79" s="45">
        <v>3353</v>
      </c>
      <c r="J79" s="52">
        <v>2</v>
      </c>
      <c r="K79" s="53">
        <f t="shared" si="0"/>
        <v>14.310604</v>
      </c>
      <c r="L79" s="54"/>
    </row>
    <row r="80" spans="1:12" s="55" customFormat="1" ht="19.5" customHeight="1" x14ac:dyDescent="0.3">
      <c r="A80" s="44"/>
      <c r="B80" s="45"/>
      <c r="C80" s="46">
        <v>22</v>
      </c>
      <c r="D80" s="47" t="s">
        <v>17</v>
      </c>
      <c r="E80" s="48">
        <v>13</v>
      </c>
      <c r="F80" s="49">
        <v>12.74</v>
      </c>
      <c r="G80" s="50" t="s">
        <v>4442</v>
      </c>
      <c r="H80" s="51">
        <v>2134</v>
      </c>
      <c r="I80" s="45">
        <v>3353</v>
      </c>
      <c r="J80" s="52">
        <v>3</v>
      </c>
      <c r="K80" s="53">
        <f t="shared" si="0"/>
        <v>21.465906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 t="s">
        <v>19</v>
      </c>
      <c r="H81" s="51">
        <v>2134</v>
      </c>
      <c r="I81" s="45">
        <v>3353</v>
      </c>
      <c r="J81" s="52">
        <v>2</v>
      </c>
      <c r="K81" s="53">
        <f t="shared" si="0"/>
        <v>14.310604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5" customFormat="1" ht="19.5" customHeight="1" x14ac:dyDescent="0.3">
      <c r="A83" s="44" t="s">
        <v>5751</v>
      </c>
      <c r="B83" s="45" t="s">
        <v>3370</v>
      </c>
      <c r="C83" s="46">
        <v>22</v>
      </c>
      <c r="D83" s="47" t="s">
        <v>146</v>
      </c>
      <c r="E83" s="48">
        <v>1</v>
      </c>
      <c r="F83" s="49">
        <v>2.78</v>
      </c>
      <c r="G83" s="50" t="s">
        <v>49</v>
      </c>
      <c r="H83" s="51">
        <v>1981</v>
      </c>
      <c r="I83" s="45">
        <v>3353</v>
      </c>
      <c r="J83" s="52">
        <v>3</v>
      </c>
      <c r="K83" s="53">
        <f t="shared" si="0"/>
        <v>19.926879</v>
      </c>
      <c r="L83" s="54"/>
    </row>
    <row r="84" spans="1:12" s="55" customFormat="1" ht="19.5" customHeight="1" x14ac:dyDescent="0.3">
      <c r="A84" s="44"/>
      <c r="B84" s="45"/>
      <c r="C84" s="46">
        <v>22</v>
      </c>
      <c r="D84" s="47" t="s">
        <v>45</v>
      </c>
      <c r="E84" s="48">
        <v>12</v>
      </c>
      <c r="F84" s="49">
        <v>10.92</v>
      </c>
      <c r="G84" s="50" t="s">
        <v>18</v>
      </c>
      <c r="H84" s="51">
        <v>1981</v>
      </c>
      <c r="I84" s="45">
        <v>3353</v>
      </c>
      <c r="J84" s="52">
        <v>2</v>
      </c>
      <c r="K84" s="53">
        <f t="shared" si="0"/>
        <v>13.284586000000001</v>
      </c>
      <c r="L84" s="54"/>
    </row>
    <row r="85" spans="1:12" s="55" customFormat="1" ht="19.5" customHeight="1" x14ac:dyDescent="0.3">
      <c r="A85" s="44"/>
      <c r="B85" s="45"/>
      <c r="C85" s="46">
        <v>22</v>
      </c>
      <c r="D85" s="47" t="s">
        <v>17</v>
      </c>
      <c r="E85" s="48">
        <v>9</v>
      </c>
      <c r="F85" s="49">
        <v>10.14</v>
      </c>
      <c r="G85" s="50" t="s">
        <v>70</v>
      </c>
      <c r="H85" s="51">
        <v>1981</v>
      </c>
      <c r="I85" s="45">
        <v>3353</v>
      </c>
      <c r="J85" s="52">
        <v>3</v>
      </c>
      <c r="K85" s="53">
        <f t="shared" si="0"/>
        <v>19.926879</v>
      </c>
      <c r="L85" s="54"/>
    </row>
    <row r="86" spans="1:12" s="55" customFormat="1" ht="19.5" customHeight="1" x14ac:dyDescent="0.3">
      <c r="A86" s="44"/>
      <c r="B86" s="45"/>
      <c r="C86" s="46"/>
      <c r="D86" s="47"/>
      <c r="E86" s="48"/>
      <c r="F86" s="49"/>
      <c r="G86" s="50" t="s">
        <v>19</v>
      </c>
      <c r="H86" s="51">
        <v>1981</v>
      </c>
      <c r="I86" s="45">
        <v>3353</v>
      </c>
      <c r="J86" s="52">
        <v>2</v>
      </c>
      <c r="K86" s="53">
        <f t="shared" si="0"/>
        <v>13.284586000000001</v>
      </c>
      <c r="L86" s="54"/>
    </row>
    <row r="87" spans="1:12" s="55" customFormat="1" ht="19.5" customHeight="1" x14ac:dyDescent="0.3">
      <c r="A87" s="44"/>
      <c r="B87" s="45"/>
      <c r="C87" s="46"/>
      <c r="D87" s="47"/>
      <c r="E87" s="48"/>
      <c r="F87" s="49"/>
      <c r="G87" s="50"/>
      <c r="H87" s="51"/>
      <c r="I87" s="45"/>
      <c r="J87" s="52"/>
      <c r="K87" s="53">
        <f t="shared" ref="K87:K95" si="1">(H87/1000*I87/1000)*J87</f>
        <v>0</v>
      </c>
      <c r="L87" s="54"/>
    </row>
    <row r="88" spans="1:12" s="55" customFormat="1" ht="19.5" customHeight="1" x14ac:dyDescent="0.3">
      <c r="A88" s="44" t="s">
        <v>5752</v>
      </c>
      <c r="B88" s="45" t="s">
        <v>3370</v>
      </c>
      <c r="C88" s="46">
        <v>22</v>
      </c>
      <c r="D88" s="47" t="s">
        <v>146</v>
      </c>
      <c r="E88" s="48">
        <v>1</v>
      </c>
      <c r="F88" s="49">
        <v>2.78</v>
      </c>
      <c r="G88" s="50" t="s">
        <v>49</v>
      </c>
      <c r="H88" s="51">
        <v>1981</v>
      </c>
      <c r="I88" s="45">
        <v>3353</v>
      </c>
      <c r="J88" s="52">
        <v>2</v>
      </c>
      <c r="K88" s="53">
        <f t="shared" si="1"/>
        <v>13.284586000000001</v>
      </c>
      <c r="L88" s="54"/>
    </row>
    <row r="89" spans="1:12" s="55" customFormat="1" ht="19.5" customHeight="1" x14ac:dyDescent="0.3">
      <c r="A89" s="44"/>
      <c r="B89" s="45"/>
      <c r="C89" s="46">
        <v>22</v>
      </c>
      <c r="D89" s="47" t="s">
        <v>45</v>
      </c>
      <c r="E89" s="48">
        <v>12</v>
      </c>
      <c r="F89" s="49">
        <v>8.56</v>
      </c>
      <c r="G89" s="50" t="s">
        <v>18</v>
      </c>
      <c r="H89" s="51">
        <v>1981</v>
      </c>
      <c r="I89" s="45">
        <v>3353</v>
      </c>
      <c r="J89" s="52">
        <v>2</v>
      </c>
      <c r="K89" s="53">
        <f t="shared" si="1"/>
        <v>13.284586000000001</v>
      </c>
      <c r="L89" s="54"/>
    </row>
    <row r="90" spans="1:12" s="55" customFormat="1" ht="19.5" customHeight="1" x14ac:dyDescent="0.3">
      <c r="A90" s="44"/>
      <c r="B90" s="45"/>
      <c r="C90" s="46">
        <v>22</v>
      </c>
      <c r="D90" s="47" t="s">
        <v>17</v>
      </c>
      <c r="E90" s="48">
        <v>11</v>
      </c>
      <c r="F90" s="49">
        <v>10.7</v>
      </c>
      <c r="G90" s="50" t="s">
        <v>70</v>
      </c>
      <c r="H90" s="51">
        <v>1981</v>
      </c>
      <c r="I90" s="45">
        <v>3353</v>
      </c>
      <c r="J90" s="52">
        <v>2</v>
      </c>
      <c r="K90" s="53">
        <f t="shared" si="1"/>
        <v>13.284586000000001</v>
      </c>
      <c r="L90" s="54"/>
    </row>
    <row r="91" spans="1:12" s="55" customFormat="1" ht="19.5" customHeight="1" x14ac:dyDescent="0.3">
      <c r="A91" s="44"/>
      <c r="B91" s="45"/>
      <c r="C91" s="46"/>
      <c r="D91" s="47"/>
      <c r="E91" s="48"/>
      <c r="F91" s="49"/>
      <c r="G91" s="50" t="s">
        <v>19</v>
      </c>
      <c r="H91" s="51">
        <v>1981</v>
      </c>
      <c r="I91" s="45">
        <v>3353</v>
      </c>
      <c r="J91" s="52">
        <v>2</v>
      </c>
      <c r="K91" s="53">
        <f t="shared" si="1"/>
        <v>13.284586000000001</v>
      </c>
      <c r="L91" s="54"/>
    </row>
    <row r="92" spans="1:12" s="55" customFormat="1" ht="19.5" customHeight="1" x14ac:dyDescent="0.3">
      <c r="A92" s="44"/>
      <c r="B92" s="45"/>
      <c r="C92" s="46"/>
      <c r="D92" s="47"/>
      <c r="E92" s="48"/>
      <c r="F92" s="49"/>
      <c r="G92" s="50"/>
      <c r="H92" s="51"/>
      <c r="I92" s="45"/>
      <c r="J92" s="52"/>
      <c r="K92" s="53">
        <f t="shared" si="1"/>
        <v>0</v>
      </c>
      <c r="L92" s="54"/>
    </row>
    <row r="93" spans="1:12" s="55" customFormat="1" ht="19.5" customHeight="1" x14ac:dyDescent="0.3">
      <c r="A93" s="44" t="s">
        <v>5753</v>
      </c>
      <c r="B93" s="45" t="s">
        <v>3370</v>
      </c>
      <c r="C93" s="46">
        <v>22</v>
      </c>
      <c r="D93" s="47" t="s">
        <v>17</v>
      </c>
      <c r="E93" s="48">
        <v>2</v>
      </c>
      <c r="F93" s="49">
        <v>0.94</v>
      </c>
      <c r="G93" s="50"/>
      <c r="H93" s="51"/>
      <c r="I93" s="45"/>
      <c r="J93" s="52"/>
      <c r="K93" s="53">
        <f t="shared" si="1"/>
        <v>0</v>
      </c>
      <c r="L93" s="54" t="s">
        <v>31</v>
      </c>
    </row>
    <row r="94" spans="1:12" s="55" customFormat="1" ht="19.5" customHeight="1" x14ac:dyDescent="0.3">
      <c r="A94" s="44"/>
      <c r="B94" s="45"/>
      <c r="C94" s="46"/>
      <c r="D94" s="47"/>
      <c r="E94" s="48"/>
      <c r="F94" s="49"/>
      <c r="G94" s="50"/>
      <c r="H94" s="51"/>
      <c r="I94" s="45"/>
      <c r="J94" s="52"/>
      <c r="K94" s="53">
        <f t="shared" si="1"/>
        <v>0</v>
      </c>
      <c r="L94" s="54"/>
    </row>
    <row r="95" spans="1:12" s="55" customFormat="1" ht="19.5" customHeight="1" x14ac:dyDescent="0.3">
      <c r="A95" s="44" t="s">
        <v>5754</v>
      </c>
      <c r="B95" s="45" t="s">
        <v>3370</v>
      </c>
      <c r="C95" s="46">
        <v>22</v>
      </c>
      <c r="D95" s="47" t="s">
        <v>17</v>
      </c>
      <c r="E95" s="48">
        <v>22</v>
      </c>
      <c r="F95" s="49">
        <v>23.64</v>
      </c>
      <c r="G95" s="50" t="s">
        <v>18</v>
      </c>
      <c r="H95" s="51">
        <v>2134</v>
      </c>
      <c r="I95" s="45">
        <v>3353</v>
      </c>
      <c r="J95" s="52">
        <v>4</v>
      </c>
      <c r="K95" s="53">
        <f t="shared" si="1"/>
        <v>28.621207999999999</v>
      </c>
      <c r="L95" s="54"/>
    </row>
    <row r="96" spans="1:12" s="55" customFormat="1" ht="19.5" customHeight="1" x14ac:dyDescent="0.3">
      <c r="A96" s="44"/>
      <c r="B96" s="45"/>
      <c r="C96" s="46"/>
      <c r="D96" s="47"/>
      <c r="E96" s="48"/>
      <c r="F96" s="49"/>
      <c r="G96" s="50" t="s">
        <v>19</v>
      </c>
      <c r="H96" s="51">
        <v>2134</v>
      </c>
      <c r="I96" s="45">
        <v>3353</v>
      </c>
      <c r="J96" s="52">
        <v>4</v>
      </c>
      <c r="K96" s="53">
        <f t="shared" si="0"/>
        <v>28.621207999999999</v>
      </c>
      <c r="L96" s="54"/>
    </row>
    <row r="97" spans="1:12" s="55" customFormat="1" ht="19.5" customHeight="1" x14ac:dyDescent="0.3">
      <c r="A97" s="44"/>
      <c r="B97" s="45"/>
      <c r="C97" s="46"/>
      <c r="D97" s="47"/>
      <c r="E97" s="48"/>
      <c r="F97" s="49"/>
      <c r="G97" s="50"/>
      <c r="H97" s="51"/>
      <c r="I97" s="45"/>
      <c r="J97" s="52"/>
      <c r="K97" s="53">
        <f t="shared" si="0"/>
        <v>0</v>
      </c>
      <c r="L97" s="54"/>
    </row>
    <row r="98" spans="1:12" s="55" customFormat="1" ht="19.5" customHeight="1" x14ac:dyDescent="0.3">
      <c r="A98" s="44"/>
      <c r="B98" s="45"/>
      <c r="C98" s="46"/>
      <c r="D98" s="47"/>
      <c r="E98" s="48"/>
      <c r="F98" s="49"/>
      <c r="G98" s="50"/>
      <c r="H98" s="51"/>
      <c r="I98" s="45"/>
      <c r="J98" s="52"/>
      <c r="K98" s="53">
        <f t="shared" si="0"/>
        <v>0</v>
      </c>
      <c r="L98" s="54"/>
    </row>
    <row r="99" spans="1:12" s="59" customFormat="1" ht="20.100000000000001" customHeight="1" x14ac:dyDescent="0.3">
      <c r="A99" s="44"/>
      <c r="B99" s="45"/>
      <c r="C99" s="46"/>
      <c r="D99" s="47"/>
      <c r="E99" s="56"/>
      <c r="F99" s="57"/>
      <c r="G99" s="50"/>
      <c r="H99" s="51"/>
      <c r="I99" s="45"/>
      <c r="J99" s="52"/>
      <c r="K99" s="53">
        <f t="shared" si="0"/>
        <v>0</v>
      </c>
      <c r="L99" s="58">
        <f>SUM(J38:J100)</f>
        <v>152</v>
      </c>
    </row>
    <row r="100" spans="1:12" s="59" customFormat="1" ht="20.100000000000001" customHeight="1" x14ac:dyDescent="0.3">
      <c r="A100" s="44"/>
      <c r="B100" s="45"/>
      <c r="C100" s="46"/>
      <c r="D100" s="47"/>
      <c r="E100" s="60"/>
      <c r="F100" s="61"/>
      <c r="G100" s="62"/>
      <c r="H100" s="51"/>
      <c r="I100" s="45"/>
      <c r="J100" s="63"/>
      <c r="K100" s="53">
        <f t="shared" si="0"/>
        <v>0</v>
      </c>
      <c r="L100" s="64">
        <f>SUM(K38:K100)</f>
        <v>1054.6827969999999</v>
      </c>
    </row>
    <row r="101" spans="1:12" s="59" customFormat="1" ht="20.100000000000001" customHeight="1" thickBot="1" x14ac:dyDescent="0.35">
      <c r="A101" s="114"/>
      <c r="B101" s="115"/>
      <c r="C101" s="115"/>
      <c r="D101" s="115"/>
      <c r="E101" s="115"/>
      <c r="F101" s="115"/>
      <c r="G101" s="115"/>
      <c r="H101" s="115"/>
      <c r="I101" s="115"/>
      <c r="J101" s="65">
        <f>SUM(J7:J100)</f>
        <v>281</v>
      </c>
      <c r="K101" s="66">
        <f>SUM(K7:K100)</f>
        <v>2061.8375139999998</v>
      </c>
      <c r="L101" s="67"/>
    </row>
    <row r="102" spans="1:12" s="59" customFormat="1" ht="20.100000000000001" customHeight="1" thickTop="1" thickBot="1" x14ac:dyDescent="0.35">
      <c r="A102" s="116" t="s">
        <v>52</v>
      </c>
      <c r="B102" s="117"/>
      <c r="C102" s="68"/>
      <c r="D102" s="118">
        <f>J101</f>
        <v>281</v>
      </c>
      <c r="E102" s="119"/>
      <c r="F102" s="119"/>
      <c r="G102" s="120"/>
      <c r="H102" s="121"/>
      <c r="I102" s="121"/>
      <c r="J102" s="122"/>
      <c r="K102" s="119"/>
      <c r="L102" s="123"/>
    </row>
    <row r="103" spans="1:12" s="59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71"/>
    </row>
    <row r="104" spans="1:12" s="59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59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59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59" customFormat="1" ht="20.100000000000001" customHeight="1" x14ac:dyDescent="0.3">
      <c r="A107" s="113"/>
      <c r="B107" s="113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59" customFormat="1" ht="20.100000000000001" customHeight="1" x14ac:dyDescent="0.3">
      <c r="A108" s="113"/>
      <c r="B108" s="113"/>
      <c r="C108" s="5"/>
      <c r="D108" s="5"/>
      <c r="E108" s="72"/>
      <c r="F108" s="5"/>
      <c r="G108" s="5"/>
      <c r="H108" s="5"/>
      <c r="I108" s="5"/>
      <c r="J108" s="5"/>
      <c r="K108" s="5"/>
      <c r="L108" s="5"/>
    </row>
    <row r="109" spans="1:12" s="59" customFormat="1" ht="20.100000000000001" customHeight="1" x14ac:dyDescent="0.3">
      <c r="A109" s="113"/>
      <c r="B109" s="113"/>
      <c r="C109" s="5"/>
      <c r="D109" s="5"/>
      <c r="E109" s="5"/>
      <c r="F109" s="5"/>
      <c r="G109" s="73"/>
      <c r="H109" s="5"/>
      <c r="I109" s="74"/>
      <c r="J109" s="5"/>
      <c r="K109" s="5"/>
      <c r="L109" s="5"/>
    </row>
    <row r="110" spans="1:12" s="59" customFormat="1" ht="20.100000000000001" customHeight="1" x14ac:dyDescent="0.3">
      <c r="A110" s="113"/>
      <c r="B110" s="113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59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59" customFormat="1" ht="20.100000000000001" customHeight="1" x14ac:dyDescent="0.3">
      <c r="A112" s="113"/>
      <c r="B112" s="113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59" customFormat="1" ht="20.100000000000001" customHeight="1" x14ac:dyDescent="0.3">
      <c r="A113" s="113"/>
      <c r="B113" s="113"/>
      <c r="C113" s="5"/>
      <c r="D113" s="5"/>
      <c r="E113" s="5"/>
      <c r="F113" s="70"/>
      <c r="G113" s="5"/>
      <c r="H113" s="72"/>
      <c r="I113" s="72"/>
      <c r="J113" s="5"/>
      <c r="K113" s="5"/>
      <c r="L113" s="5"/>
    </row>
    <row r="114" spans="1:12" ht="20.100000000000001" customHeight="1" x14ac:dyDescent="0.3">
      <c r="A114" s="113"/>
      <c r="B114" s="113"/>
      <c r="H114" s="72"/>
      <c r="I114" s="72"/>
    </row>
    <row r="115" spans="1:12" ht="20.100000000000001" customHeight="1" x14ac:dyDescent="0.3">
      <c r="H115" s="72"/>
      <c r="I115" s="72"/>
    </row>
    <row r="116" spans="1:12" ht="20.100000000000001" customHeight="1" x14ac:dyDescent="0.3">
      <c r="H116" s="72"/>
      <c r="I116" s="72"/>
    </row>
    <row r="117" spans="1:12" ht="20.100000000000001" customHeight="1" x14ac:dyDescent="0.3">
      <c r="A117" s="113"/>
      <c r="B117" s="113"/>
      <c r="H117" s="72"/>
      <c r="I117" s="72"/>
    </row>
    <row r="118" spans="1:12" ht="20.100000000000001" customHeight="1" x14ac:dyDescent="0.3">
      <c r="A118" s="113"/>
      <c r="B118" s="113"/>
      <c r="H118" s="72"/>
      <c r="I118" s="72"/>
    </row>
    <row r="119" spans="1:12" ht="20.100000000000001" customHeight="1" x14ac:dyDescent="0.3">
      <c r="H119" s="72"/>
      <c r="I119" s="72"/>
    </row>
    <row r="120" spans="1:12" ht="20.100000000000001" customHeight="1" x14ac:dyDescent="0.3">
      <c r="H120" s="72"/>
      <c r="I120" s="72"/>
    </row>
    <row r="121" spans="1:12" ht="20.100000000000001" customHeight="1" x14ac:dyDescent="0.3">
      <c r="H121" s="72"/>
      <c r="I121" s="72"/>
    </row>
    <row r="122" spans="1:12" s="72" customFormat="1" ht="20.100000000000001" customHeight="1" x14ac:dyDescent="0.3">
      <c r="A122" s="69"/>
      <c r="B122" s="5"/>
      <c r="C122" s="5"/>
      <c r="D122" s="5"/>
      <c r="E122" s="5"/>
      <c r="F122" s="70"/>
      <c r="G122" s="5"/>
      <c r="J122" s="5"/>
      <c r="K122" s="5"/>
      <c r="L122" s="5"/>
    </row>
    <row r="123" spans="1:12" s="72" customFormat="1" ht="20.100000000000001" customHeight="1" x14ac:dyDescent="0.3">
      <c r="A123" s="69"/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75" customFormat="1" ht="20.100000000000001" customHeight="1" x14ac:dyDescent="0.3">
      <c r="A124" s="69"/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75" customFormat="1" ht="20.100000000000001" customHeight="1" x14ac:dyDescent="0.3">
      <c r="A125" s="69"/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75" customFormat="1" ht="19.5" customHeight="1" x14ac:dyDescent="0.3">
      <c r="A126" s="69"/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72" customFormat="1" ht="20.100000000000001" customHeight="1" x14ac:dyDescent="0.3">
      <c r="A127" s="69"/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72" customFormat="1" ht="20.100000000000001" customHeight="1" x14ac:dyDescent="0.3">
      <c r="A128" s="69"/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ht="19.5" customHeight="1" x14ac:dyDescent="0.3"/>
    <row r="130" spans="2:12" ht="19.5" customHeight="1" x14ac:dyDescent="0.3"/>
    <row r="131" spans="2:12" ht="19.5" customHeight="1" x14ac:dyDescent="0.3"/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ht="19.5" customHeight="1" x14ac:dyDescent="0.3"/>
    <row r="149" spans="2:12" ht="19.5" customHeight="1" x14ac:dyDescent="0.3"/>
    <row r="150" spans="2:12" ht="19.5" customHeight="1" x14ac:dyDescent="0.3"/>
    <row r="151" spans="2:12" ht="19.5" customHeight="1" x14ac:dyDescent="0.3"/>
    <row r="152" spans="2:12" ht="19.5" customHeight="1" x14ac:dyDescent="0.3"/>
    <row r="153" spans="2:12" ht="19.5" customHeight="1" x14ac:dyDescent="0.3"/>
    <row r="154" spans="2:12" ht="19.5" customHeight="1" x14ac:dyDescent="0.3"/>
    <row r="155" spans="2:12" ht="19.5" customHeight="1" x14ac:dyDescent="0.3"/>
    <row r="156" spans="2:12" ht="19.5" customHeight="1" x14ac:dyDescent="0.3"/>
    <row r="157" spans="2:12" ht="19.5" customHeight="1" x14ac:dyDescent="0.3"/>
    <row r="158" spans="2:12" ht="19.5" customHeight="1" x14ac:dyDescent="0.3"/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  <row r="185" spans="2:12" s="69" customFormat="1" ht="19.5" customHeight="1" x14ac:dyDescent="0.3">
      <c r="B185" s="5"/>
      <c r="C185" s="5"/>
      <c r="D185" s="5"/>
      <c r="E185" s="5"/>
      <c r="F185" s="70"/>
      <c r="G185" s="5"/>
      <c r="H185" s="5"/>
      <c r="I185" s="5"/>
      <c r="J185" s="5"/>
      <c r="K185" s="5"/>
      <c r="L185" s="5"/>
    </row>
    <row r="186" spans="2:12" s="69" customFormat="1" ht="19.5" customHeight="1" x14ac:dyDescent="0.3">
      <c r="B186" s="5"/>
      <c r="C186" s="5"/>
      <c r="D186" s="5"/>
      <c r="E186" s="5"/>
      <c r="F186" s="70"/>
      <c r="G186" s="5"/>
      <c r="H186" s="5"/>
      <c r="I186" s="5"/>
      <c r="J186" s="5"/>
      <c r="K186" s="5"/>
      <c r="L186" s="5"/>
    </row>
    <row r="187" spans="2:12" s="69" customFormat="1" ht="19.5" customHeight="1" x14ac:dyDescent="0.3">
      <c r="B187" s="5"/>
      <c r="C187" s="5"/>
      <c r="D187" s="5"/>
      <c r="E187" s="5"/>
      <c r="F187" s="70"/>
      <c r="G187" s="5"/>
      <c r="H187" s="5"/>
      <c r="I187" s="5"/>
      <c r="J187" s="5"/>
      <c r="K187" s="5"/>
      <c r="L187" s="5"/>
    </row>
    <row r="188" spans="2:12" s="69" customFormat="1" ht="19.5" customHeight="1" x14ac:dyDescent="0.3">
      <c r="B188" s="5"/>
      <c r="C188" s="5"/>
      <c r="D188" s="5"/>
      <c r="E188" s="5"/>
      <c r="F188" s="70"/>
      <c r="G188" s="5"/>
      <c r="H188" s="5"/>
      <c r="I188" s="5"/>
      <c r="J188" s="5"/>
      <c r="K188" s="5"/>
      <c r="L188" s="5"/>
    </row>
    <row r="189" spans="2:12" s="69" customFormat="1" ht="19.5" customHeight="1" x14ac:dyDescent="0.3">
      <c r="B189" s="5"/>
      <c r="C189" s="5"/>
      <c r="D189" s="5"/>
      <c r="E189" s="5"/>
      <c r="F189" s="70"/>
      <c r="G189" s="5"/>
      <c r="H189" s="5"/>
      <c r="I189" s="5"/>
      <c r="J189" s="5"/>
      <c r="K189" s="5"/>
      <c r="L189" s="5"/>
    </row>
    <row r="190" spans="2:12" s="69" customFormat="1" ht="19.5" customHeight="1" x14ac:dyDescent="0.3">
      <c r="B190" s="5"/>
      <c r="C190" s="5"/>
      <c r="D190" s="5"/>
      <c r="E190" s="5"/>
      <c r="F190" s="70"/>
      <c r="G190" s="5"/>
      <c r="H190" s="5"/>
      <c r="I190" s="5"/>
      <c r="J190" s="5"/>
      <c r="K190" s="5"/>
      <c r="L190" s="5"/>
    </row>
    <row r="191" spans="2:12" s="69" customFormat="1" ht="19.5" customHeight="1" x14ac:dyDescent="0.3">
      <c r="B191" s="5"/>
      <c r="C191" s="5"/>
      <c r="D191" s="5"/>
      <c r="E191" s="5"/>
      <c r="F191" s="70"/>
      <c r="G191" s="5"/>
      <c r="H191" s="5"/>
      <c r="I191" s="5"/>
      <c r="J191" s="5"/>
      <c r="K191" s="5"/>
      <c r="L191" s="5"/>
    </row>
    <row r="192" spans="2:12" s="69" customFormat="1" ht="19.5" customHeight="1" x14ac:dyDescent="0.3">
      <c r="B192" s="5"/>
      <c r="C192" s="5"/>
      <c r="D192" s="5"/>
      <c r="E192" s="5"/>
      <c r="F192" s="70"/>
      <c r="G192" s="5"/>
      <c r="H192" s="5"/>
      <c r="I192" s="5"/>
      <c r="J192" s="5"/>
      <c r="K192" s="5"/>
      <c r="L192" s="5"/>
    </row>
  </sheetData>
  <mergeCells count="30">
    <mergeCell ref="A117:B117"/>
    <mergeCell ref="A118:B118"/>
    <mergeCell ref="A108:B108"/>
    <mergeCell ref="A109:B109"/>
    <mergeCell ref="A110:B110"/>
    <mergeCell ref="A112:B112"/>
    <mergeCell ref="A113:B113"/>
    <mergeCell ref="A114:B114"/>
    <mergeCell ref="A107:B107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101:I101"/>
    <mergeCell ref="A102:B102"/>
    <mergeCell ref="D102:G102"/>
    <mergeCell ref="H102:J102"/>
    <mergeCell ref="K102:L102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38" orientation="portrait" verticalDpi="30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L157"/>
  <sheetViews>
    <sheetView view="pageBreakPreview" topLeftCell="A32" zoomScale="85" zoomScaleNormal="100" zoomScaleSheetLayoutView="85" workbookViewId="0">
      <selection activeCell="A48" sqref="A48:F4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46203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5" si="0">(H7/1000*I7/1000)*J7</f>
        <v>0</v>
      </c>
      <c r="L7" s="26">
        <f>SUM(J7:J37)</f>
        <v>128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SUM(K7:K37)</f>
        <v>1031.116141</v>
      </c>
    </row>
    <row r="9" spans="1:12" s="27" customFormat="1" ht="19.5" customHeight="1" x14ac:dyDescent="0.3">
      <c r="A9" s="28" t="s">
        <v>5623</v>
      </c>
      <c r="B9" s="16" t="s">
        <v>5624</v>
      </c>
      <c r="C9" s="17">
        <v>16</v>
      </c>
      <c r="D9" s="18" t="s">
        <v>5625</v>
      </c>
      <c r="E9" s="41">
        <v>1</v>
      </c>
      <c r="F9" s="42">
        <v>1.77</v>
      </c>
      <c r="G9" s="34" t="s">
        <v>5626</v>
      </c>
      <c r="H9" s="35">
        <v>1829</v>
      </c>
      <c r="I9" s="36">
        <v>3353</v>
      </c>
      <c r="J9" s="37">
        <v>1</v>
      </c>
      <c r="K9" s="85">
        <f t="shared" si="0"/>
        <v>6.1326369999999999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5627</v>
      </c>
      <c r="B11" s="16" t="s">
        <v>5628</v>
      </c>
      <c r="C11" s="17">
        <v>43</v>
      </c>
      <c r="D11" s="18" t="s">
        <v>5629</v>
      </c>
      <c r="E11" s="41">
        <v>26</v>
      </c>
      <c r="F11" s="42">
        <v>6.24</v>
      </c>
      <c r="G11" s="34" t="s">
        <v>5631</v>
      </c>
      <c r="H11" s="35">
        <v>2438</v>
      </c>
      <c r="I11" s="36">
        <v>3353</v>
      </c>
      <c r="J11" s="37">
        <v>8</v>
      </c>
      <c r="K11" s="85">
        <f t="shared" si="0"/>
        <v>65.396912</v>
      </c>
      <c r="L11" s="39" t="s">
        <v>5632</v>
      </c>
    </row>
    <row r="12" spans="1:12" s="27" customFormat="1" ht="19.5" customHeight="1" x14ac:dyDescent="0.3">
      <c r="A12" s="28" t="s">
        <v>5630</v>
      </c>
      <c r="B12" s="16" t="s">
        <v>5628</v>
      </c>
      <c r="C12" s="17">
        <v>43</v>
      </c>
      <c r="D12" s="18" t="s">
        <v>5629</v>
      </c>
      <c r="E12" s="41">
        <v>18</v>
      </c>
      <c r="F12" s="42">
        <v>13.53</v>
      </c>
      <c r="G12" s="34" t="s">
        <v>5631</v>
      </c>
      <c r="H12" s="35">
        <v>2134</v>
      </c>
      <c r="I12" s="36">
        <v>3353</v>
      </c>
      <c r="J12" s="37">
        <v>2</v>
      </c>
      <c r="K12" s="85">
        <f t="shared" si="0"/>
        <v>14.310604</v>
      </c>
      <c r="L12" s="39" t="s">
        <v>5632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 t="s">
        <v>5633</v>
      </c>
      <c r="B14" s="16" t="s">
        <v>5634</v>
      </c>
      <c r="C14" s="17">
        <v>26.76</v>
      </c>
      <c r="D14" s="18" t="s">
        <v>5637</v>
      </c>
      <c r="E14" s="41">
        <v>46</v>
      </c>
      <c r="F14" s="42">
        <v>70.87</v>
      </c>
      <c r="G14" s="34" t="s">
        <v>5640</v>
      </c>
      <c r="H14" s="35">
        <v>2438</v>
      </c>
      <c r="I14" s="36">
        <v>3353</v>
      </c>
      <c r="J14" s="37">
        <v>41</v>
      </c>
      <c r="K14" s="85">
        <f t="shared" si="0"/>
        <v>335.15917400000001</v>
      </c>
      <c r="L14" s="39" t="s">
        <v>5755</v>
      </c>
    </row>
    <row r="15" spans="1:12" s="27" customFormat="1" ht="19.5" customHeight="1" x14ac:dyDescent="0.3">
      <c r="A15" s="28"/>
      <c r="B15" s="16"/>
      <c r="C15" s="17">
        <v>24</v>
      </c>
      <c r="D15" s="18" t="s">
        <v>5638</v>
      </c>
      <c r="E15" s="41">
        <v>52</v>
      </c>
      <c r="F15" s="42">
        <v>16.38</v>
      </c>
      <c r="G15" s="34" t="s">
        <v>5641</v>
      </c>
      <c r="H15" s="35">
        <v>2438</v>
      </c>
      <c r="I15" s="36">
        <v>3048</v>
      </c>
      <c r="J15" s="37">
        <v>15</v>
      </c>
      <c r="K15" s="85">
        <f t="shared" si="0"/>
        <v>111.46536</v>
      </c>
      <c r="L15" s="39" t="s">
        <v>5755</v>
      </c>
    </row>
    <row r="16" spans="1:12" s="27" customFormat="1" ht="19.5" customHeight="1" x14ac:dyDescent="0.3">
      <c r="A16" s="28"/>
      <c r="B16" s="16"/>
      <c r="C16" s="17">
        <v>24</v>
      </c>
      <c r="D16" s="18" t="s">
        <v>5639</v>
      </c>
      <c r="E16" s="41">
        <v>98</v>
      </c>
      <c r="F16" s="42">
        <v>66.709999999999994</v>
      </c>
      <c r="G16" s="34" t="s">
        <v>5641</v>
      </c>
      <c r="H16" s="35">
        <v>2438</v>
      </c>
      <c r="I16" s="36">
        <v>3353</v>
      </c>
      <c r="J16" s="37">
        <v>5</v>
      </c>
      <c r="K16" s="85">
        <f t="shared" si="0"/>
        <v>40.873069999999998</v>
      </c>
      <c r="L16" s="39" t="s">
        <v>5755</v>
      </c>
    </row>
    <row r="17" spans="1:12" s="27" customFormat="1" ht="19.5" customHeight="1" x14ac:dyDescent="0.3">
      <c r="A17" s="28" t="s">
        <v>5635</v>
      </c>
      <c r="B17" s="16" t="s">
        <v>5634</v>
      </c>
      <c r="C17" s="17">
        <v>24</v>
      </c>
      <c r="D17" s="18" t="s">
        <v>5638</v>
      </c>
      <c r="E17" s="41">
        <v>30</v>
      </c>
      <c r="F17" s="42">
        <v>41.15</v>
      </c>
      <c r="G17" s="34"/>
      <c r="H17" s="35"/>
      <c r="I17" s="36"/>
      <c r="J17" s="37"/>
      <c r="K17" s="85">
        <f t="shared" si="0"/>
        <v>0</v>
      </c>
      <c r="L17" s="39" t="s">
        <v>5755</v>
      </c>
    </row>
    <row r="18" spans="1:12" s="27" customFormat="1" ht="19.5" customHeight="1" x14ac:dyDescent="0.3">
      <c r="A18" s="28" t="s">
        <v>5636</v>
      </c>
      <c r="B18" s="16" t="s">
        <v>5634</v>
      </c>
      <c r="C18" s="17">
        <v>24</v>
      </c>
      <c r="D18" s="18" t="s">
        <v>5638</v>
      </c>
      <c r="E18" s="41">
        <v>48</v>
      </c>
      <c r="F18" s="42">
        <v>65.84</v>
      </c>
      <c r="G18" s="34"/>
      <c r="H18" s="35"/>
      <c r="I18" s="36"/>
      <c r="J18" s="37"/>
      <c r="K18" s="85">
        <f t="shared" si="0"/>
        <v>0</v>
      </c>
      <c r="L18" s="39" t="s">
        <v>5755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85">
        <f t="shared" si="0"/>
        <v>0</v>
      </c>
      <c r="L19" s="39"/>
    </row>
    <row r="20" spans="1:12" s="27" customFormat="1" ht="19.5" customHeight="1" x14ac:dyDescent="0.3">
      <c r="A20" s="28" t="s">
        <v>5642</v>
      </c>
      <c r="B20" s="16" t="s">
        <v>5643</v>
      </c>
      <c r="C20" s="17">
        <v>28</v>
      </c>
      <c r="D20" s="18" t="s">
        <v>5644</v>
      </c>
      <c r="E20" s="41">
        <v>50</v>
      </c>
      <c r="F20" s="42">
        <v>86</v>
      </c>
      <c r="G20" s="34" t="s">
        <v>5647</v>
      </c>
      <c r="H20" s="35">
        <v>2438</v>
      </c>
      <c r="I20" s="36">
        <v>3353</v>
      </c>
      <c r="J20" s="37">
        <v>28</v>
      </c>
      <c r="K20" s="85">
        <f t="shared" si="0"/>
        <v>228.88919200000001</v>
      </c>
      <c r="L20" s="39" t="s">
        <v>5648</v>
      </c>
    </row>
    <row r="21" spans="1:12" s="27" customFormat="1" ht="19.5" customHeight="1" x14ac:dyDescent="0.3">
      <c r="A21" s="28"/>
      <c r="B21" s="16"/>
      <c r="C21" s="17">
        <v>28</v>
      </c>
      <c r="D21" s="18" t="s">
        <v>5645</v>
      </c>
      <c r="E21" s="41">
        <v>25</v>
      </c>
      <c r="F21" s="42">
        <v>24</v>
      </c>
      <c r="G21" s="34"/>
      <c r="H21" s="35"/>
      <c r="I21" s="36"/>
      <c r="J21" s="37"/>
      <c r="K21" s="85">
        <f t="shared" si="0"/>
        <v>0</v>
      </c>
      <c r="L21" s="39" t="s">
        <v>5648</v>
      </c>
    </row>
    <row r="22" spans="1:12" s="27" customFormat="1" ht="19.5" customHeight="1" x14ac:dyDescent="0.3">
      <c r="A22" s="28"/>
      <c r="B22" s="16"/>
      <c r="C22" s="17">
        <v>28</v>
      </c>
      <c r="D22" s="18" t="s">
        <v>5644</v>
      </c>
      <c r="E22" s="41">
        <v>23</v>
      </c>
      <c r="F22" s="42">
        <v>66.239999999999995</v>
      </c>
      <c r="G22" s="34"/>
      <c r="H22" s="35"/>
      <c r="I22" s="36"/>
      <c r="J22" s="37"/>
      <c r="K22" s="85">
        <f t="shared" si="0"/>
        <v>0</v>
      </c>
      <c r="L22" s="39" t="s">
        <v>5648</v>
      </c>
    </row>
    <row r="23" spans="1:12" s="27" customFormat="1" ht="19.5" customHeight="1" x14ac:dyDescent="0.3">
      <c r="A23" s="28" t="s">
        <v>5646</v>
      </c>
      <c r="B23" s="16" t="s">
        <v>5643</v>
      </c>
      <c r="C23" s="17">
        <v>28</v>
      </c>
      <c r="D23" s="18" t="s">
        <v>5645</v>
      </c>
      <c r="E23" s="41">
        <v>2</v>
      </c>
      <c r="F23" s="42">
        <v>2.46</v>
      </c>
      <c r="G23" s="34"/>
      <c r="H23" s="35"/>
      <c r="I23" s="36"/>
      <c r="J23" s="37"/>
      <c r="K23" s="85">
        <f t="shared" si="0"/>
        <v>0</v>
      </c>
      <c r="L23" s="39" t="s">
        <v>5648</v>
      </c>
    </row>
    <row r="24" spans="1:12" s="27" customFormat="1" ht="19.5" customHeight="1" x14ac:dyDescent="0.3">
      <c r="A24" s="28"/>
      <c r="B24" s="16"/>
      <c r="C24" s="17">
        <v>28</v>
      </c>
      <c r="D24" s="18" t="s">
        <v>5644</v>
      </c>
      <c r="E24" s="41">
        <v>1</v>
      </c>
      <c r="F24" s="42">
        <v>1.43</v>
      </c>
      <c r="G24" s="34"/>
      <c r="H24" s="35"/>
      <c r="I24" s="36"/>
      <c r="J24" s="37"/>
      <c r="K24" s="85">
        <f t="shared" si="0"/>
        <v>0</v>
      </c>
      <c r="L24" s="39" t="s">
        <v>5648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 t="s">
        <v>5649</v>
      </c>
      <c r="B26" s="16"/>
      <c r="C26" s="17"/>
      <c r="D26" s="18"/>
      <c r="E26" s="41"/>
      <c r="F26" s="42"/>
      <c r="G26" s="34"/>
      <c r="H26" s="35"/>
      <c r="I26" s="36"/>
      <c r="J26" s="37"/>
      <c r="K26" s="85">
        <f t="shared" si="0"/>
        <v>0</v>
      </c>
      <c r="L26" s="39"/>
    </row>
    <row r="27" spans="1:12" s="27" customFormat="1" ht="19.5" customHeight="1" x14ac:dyDescent="0.3">
      <c r="A27" s="28" t="s">
        <v>5642</v>
      </c>
      <c r="B27" s="16" t="s">
        <v>1890</v>
      </c>
      <c r="C27" s="17">
        <v>28</v>
      </c>
      <c r="D27" s="18" t="s">
        <v>1891</v>
      </c>
      <c r="E27" s="41">
        <v>50</v>
      </c>
      <c r="F27" s="42">
        <v>86</v>
      </c>
      <c r="G27" s="34" t="s">
        <v>189</v>
      </c>
      <c r="H27" s="35">
        <v>2438</v>
      </c>
      <c r="I27" s="36">
        <v>3353</v>
      </c>
      <c r="J27" s="37">
        <v>28</v>
      </c>
      <c r="K27" s="85">
        <f t="shared" si="0"/>
        <v>228.88919200000001</v>
      </c>
      <c r="L27" s="39" t="s">
        <v>5665</v>
      </c>
    </row>
    <row r="28" spans="1:12" s="27" customFormat="1" ht="19.5" customHeight="1" x14ac:dyDescent="0.3">
      <c r="A28" s="28"/>
      <c r="B28" s="16"/>
      <c r="C28" s="17">
        <v>28</v>
      </c>
      <c r="D28" s="18" t="s">
        <v>1894</v>
      </c>
      <c r="E28" s="41">
        <v>25</v>
      </c>
      <c r="F28" s="42">
        <v>24</v>
      </c>
      <c r="G28" s="34"/>
      <c r="H28" s="35"/>
      <c r="I28" s="36"/>
      <c r="J28" s="37"/>
      <c r="K28" s="85">
        <f>(H28/1000*I28/1000)*J28</f>
        <v>0</v>
      </c>
      <c r="L28" s="39" t="s">
        <v>5665</v>
      </c>
    </row>
    <row r="29" spans="1:12" s="27" customFormat="1" ht="19.5" customHeight="1" x14ac:dyDescent="0.3">
      <c r="A29" s="28"/>
      <c r="B29" s="16"/>
      <c r="C29" s="17">
        <v>28</v>
      </c>
      <c r="D29" s="18" t="s">
        <v>1891</v>
      </c>
      <c r="E29" s="41">
        <v>23</v>
      </c>
      <c r="F29" s="42">
        <v>66.239999999999995</v>
      </c>
      <c r="G29" s="34"/>
      <c r="H29" s="35"/>
      <c r="I29" s="36"/>
      <c r="J29" s="37"/>
      <c r="K29" s="25">
        <f t="shared" si="0"/>
        <v>0</v>
      </c>
      <c r="L29" s="39" t="s">
        <v>5665</v>
      </c>
    </row>
    <row r="30" spans="1:12" s="27" customFormat="1" ht="19.5" customHeight="1" x14ac:dyDescent="0.3">
      <c r="A30" s="28" t="s">
        <v>5646</v>
      </c>
      <c r="B30" s="16" t="s">
        <v>1890</v>
      </c>
      <c r="C30" s="17">
        <v>28</v>
      </c>
      <c r="D30" s="18" t="s">
        <v>1894</v>
      </c>
      <c r="E30" s="41">
        <v>2</v>
      </c>
      <c r="F30" s="42">
        <v>2.46</v>
      </c>
      <c r="G30" s="34"/>
      <c r="H30" s="35"/>
      <c r="I30" s="36"/>
      <c r="J30" s="37"/>
      <c r="K30" s="25">
        <f t="shared" si="0"/>
        <v>0</v>
      </c>
      <c r="L30" s="39" t="s">
        <v>5665</v>
      </c>
    </row>
    <row r="31" spans="1:12" s="27" customFormat="1" ht="19.5" customHeight="1" x14ac:dyDescent="0.3">
      <c r="A31" s="28"/>
      <c r="B31" s="16"/>
      <c r="C31" s="17">
        <v>28</v>
      </c>
      <c r="D31" s="18" t="s">
        <v>1891</v>
      </c>
      <c r="E31" s="41">
        <v>1</v>
      </c>
      <c r="F31" s="42">
        <v>1.43</v>
      </c>
      <c r="G31" s="34"/>
      <c r="H31" s="35"/>
      <c r="I31" s="36"/>
      <c r="J31" s="37"/>
      <c r="K31" s="25">
        <f t="shared" si="0"/>
        <v>0</v>
      </c>
      <c r="L31" s="39" t="s">
        <v>5665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29"/>
      <c r="C37" s="30"/>
      <c r="D37" s="31"/>
      <c r="E37" s="41"/>
      <c r="F37" s="42"/>
      <c r="G37" s="43"/>
      <c r="H37" s="35"/>
      <c r="I37" s="36"/>
      <c r="J37" s="37"/>
      <c r="K37" s="25">
        <f t="shared" si="0"/>
        <v>0</v>
      </c>
      <c r="L37" s="39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5650</v>
      </c>
      <c r="B39" s="45" t="s">
        <v>5651</v>
      </c>
      <c r="C39" s="46">
        <v>28</v>
      </c>
      <c r="D39" s="47" t="s">
        <v>5652</v>
      </c>
      <c r="E39" s="48">
        <v>14</v>
      </c>
      <c r="F39" s="49">
        <v>40.01</v>
      </c>
      <c r="G39" s="50" t="s">
        <v>5653</v>
      </c>
      <c r="H39" s="51">
        <v>2438</v>
      </c>
      <c r="I39" s="45">
        <v>3353</v>
      </c>
      <c r="J39" s="52">
        <v>7</v>
      </c>
      <c r="K39" s="53">
        <f t="shared" si="0"/>
        <v>57.222298000000002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5654</v>
      </c>
      <c r="B41" s="45" t="s">
        <v>5655</v>
      </c>
      <c r="C41" s="46">
        <v>24</v>
      </c>
      <c r="D41" s="47" t="s">
        <v>5656</v>
      </c>
      <c r="E41" s="48">
        <v>112</v>
      </c>
      <c r="F41" s="49">
        <v>159.96</v>
      </c>
      <c r="G41" s="50" t="s">
        <v>5658</v>
      </c>
      <c r="H41" s="51">
        <v>1981</v>
      </c>
      <c r="I41" s="45">
        <v>3353</v>
      </c>
      <c r="J41" s="52">
        <v>38</v>
      </c>
      <c r="K41" s="53">
        <f t="shared" si="0"/>
        <v>252.40713400000001</v>
      </c>
      <c r="L41" s="54" t="s">
        <v>5661</v>
      </c>
    </row>
    <row r="42" spans="1:12" s="55" customFormat="1" ht="19.5" customHeight="1" x14ac:dyDescent="0.3">
      <c r="A42" s="44" t="s">
        <v>5657</v>
      </c>
      <c r="B42" s="45" t="s">
        <v>5655</v>
      </c>
      <c r="C42" s="46">
        <v>24</v>
      </c>
      <c r="D42" s="47" t="s">
        <v>5656</v>
      </c>
      <c r="E42" s="48">
        <v>42</v>
      </c>
      <c r="F42" s="49">
        <v>51.03</v>
      </c>
      <c r="G42" s="50" t="s">
        <v>5659</v>
      </c>
      <c r="H42" s="51">
        <v>1981</v>
      </c>
      <c r="I42" s="45">
        <v>3353</v>
      </c>
      <c r="J42" s="52">
        <v>1</v>
      </c>
      <c r="K42" s="53">
        <f t="shared" si="0"/>
        <v>6.6422930000000004</v>
      </c>
      <c r="L42" s="54" t="s">
        <v>5661</v>
      </c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 t="s">
        <v>5660</v>
      </c>
      <c r="H43" s="51">
        <v>1981</v>
      </c>
      <c r="I43" s="45">
        <v>3353</v>
      </c>
      <c r="J43" s="52">
        <v>36</v>
      </c>
      <c r="K43" s="53">
        <f t="shared" si="0"/>
        <v>239.12254800000002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5662</v>
      </c>
      <c r="B45" s="45" t="s">
        <v>5663</v>
      </c>
      <c r="C45" s="46">
        <v>43</v>
      </c>
      <c r="D45" s="47" t="s">
        <v>5664</v>
      </c>
      <c r="E45" s="48">
        <v>143</v>
      </c>
      <c r="F45" s="49">
        <v>79.7</v>
      </c>
      <c r="G45" s="50" t="s">
        <v>5658</v>
      </c>
      <c r="H45" s="51">
        <v>2438</v>
      </c>
      <c r="I45" s="45">
        <v>3353</v>
      </c>
      <c r="J45" s="52">
        <v>10</v>
      </c>
      <c r="K45" s="53">
        <f t="shared" si="0"/>
        <v>81.746139999999997</v>
      </c>
      <c r="L45" s="54" t="s">
        <v>202</v>
      </c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5649</v>
      </c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5666</v>
      </c>
      <c r="B48" s="45" t="s">
        <v>2456</v>
      </c>
      <c r="C48" s="46">
        <v>43</v>
      </c>
      <c r="D48" s="47" t="s">
        <v>791</v>
      </c>
      <c r="E48" s="48">
        <v>49</v>
      </c>
      <c r="F48" s="49">
        <v>28.64</v>
      </c>
      <c r="G48" s="50" t="s">
        <v>49</v>
      </c>
      <c r="H48" s="51">
        <v>2438</v>
      </c>
      <c r="I48" s="45">
        <v>3353</v>
      </c>
      <c r="J48" s="52">
        <v>4</v>
      </c>
      <c r="K48" s="53">
        <f t="shared" si="0"/>
        <v>32.698456</v>
      </c>
      <c r="L48" s="54" t="s">
        <v>202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5667</v>
      </c>
      <c r="B50" s="45" t="s">
        <v>2456</v>
      </c>
      <c r="C50" s="46">
        <v>43</v>
      </c>
      <c r="D50" s="47" t="s">
        <v>791</v>
      </c>
      <c r="E50" s="48">
        <v>27</v>
      </c>
      <c r="F50" s="49">
        <v>13.08</v>
      </c>
      <c r="G50" s="50" t="s">
        <v>49</v>
      </c>
      <c r="H50" s="51">
        <v>2438</v>
      </c>
      <c r="I50" s="45">
        <v>3353</v>
      </c>
      <c r="J50" s="52">
        <v>2</v>
      </c>
      <c r="K50" s="53">
        <f t="shared" si="0"/>
        <v>16.349228</v>
      </c>
      <c r="L50" s="54" t="s">
        <v>202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5668</v>
      </c>
      <c r="B52" s="45" t="s">
        <v>2456</v>
      </c>
      <c r="C52" s="46">
        <v>43</v>
      </c>
      <c r="D52" s="47" t="s">
        <v>791</v>
      </c>
      <c r="E52" s="48">
        <v>58</v>
      </c>
      <c r="F52" s="49">
        <v>35.26</v>
      </c>
      <c r="G52" s="50" t="s">
        <v>49</v>
      </c>
      <c r="H52" s="51">
        <v>2438</v>
      </c>
      <c r="I52" s="45">
        <v>3353</v>
      </c>
      <c r="J52" s="52">
        <v>4</v>
      </c>
      <c r="K52" s="53">
        <f t="shared" si="0"/>
        <v>32.698456</v>
      </c>
      <c r="L52" s="54" t="s">
        <v>202</v>
      </c>
    </row>
    <row r="53" spans="1:12" s="55" customFormat="1" ht="19.5" customHeight="1" x14ac:dyDescent="0.3">
      <c r="A53" s="44"/>
      <c r="B53" s="76"/>
      <c r="C53" s="77"/>
      <c r="D53" s="78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5669</v>
      </c>
      <c r="B54" s="76" t="s">
        <v>5670</v>
      </c>
      <c r="C54" s="77">
        <v>24</v>
      </c>
      <c r="D54" s="78" t="s">
        <v>5671</v>
      </c>
      <c r="E54" s="48">
        <v>48</v>
      </c>
      <c r="F54" s="49">
        <v>70.209999999999994</v>
      </c>
      <c r="G54" s="50" t="s">
        <v>5672</v>
      </c>
      <c r="H54" s="51">
        <v>2438</v>
      </c>
      <c r="I54" s="45">
        <v>3353</v>
      </c>
      <c r="J54" s="52">
        <v>10</v>
      </c>
      <c r="K54" s="53">
        <f t="shared" si="0"/>
        <v>81.746139999999997</v>
      </c>
      <c r="L54" s="54" t="s">
        <v>5673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5674</v>
      </c>
      <c r="B56" s="76" t="s">
        <v>5670</v>
      </c>
      <c r="C56" s="77">
        <v>24</v>
      </c>
      <c r="D56" s="78" t="s">
        <v>5671</v>
      </c>
      <c r="E56" s="48">
        <v>88</v>
      </c>
      <c r="F56" s="49">
        <v>104.56</v>
      </c>
      <c r="G56" s="50" t="s">
        <v>5672</v>
      </c>
      <c r="H56" s="51">
        <v>1829</v>
      </c>
      <c r="I56" s="45">
        <v>3353</v>
      </c>
      <c r="J56" s="52">
        <v>18</v>
      </c>
      <c r="K56" s="53">
        <f t="shared" si="0"/>
        <v>110.387466</v>
      </c>
      <c r="L56" s="54" t="s">
        <v>5673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9" customFormat="1" ht="20.100000000000001" customHeight="1" x14ac:dyDescent="0.3">
      <c r="A64" s="44"/>
      <c r="B64" s="45"/>
      <c r="C64" s="46"/>
      <c r="D64" s="47"/>
      <c r="E64" s="56"/>
      <c r="F64" s="57"/>
      <c r="G64" s="50"/>
      <c r="H64" s="51"/>
      <c r="I64" s="45"/>
      <c r="J64" s="52"/>
      <c r="K64" s="53">
        <f t="shared" si="0"/>
        <v>0</v>
      </c>
      <c r="L64" s="58">
        <f>SUM(J38:J65)</f>
        <v>130</v>
      </c>
    </row>
    <row r="65" spans="1:12" s="59" customFormat="1" ht="20.100000000000001" customHeight="1" x14ac:dyDescent="0.3">
      <c r="A65" s="44"/>
      <c r="B65" s="45"/>
      <c r="C65" s="46"/>
      <c r="D65" s="47"/>
      <c r="E65" s="60"/>
      <c r="F65" s="61"/>
      <c r="G65" s="62"/>
      <c r="H65" s="51"/>
      <c r="I65" s="45"/>
      <c r="J65" s="63"/>
      <c r="K65" s="53">
        <f t="shared" si="0"/>
        <v>0</v>
      </c>
      <c r="L65" s="64">
        <f>SUM(K38:K65)</f>
        <v>911.02015899999992</v>
      </c>
    </row>
    <row r="66" spans="1:12" s="59" customFormat="1" ht="20.100000000000001" customHeight="1" thickBot="1" x14ac:dyDescent="0.35">
      <c r="A66" s="114"/>
      <c r="B66" s="115"/>
      <c r="C66" s="115"/>
      <c r="D66" s="115"/>
      <c r="E66" s="115"/>
      <c r="F66" s="115"/>
      <c r="G66" s="115"/>
      <c r="H66" s="115"/>
      <c r="I66" s="115"/>
      <c r="J66" s="65">
        <f>SUM(J7:J65)</f>
        <v>258</v>
      </c>
      <c r="K66" s="66">
        <f>SUM(K7:K65)</f>
        <v>1942.1363000000001</v>
      </c>
      <c r="L66" s="67"/>
    </row>
    <row r="67" spans="1:12" s="59" customFormat="1" ht="20.100000000000001" customHeight="1" thickTop="1" thickBot="1" x14ac:dyDescent="0.35">
      <c r="A67" s="116" t="s">
        <v>52</v>
      </c>
      <c r="B67" s="117"/>
      <c r="C67" s="68"/>
      <c r="D67" s="118">
        <f>J66</f>
        <v>258</v>
      </c>
      <c r="E67" s="119"/>
      <c r="F67" s="119"/>
      <c r="G67" s="120"/>
      <c r="H67" s="121"/>
      <c r="I67" s="121"/>
      <c r="J67" s="122"/>
      <c r="K67" s="119"/>
      <c r="L67" s="123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71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72"/>
      <c r="F73" s="5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5"/>
      <c r="G74" s="73"/>
      <c r="H74" s="5"/>
      <c r="I74" s="74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72"/>
      <c r="I78" s="72"/>
      <c r="J78" s="5"/>
      <c r="K78" s="5"/>
      <c r="L78" s="5"/>
    </row>
    <row r="79" spans="1:12" ht="20.100000000000001" customHeight="1" x14ac:dyDescent="0.3">
      <c r="A79" s="113"/>
      <c r="B79" s="113"/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A83" s="113"/>
      <c r="B83" s="113"/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H85" s="72"/>
      <c r="I85" s="72"/>
    </row>
    <row r="86" spans="1:12" ht="20.100000000000001" customHeight="1" x14ac:dyDescent="0.3">
      <c r="H86" s="72"/>
      <c r="I86" s="72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J87" s="5"/>
      <c r="K87" s="5"/>
      <c r="L87" s="5"/>
    </row>
    <row r="88" spans="1:12" s="72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5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5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5" customFormat="1" ht="19.5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2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ht="19.5" customHeight="1" x14ac:dyDescent="0.3"/>
    <row r="95" spans="1:12" ht="19.5" customHeight="1" x14ac:dyDescent="0.3"/>
    <row r="96" spans="1:12" ht="19.5" customHeight="1" x14ac:dyDescent="0.3"/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</sheetData>
  <mergeCells count="30">
    <mergeCell ref="A82:B82"/>
    <mergeCell ref="A83:B83"/>
    <mergeCell ref="A73:B73"/>
    <mergeCell ref="A74:B74"/>
    <mergeCell ref="A75:B75"/>
    <mergeCell ref="A77:B77"/>
    <mergeCell ref="A78:B78"/>
    <mergeCell ref="A79:B79"/>
    <mergeCell ref="A72:B72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6:I66"/>
    <mergeCell ref="A67:B67"/>
    <mergeCell ref="D67:G67"/>
    <mergeCell ref="H67:J67"/>
    <mergeCell ref="K67:L67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L176"/>
  <sheetViews>
    <sheetView view="pageBreakPreview" topLeftCell="A5" zoomScale="85" zoomScaleNormal="100" zoomScaleSheetLayoutView="85" workbookViewId="0">
      <selection activeCell="D20" sqref="D2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46202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4" si="0">(H7/1000*I7/1000)*J7</f>
        <v>0</v>
      </c>
      <c r="L7" s="26">
        <f>SUM(J7:J44)</f>
        <v>147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SUM(K7:K44)</f>
        <v>1000.856341</v>
      </c>
    </row>
    <row r="9" spans="1:12" s="27" customFormat="1" ht="19.5" customHeight="1" x14ac:dyDescent="0.3">
      <c r="A9" s="28" t="s">
        <v>5549</v>
      </c>
      <c r="B9" s="16" t="s">
        <v>5550</v>
      </c>
      <c r="C9" s="17">
        <v>24</v>
      </c>
      <c r="D9" s="18" t="s">
        <v>5551</v>
      </c>
      <c r="E9" s="41">
        <v>24</v>
      </c>
      <c r="F9" s="42">
        <v>19.920000000000002</v>
      </c>
      <c r="G9" s="34" t="s">
        <v>5554</v>
      </c>
      <c r="H9" s="35">
        <v>2134</v>
      </c>
      <c r="I9" s="36">
        <v>3353</v>
      </c>
      <c r="J9" s="37">
        <v>15</v>
      </c>
      <c r="K9" s="85">
        <f t="shared" si="0"/>
        <v>107.32952999999999</v>
      </c>
      <c r="L9" s="39" t="s">
        <v>5557</v>
      </c>
    </row>
    <row r="10" spans="1:12" s="27" customFormat="1" ht="19.5" customHeight="1" x14ac:dyDescent="0.3">
      <c r="A10" s="28" t="s">
        <v>5552</v>
      </c>
      <c r="B10" s="16" t="s">
        <v>5550</v>
      </c>
      <c r="C10" s="17">
        <v>24</v>
      </c>
      <c r="D10" s="18" t="s">
        <v>5551</v>
      </c>
      <c r="E10" s="41">
        <v>18</v>
      </c>
      <c r="F10" s="42">
        <v>47.27</v>
      </c>
      <c r="G10" s="34" t="s">
        <v>5555</v>
      </c>
      <c r="H10" s="35">
        <v>2134</v>
      </c>
      <c r="I10" s="36">
        <v>3353</v>
      </c>
      <c r="J10" s="37">
        <v>15</v>
      </c>
      <c r="K10" s="85">
        <f t="shared" si="0"/>
        <v>107.32952999999999</v>
      </c>
      <c r="L10" s="39" t="s">
        <v>5556</v>
      </c>
    </row>
    <row r="11" spans="1:12" s="27" customFormat="1" ht="19.5" customHeight="1" x14ac:dyDescent="0.3">
      <c r="A11" s="28"/>
      <c r="B11" s="16"/>
      <c r="C11" s="17">
        <v>43</v>
      </c>
      <c r="D11" s="18" t="s">
        <v>5553</v>
      </c>
      <c r="E11" s="41">
        <v>11</v>
      </c>
      <c r="F11" s="42">
        <v>24.84</v>
      </c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>
        <f t="shared" ref="K12:K26" si="1">(H12/1000*I12/1000)*J12</f>
        <v>0</v>
      </c>
      <c r="L12" s="39"/>
    </row>
    <row r="13" spans="1:12" s="27" customFormat="1" ht="19.5" customHeight="1" x14ac:dyDescent="0.3">
      <c r="A13" s="28" t="s">
        <v>5558</v>
      </c>
      <c r="B13" s="16" t="s">
        <v>5559</v>
      </c>
      <c r="C13" s="17">
        <v>24</v>
      </c>
      <c r="D13" s="18" t="s">
        <v>5560</v>
      </c>
      <c r="E13" s="41">
        <v>98</v>
      </c>
      <c r="F13" s="42">
        <v>103.86</v>
      </c>
      <c r="G13" s="34" t="s">
        <v>5561</v>
      </c>
      <c r="H13" s="35">
        <v>1829</v>
      </c>
      <c r="I13" s="36">
        <v>3353</v>
      </c>
      <c r="J13" s="37">
        <v>18</v>
      </c>
      <c r="K13" s="85">
        <f t="shared" si="1"/>
        <v>110.387466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5555</v>
      </c>
      <c r="H14" s="35">
        <v>1829</v>
      </c>
      <c r="I14" s="36">
        <v>3353</v>
      </c>
      <c r="J14" s="37">
        <v>18</v>
      </c>
      <c r="K14" s="85">
        <f t="shared" si="1"/>
        <v>110.387466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85">
        <f t="shared" si="1"/>
        <v>0</v>
      </c>
      <c r="L15" s="39"/>
    </row>
    <row r="16" spans="1:12" s="27" customFormat="1" ht="19.5" customHeight="1" x14ac:dyDescent="0.3">
      <c r="A16" s="28" t="s">
        <v>5562</v>
      </c>
      <c r="B16" s="16" t="s">
        <v>5559</v>
      </c>
      <c r="C16" s="17">
        <v>24</v>
      </c>
      <c r="D16" s="18" t="s">
        <v>5560</v>
      </c>
      <c r="E16" s="41">
        <v>70</v>
      </c>
      <c r="F16" s="42">
        <v>38.82</v>
      </c>
      <c r="G16" s="34" t="s">
        <v>5561</v>
      </c>
      <c r="H16" s="35">
        <v>1829</v>
      </c>
      <c r="I16" s="36">
        <v>3353</v>
      </c>
      <c r="J16" s="37">
        <v>19</v>
      </c>
      <c r="K16" s="85">
        <f t="shared" si="1"/>
        <v>116.52010299999999</v>
      </c>
      <c r="L16" s="39" t="s">
        <v>5565</v>
      </c>
    </row>
    <row r="17" spans="1:12" s="27" customFormat="1" ht="19.5" customHeight="1" x14ac:dyDescent="0.3">
      <c r="A17" s="28" t="s">
        <v>5563</v>
      </c>
      <c r="B17" s="16" t="s">
        <v>5559</v>
      </c>
      <c r="C17" s="17">
        <v>24</v>
      </c>
      <c r="D17" s="18" t="s">
        <v>5564</v>
      </c>
      <c r="E17" s="41">
        <v>70</v>
      </c>
      <c r="F17" s="42">
        <v>80</v>
      </c>
      <c r="G17" s="34" t="s">
        <v>5555</v>
      </c>
      <c r="H17" s="35">
        <v>1829</v>
      </c>
      <c r="I17" s="36">
        <v>3353</v>
      </c>
      <c r="J17" s="37">
        <v>21</v>
      </c>
      <c r="K17" s="85">
        <f t="shared" si="1"/>
        <v>128.78537700000001</v>
      </c>
      <c r="L17" s="39" t="s">
        <v>5565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1"/>
        <v>0</v>
      </c>
      <c r="L18" s="39"/>
    </row>
    <row r="19" spans="1:12" s="27" customFormat="1" ht="19.5" customHeight="1" x14ac:dyDescent="0.3">
      <c r="A19" s="28" t="s">
        <v>5566</v>
      </c>
      <c r="B19" s="16" t="s">
        <v>5567</v>
      </c>
      <c r="C19" s="17">
        <v>39</v>
      </c>
      <c r="D19" s="18" t="s">
        <v>5568</v>
      </c>
      <c r="E19" s="41">
        <v>3</v>
      </c>
      <c r="F19" s="42">
        <v>10.79</v>
      </c>
      <c r="G19" s="34" t="s">
        <v>5561</v>
      </c>
      <c r="H19" s="35">
        <v>1829</v>
      </c>
      <c r="I19" s="36">
        <v>3353</v>
      </c>
      <c r="J19" s="37">
        <v>1</v>
      </c>
      <c r="K19" s="85">
        <f t="shared" si="1"/>
        <v>6.1326369999999999</v>
      </c>
      <c r="L19" s="39" t="s">
        <v>5569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 t="s">
        <v>5561</v>
      </c>
      <c r="H20" s="35">
        <v>2438</v>
      </c>
      <c r="I20" s="36">
        <v>3353</v>
      </c>
      <c r="J20" s="37">
        <v>2</v>
      </c>
      <c r="K20" s="85">
        <f t="shared" si="1"/>
        <v>16.349228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1"/>
        <v>0</v>
      </c>
      <c r="L21" s="39"/>
    </row>
    <row r="22" spans="1:12" s="27" customFormat="1" ht="19.5" customHeight="1" x14ac:dyDescent="0.3">
      <c r="A22" s="28" t="s">
        <v>5570</v>
      </c>
      <c r="B22" s="16" t="s">
        <v>5571</v>
      </c>
      <c r="C22" s="17">
        <v>25.76</v>
      </c>
      <c r="D22" s="18" t="s">
        <v>5572</v>
      </c>
      <c r="E22" s="41">
        <v>1</v>
      </c>
      <c r="F22" s="42">
        <v>1.48</v>
      </c>
      <c r="G22" s="34" t="s">
        <v>5555</v>
      </c>
      <c r="H22" s="35">
        <v>2134</v>
      </c>
      <c r="I22" s="36">
        <v>3353</v>
      </c>
      <c r="J22" s="37">
        <v>1</v>
      </c>
      <c r="K22" s="85">
        <f t="shared" si="1"/>
        <v>7.1553019999999998</v>
      </c>
      <c r="L22" s="39"/>
    </row>
    <row r="23" spans="1:12" s="27" customFormat="1" ht="19.5" customHeight="1" x14ac:dyDescent="0.3">
      <c r="A23" s="28"/>
      <c r="B23" s="16"/>
      <c r="C23" s="17">
        <v>22</v>
      </c>
      <c r="D23" s="18" t="s">
        <v>5573</v>
      </c>
      <c r="E23" s="41">
        <v>2</v>
      </c>
      <c r="F23" s="42">
        <v>1.18</v>
      </c>
      <c r="G23" s="34"/>
      <c r="H23" s="35"/>
      <c r="I23" s="36"/>
      <c r="J23" s="37"/>
      <c r="K23" s="85">
        <f t="shared" si="1"/>
        <v>0</v>
      </c>
      <c r="L23" s="39"/>
    </row>
    <row r="24" spans="1:12" s="27" customFormat="1" ht="19.5" customHeight="1" x14ac:dyDescent="0.3">
      <c r="A24" s="28"/>
      <c r="B24" s="16"/>
      <c r="C24" s="17">
        <v>24</v>
      </c>
      <c r="D24" s="18" t="s">
        <v>5573</v>
      </c>
      <c r="E24" s="41">
        <v>1</v>
      </c>
      <c r="F24" s="42">
        <v>1.1399999999999999</v>
      </c>
      <c r="G24" s="34"/>
      <c r="H24" s="35"/>
      <c r="I24" s="36"/>
      <c r="J24" s="37"/>
      <c r="K24" s="85">
        <f t="shared" si="1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1"/>
        <v>0</v>
      </c>
      <c r="L25" s="39"/>
    </row>
    <row r="26" spans="1:12" s="27" customFormat="1" ht="19.5" customHeight="1" x14ac:dyDescent="0.3">
      <c r="A26" s="28" t="s">
        <v>5574</v>
      </c>
      <c r="B26" s="16" t="s">
        <v>5575</v>
      </c>
      <c r="C26" s="17">
        <v>24</v>
      </c>
      <c r="D26" s="18" t="s">
        <v>5576</v>
      </c>
      <c r="E26" s="41">
        <v>1</v>
      </c>
      <c r="F26" s="42">
        <v>0.39</v>
      </c>
      <c r="G26" s="34"/>
      <c r="H26" s="35"/>
      <c r="I26" s="36"/>
      <c r="J26" s="37"/>
      <c r="K26" s="85">
        <f t="shared" si="1"/>
        <v>0</v>
      </c>
      <c r="L26" s="39" t="s">
        <v>5577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 t="s">
        <v>5578</v>
      </c>
      <c r="B28" s="16" t="s">
        <v>5575</v>
      </c>
      <c r="C28" s="17">
        <v>24</v>
      </c>
      <c r="D28" s="18" t="s">
        <v>5576</v>
      </c>
      <c r="E28" s="41">
        <v>2</v>
      </c>
      <c r="F28" s="42">
        <v>0.42</v>
      </c>
      <c r="G28" s="34"/>
      <c r="H28" s="35"/>
      <c r="I28" s="36"/>
      <c r="J28" s="37"/>
      <c r="K28" s="85">
        <f>(H28/1000*I28/1000)*J28</f>
        <v>0</v>
      </c>
      <c r="L28" s="39" t="s">
        <v>5577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 t="s">
        <v>5579</v>
      </c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 t="s">
        <v>5603</v>
      </c>
      <c r="B31" s="16" t="s">
        <v>5604</v>
      </c>
      <c r="C31" s="17">
        <v>5</v>
      </c>
      <c r="D31" s="18" t="s">
        <v>5605</v>
      </c>
      <c r="E31" s="41">
        <v>26</v>
      </c>
      <c r="F31" s="42">
        <v>17.16</v>
      </c>
      <c r="G31" s="34" t="s">
        <v>5606</v>
      </c>
      <c r="H31" s="35">
        <v>2134</v>
      </c>
      <c r="I31" s="36">
        <v>3353</v>
      </c>
      <c r="J31" s="37">
        <v>3</v>
      </c>
      <c r="K31" s="25">
        <f t="shared" si="0"/>
        <v>21.465906</v>
      </c>
      <c r="L31" s="39" t="s">
        <v>5607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 t="s">
        <v>5608</v>
      </c>
      <c r="B33" s="16" t="s">
        <v>5609</v>
      </c>
      <c r="C33" s="17">
        <v>26.76</v>
      </c>
      <c r="D33" s="18" t="s">
        <v>5610</v>
      </c>
      <c r="E33" s="41">
        <v>24</v>
      </c>
      <c r="F33" s="42">
        <v>37.43</v>
      </c>
      <c r="G33" s="34" t="s">
        <v>5614</v>
      </c>
      <c r="H33" s="35">
        <v>2438</v>
      </c>
      <c r="I33" s="36">
        <v>3353</v>
      </c>
      <c r="J33" s="37">
        <v>22</v>
      </c>
      <c r="K33" s="25">
        <f t="shared" si="0"/>
        <v>179.841508</v>
      </c>
      <c r="L33" s="39" t="s">
        <v>5756</v>
      </c>
    </row>
    <row r="34" spans="1:12" s="27" customFormat="1" ht="19.5" customHeight="1" x14ac:dyDescent="0.3">
      <c r="A34" s="28"/>
      <c r="B34" s="16"/>
      <c r="C34" s="17">
        <v>24</v>
      </c>
      <c r="D34" s="18" t="s">
        <v>5611</v>
      </c>
      <c r="E34" s="41">
        <v>28</v>
      </c>
      <c r="F34" s="42">
        <v>8.82</v>
      </c>
      <c r="G34" s="34" t="s">
        <v>5615</v>
      </c>
      <c r="H34" s="35">
        <v>2438</v>
      </c>
      <c r="I34" s="36">
        <v>3048</v>
      </c>
      <c r="J34" s="37">
        <v>11</v>
      </c>
      <c r="K34" s="25">
        <f t="shared" si="0"/>
        <v>81.741264000000001</v>
      </c>
      <c r="L34" s="39" t="s">
        <v>5756</v>
      </c>
    </row>
    <row r="35" spans="1:12" s="27" customFormat="1" ht="19.5" customHeight="1" x14ac:dyDescent="0.3">
      <c r="A35" s="28"/>
      <c r="B35" s="16"/>
      <c r="C35" s="17">
        <v>24</v>
      </c>
      <c r="D35" s="18" t="s">
        <v>5612</v>
      </c>
      <c r="E35" s="41">
        <v>52</v>
      </c>
      <c r="F35" s="42">
        <v>35.19</v>
      </c>
      <c r="G35" s="34"/>
      <c r="H35" s="35"/>
      <c r="I35" s="36"/>
      <c r="J35" s="37"/>
      <c r="K35" s="25">
        <f t="shared" si="0"/>
        <v>0</v>
      </c>
      <c r="L35" s="39" t="s">
        <v>5756</v>
      </c>
    </row>
    <row r="36" spans="1:12" s="27" customFormat="1" ht="19.5" customHeight="1" x14ac:dyDescent="0.3">
      <c r="A36" s="28" t="s">
        <v>5613</v>
      </c>
      <c r="B36" s="16" t="s">
        <v>5609</v>
      </c>
      <c r="C36" s="17">
        <v>24</v>
      </c>
      <c r="D36" s="18" t="s">
        <v>5611</v>
      </c>
      <c r="E36" s="41">
        <v>42</v>
      </c>
      <c r="F36" s="42">
        <v>57.61</v>
      </c>
      <c r="G36" s="34"/>
      <c r="H36" s="35"/>
      <c r="I36" s="36"/>
      <c r="J36" s="37"/>
      <c r="K36" s="25">
        <f t="shared" si="0"/>
        <v>0</v>
      </c>
      <c r="L36" s="39" t="s">
        <v>5756</v>
      </c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 t="s">
        <v>5820</v>
      </c>
      <c r="B38" s="16" t="s">
        <v>5609</v>
      </c>
      <c r="C38" s="17">
        <v>26.76</v>
      </c>
      <c r="D38" s="18" t="s">
        <v>2352</v>
      </c>
      <c r="E38" s="41">
        <v>1</v>
      </c>
      <c r="F38" s="42">
        <v>2.88</v>
      </c>
      <c r="G38" s="34" t="s">
        <v>822</v>
      </c>
      <c r="H38" s="35">
        <v>2438</v>
      </c>
      <c r="I38" s="36">
        <v>3048</v>
      </c>
      <c r="J38" s="37">
        <v>1</v>
      </c>
      <c r="K38" s="25">
        <f t="shared" si="0"/>
        <v>7.4310240000000007</v>
      </c>
      <c r="L38" s="39" t="s">
        <v>5821</v>
      </c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0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0"/>
        <v>0</v>
      </c>
      <c r="L43" s="39"/>
    </row>
    <row r="44" spans="1:12" s="27" customFormat="1" ht="19.5" customHeight="1" x14ac:dyDescent="0.3">
      <c r="A44" s="28"/>
      <c r="B44" s="29"/>
      <c r="C44" s="30"/>
      <c r="D44" s="31"/>
      <c r="E44" s="41"/>
      <c r="F44" s="42"/>
      <c r="G44" s="43"/>
      <c r="H44" s="35"/>
      <c r="I44" s="36"/>
      <c r="J44" s="37"/>
      <c r="K44" s="25">
        <f t="shared" si="0"/>
        <v>0</v>
      </c>
      <c r="L44" s="39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5580</v>
      </c>
      <c r="B46" s="45" t="s">
        <v>5550</v>
      </c>
      <c r="C46" s="46">
        <v>24</v>
      </c>
      <c r="D46" s="47" t="s">
        <v>5551</v>
      </c>
      <c r="E46" s="48">
        <v>36</v>
      </c>
      <c r="F46" s="49">
        <v>29.5</v>
      </c>
      <c r="G46" s="50" t="s">
        <v>5555</v>
      </c>
      <c r="H46" s="51">
        <v>2134</v>
      </c>
      <c r="I46" s="45">
        <v>3353</v>
      </c>
      <c r="J46" s="52">
        <v>4</v>
      </c>
      <c r="K46" s="53">
        <f t="shared" si="0"/>
        <v>28.621207999999999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 t="s">
        <v>5554</v>
      </c>
      <c r="H47" s="51">
        <v>2134</v>
      </c>
      <c r="I47" s="45">
        <v>3353</v>
      </c>
      <c r="J47" s="52">
        <v>4</v>
      </c>
      <c r="K47" s="53">
        <f t="shared" si="0"/>
        <v>28.621207999999999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ref="K48:K61" si="2">(H48/1000*I48/1000)*J48</f>
        <v>0</v>
      </c>
      <c r="L48" s="54"/>
    </row>
    <row r="49" spans="1:12" s="55" customFormat="1" ht="19.5" customHeight="1" x14ac:dyDescent="0.3">
      <c r="A49" s="44" t="s">
        <v>5581</v>
      </c>
      <c r="B49" s="45" t="s">
        <v>5550</v>
      </c>
      <c r="C49" s="46">
        <v>24</v>
      </c>
      <c r="D49" s="47" t="s">
        <v>5551</v>
      </c>
      <c r="E49" s="48">
        <v>32</v>
      </c>
      <c r="F49" s="49">
        <v>57.83</v>
      </c>
      <c r="G49" s="50" t="s">
        <v>5555</v>
      </c>
      <c r="H49" s="51">
        <v>2134</v>
      </c>
      <c r="I49" s="45">
        <v>3353</v>
      </c>
      <c r="J49" s="52">
        <v>11</v>
      </c>
      <c r="K49" s="53">
        <f t="shared" si="2"/>
        <v>78.708321999999995</v>
      </c>
      <c r="L49" s="54"/>
    </row>
    <row r="50" spans="1:12" s="55" customFormat="1" ht="19.5" customHeight="1" x14ac:dyDescent="0.3">
      <c r="A50" s="44"/>
      <c r="B50" s="45"/>
      <c r="C50" s="46">
        <v>24</v>
      </c>
      <c r="D50" s="47" t="s">
        <v>5582</v>
      </c>
      <c r="E50" s="48">
        <v>8</v>
      </c>
      <c r="F50" s="49">
        <v>7.06</v>
      </c>
      <c r="G50" s="50" t="s">
        <v>5554</v>
      </c>
      <c r="H50" s="51">
        <v>2134</v>
      </c>
      <c r="I50" s="45">
        <v>3353</v>
      </c>
      <c r="J50" s="52">
        <v>11</v>
      </c>
      <c r="K50" s="53">
        <f t="shared" si="2"/>
        <v>78.708321999999995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2"/>
        <v>0</v>
      </c>
      <c r="L51" s="54"/>
    </row>
    <row r="52" spans="1:12" s="55" customFormat="1" ht="19.5" customHeight="1" x14ac:dyDescent="0.3">
      <c r="A52" s="44" t="s">
        <v>5583</v>
      </c>
      <c r="B52" s="45" t="s">
        <v>5584</v>
      </c>
      <c r="C52" s="46">
        <v>24</v>
      </c>
      <c r="D52" s="47" t="s">
        <v>5585</v>
      </c>
      <c r="E52" s="48">
        <v>1</v>
      </c>
      <c r="F52" s="49">
        <v>0.42</v>
      </c>
      <c r="G52" s="50"/>
      <c r="H52" s="51"/>
      <c r="I52" s="45"/>
      <c r="J52" s="52"/>
      <c r="K52" s="53">
        <f t="shared" si="2"/>
        <v>0</v>
      </c>
      <c r="L52" s="54" t="s">
        <v>5587</v>
      </c>
    </row>
    <row r="53" spans="1:12" s="55" customFormat="1" ht="19.5" customHeight="1" x14ac:dyDescent="0.3">
      <c r="A53" s="44"/>
      <c r="B53" s="45"/>
      <c r="C53" s="46">
        <v>24</v>
      </c>
      <c r="D53" s="47" t="s">
        <v>5586</v>
      </c>
      <c r="E53" s="48">
        <v>1</v>
      </c>
      <c r="F53" s="49">
        <v>1.26</v>
      </c>
      <c r="G53" s="50"/>
      <c r="H53" s="51"/>
      <c r="I53" s="45"/>
      <c r="J53" s="52"/>
      <c r="K53" s="53">
        <f t="shared" si="2"/>
        <v>0</v>
      </c>
      <c r="L53" s="54" t="s">
        <v>5587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2"/>
        <v>0</v>
      </c>
      <c r="L54" s="54"/>
    </row>
    <row r="55" spans="1:12" s="55" customFormat="1" ht="19.5" customHeight="1" x14ac:dyDescent="0.3">
      <c r="A55" s="44" t="s">
        <v>5588</v>
      </c>
      <c r="B55" s="45" t="s">
        <v>5589</v>
      </c>
      <c r="C55" s="46">
        <v>24</v>
      </c>
      <c r="D55" s="47" t="s">
        <v>5590</v>
      </c>
      <c r="E55" s="48">
        <v>31</v>
      </c>
      <c r="F55" s="49">
        <v>34.08</v>
      </c>
      <c r="G55" s="50" t="s">
        <v>5591</v>
      </c>
      <c r="H55" s="51">
        <v>2438</v>
      </c>
      <c r="I55" s="45">
        <v>3353</v>
      </c>
      <c r="J55" s="52">
        <v>5</v>
      </c>
      <c r="K55" s="53">
        <f t="shared" si="2"/>
        <v>40.873069999999998</v>
      </c>
      <c r="L55" s="54" t="s">
        <v>5593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 t="s">
        <v>5592</v>
      </c>
      <c r="H56" s="51">
        <v>2438</v>
      </c>
      <c r="I56" s="45">
        <v>3048</v>
      </c>
      <c r="J56" s="52">
        <v>5</v>
      </c>
      <c r="K56" s="53">
        <f t="shared" si="2"/>
        <v>37.155120000000004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2"/>
        <v>0</v>
      </c>
      <c r="L57" s="54"/>
    </row>
    <row r="58" spans="1:12" s="55" customFormat="1" ht="19.5" customHeight="1" x14ac:dyDescent="0.3">
      <c r="A58" s="44" t="s">
        <v>5594</v>
      </c>
      <c r="B58" s="45" t="s">
        <v>5595</v>
      </c>
      <c r="C58" s="46">
        <v>22</v>
      </c>
      <c r="D58" s="47" t="s">
        <v>5596</v>
      </c>
      <c r="E58" s="48">
        <v>3</v>
      </c>
      <c r="F58" s="49">
        <v>4.59</v>
      </c>
      <c r="G58" s="50" t="s">
        <v>5597</v>
      </c>
      <c r="H58" s="51">
        <v>1829</v>
      </c>
      <c r="I58" s="45">
        <v>3353</v>
      </c>
      <c r="J58" s="52">
        <v>1</v>
      </c>
      <c r="K58" s="53">
        <f t="shared" si="2"/>
        <v>6.1326369999999999</v>
      </c>
      <c r="L58" s="54" t="s">
        <v>5598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2"/>
        <v>0</v>
      </c>
      <c r="L59" s="54"/>
    </row>
    <row r="60" spans="1:12" s="55" customFormat="1" ht="19.5" customHeight="1" x14ac:dyDescent="0.3">
      <c r="A60" s="44" t="s">
        <v>5552</v>
      </c>
      <c r="B60" s="76" t="s">
        <v>5550</v>
      </c>
      <c r="C60" s="77">
        <v>43</v>
      </c>
      <c r="D60" s="78" t="s">
        <v>5553</v>
      </c>
      <c r="E60" s="48">
        <v>11</v>
      </c>
      <c r="F60" s="49">
        <v>24.84</v>
      </c>
      <c r="G60" s="50" t="s">
        <v>5599</v>
      </c>
      <c r="H60" s="51">
        <v>1981</v>
      </c>
      <c r="I60" s="45">
        <v>3048</v>
      </c>
      <c r="J60" s="52">
        <v>4</v>
      </c>
      <c r="K60" s="53">
        <f t="shared" si="2"/>
        <v>24.152352000000004</v>
      </c>
      <c r="L60" s="54" t="s">
        <v>5600</v>
      </c>
    </row>
    <row r="61" spans="1:12" s="55" customFormat="1" ht="19.5" customHeight="1" x14ac:dyDescent="0.3">
      <c r="A61" s="44"/>
      <c r="B61" s="76"/>
      <c r="C61" s="77"/>
      <c r="D61" s="78"/>
      <c r="E61" s="48"/>
      <c r="F61" s="49"/>
      <c r="G61" s="50"/>
      <c r="H61" s="51"/>
      <c r="I61" s="45"/>
      <c r="J61" s="52"/>
      <c r="K61" s="53">
        <f t="shared" si="2"/>
        <v>0</v>
      </c>
      <c r="L61" s="54"/>
    </row>
    <row r="62" spans="1:12" s="55" customFormat="1" ht="19.5" customHeight="1" x14ac:dyDescent="0.3">
      <c r="A62" s="44" t="s">
        <v>5594</v>
      </c>
      <c r="B62" s="45" t="s">
        <v>306</v>
      </c>
      <c r="C62" s="46">
        <v>22</v>
      </c>
      <c r="D62" s="47" t="s">
        <v>320</v>
      </c>
      <c r="E62" s="48">
        <v>201</v>
      </c>
      <c r="F62" s="49">
        <v>157.63999999999999</v>
      </c>
      <c r="G62" s="50" t="s">
        <v>5555</v>
      </c>
      <c r="H62" s="51">
        <v>1829</v>
      </c>
      <c r="I62" s="45">
        <v>3353</v>
      </c>
      <c r="J62" s="52">
        <v>27</v>
      </c>
      <c r="K62" s="53">
        <f t="shared" si="0"/>
        <v>165.581199</v>
      </c>
      <c r="L62" s="54" t="s">
        <v>5601</v>
      </c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5602</v>
      </c>
      <c r="B64" s="45" t="s">
        <v>5550</v>
      </c>
      <c r="C64" s="46">
        <v>24</v>
      </c>
      <c r="D64" s="47" t="s">
        <v>5551</v>
      </c>
      <c r="E64" s="48">
        <v>27</v>
      </c>
      <c r="F64" s="49">
        <v>43.08</v>
      </c>
      <c r="G64" s="50" t="s">
        <v>5555</v>
      </c>
      <c r="H64" s="51">
        <v>2134</v>
      </c>
      <c r="I64" s="45">
        <v>3353</v>
      </c>
      <c r="J64" s="52">
        <v>9</v>
      </c>
      <c r="K64" s="53">
        <f t="shared" si="0"/>
        <v>64.397717999999998</v>
      </c>
      <c r="L64" s="54"/>
    </row>
    <row r="65" spans="1:12" s="55" customFormat="1" ht="19.5" customHeight="1" x14ac:dyDescent="0.3">
      <c r="A65" s="44"/>
      <c r="B65" s="45"/>
      <c r="C65" s="46">
        <v>24</v>
      </c>
      <c r="D65" s="47" t="s">
        <v>5582</v>
      </c>
      <c r="E65" s="48">
        <v>8</v>
      </c>
      <c r="F65" s="49">
        <v>6.35</v>
      </c>
      <c r="G65" s="50" t="s">
        <v>5554</v>
      </c>
      <c r="H65" s="51">
        <v>2134</v>
      </c>
      <c r="I65" s="45">
        <v>3353</v>
      </c>
      <c r="J65" s="52">
        <v>10</v>
      </c>
      <c r="K65" s="53">
        <f t="shared" si="0"/>
        <v>71.553020000000004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5579</v>
      </c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 t="s">
        <v>2492</v>
      </c>
      <c r="B68" s="45" t="s">
        <v>25</v>
      </c>
      <c r="C68" s="46">
        <v>22</v>
      </c>
      <c r="D68" s="47" t="s">
        <v>17</v>
      </c>
      <c r="E68" s="48">
        <v>224</v>
      </c>
      <c r="F68" s="49">
        <v>331.52</v>
      </c>
      <c r="G68" s="50" t="s">
        <v>39</v>
      </c>
      <c r="H68" s="51">
        <v>2286</v>
      </c>
      <c r="I68" s="45">
        <v>3048</v>
      </c>
      <c r="J68" s="52">
        <v>56</v>
      </c>
      <c r="K68" s="53">
        <f t="shared" si="0"/>
        <v>390.192768</v>
      </c>
      <c r="L68" s="54" t="s">
        <v>5616</v>
      </c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ref="K69:K75" si="3">(H69/1000*I69/1000)*J69</f>
        <v>0</v>
      </c>
      <c r="L69" s="54"/>
    </row>
    <row r="70" spans="1:12" s="55" customFormat="1" ht="19.5" customHeight="1" x14ac:dyDescent="0.3">
      <c r="A70" s="44" t="s">
        <v>5617</v>
      </c>
      <c r="B70" s="45" t="s">
        <v>5618</v>
      </c>
      <c r="C70" s="46">
        <v>24</v>
      </c>
      <c r="D70" s="47" t="s">
        <v>5619</v>
      </c>
      <c r="E70" s="48">
        <v>1</v>
      </c>
      <c r="F70" s="49">
        <v>1.99</v>
      </c>
      <c r="G70" s="50" t="s">
        <v>1594</v>
      </c>
      <c r="H70" s="51">
        <v>2134</v>
      </c>
      <c r="I70" s="45">
        <v>3048</v>
      </c>
      <c r="J70" s="52">
        <v>1</v>
      </c>
      <c r="K70" s="53">
        <f t="shared" si="3"/>
        <v>6.5044319999999995</v>
      </c>
      <c r="L70" s="54" t="s">
        <v>5620</v>
      </c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3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3"/>
        <v>0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3"/>
        <v>0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3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3"/>
        <v>0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/>
      <c r="B80" s="45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9" customFormat="1" ht="20.100000000000001" customHeight="1" x14ac:dyDescent="0.3">
      <c r="A83" s="44"/>
      <c r="B83" s="45"/>
      <c r="C83" s="46"/>
      <c r="D83" s="47"/>
      <c r="E83" s="56"/>
      <c r="F83" s="57"/>
      <c r="G83" s="50"/>
      <c r="H83" s="51"/>
      <c r="I83" s="45"/>
      <c r="J83" s="52"/>
      <c r="K83" s="53">
        <f t="shared" si="0"/>
        <v>0</v>
      </c>
      <c r="L83" s="58">
        <f>SUM(J45:J84)</f>
        <v>148</v>
      </c>
    </row>
    <row r="84" spans="1:12" s="59" customFormat="1" ht="20.100000000000001" customHeight="1" x14ac:dyDescent="0.3">
      <c r="A84" s="44"/>
      <c r="B84" s="45"/>
      <c r="C84" s="46"/>
      <c r="D84" s="47"/>
      <c r="E84" s="60"/>
      <c r="F84" s="61"/>
      <c r="G84" s="62"/>
      <c r="H84" s="51"/>
      <c r="I84" s="45"/>
      <c r="J84" s="63"/>
      <c r="K84" s="53">
        <f t="shared" si="0"/>
        <v>0</v>
      </c>
      <c r="L84" s="64">
        <f>SUM(K45:K84)</f>
        <v>1021.2013760000001</v>
      </c>
    </row>
    <row r="85" spans="1:12" s="59" customFormat="1" ht="20.100000000000001" customHeight="1" thickBot="1" x14ac:dyDescent="0.35">
      <c r="A85" s="114"/>
      <c r="B85" s="115"/>
      <c r="C85" s="115"/>
      <c r="D85" s="115"/>
      <c r="E85" s="115"/>
      <c r="F85" s="115"/>
      <c r="G85" s="115"/>
      <c r="H85" s="115"/>
      <c r="I85" s="115"/>
      <c r="J85" s="65">
        <f>SUM(J7:J84)</f>
        <v>295</v>
      </c>
      <c r="K85" s="66">
        <f>SUM(K7:K84)</f>
        <v>2022.0577169999999</v>
      </c>
      <c r="L85" s="67"/>
    </row>
    <row r="86" spans="1:12" s="59" customFormat="1" ht="20.100000000000001" customHeight="1" thickTop="1" thickBot="1" x14ac:dyDescent="0.35">
      <c r="A86" s="116" t="s">
        <v>52</v>
      </c>
      <c r="B86" s="117"/>
      <c r="C86" s="68"/>
      <c r="D86" s="118">
        <f>J85</f>
        <v>295</v>
      </c>
      <c r="E86" s="119"/>
      <c r="F86" s="119"/>
      <c r="G86" s="120"/>
      <c r="H86" s="121"/>
      <c r="I86" s="121"/>
      <c r="J86" s="122"/>
      <c r="K86" s="119"/>
      <c r="L86" s="123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71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72"/>
      <c r="F92" s="5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5"/>
      <c r="G93" s="73"/>
      <c r="H93" s="5"/>
      <c r="I93" s="74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72"/>
      <c r="I97" s="72"/>
      <c r="J97" s="5"/>
      <c r="K97" s="5"/>
      <c r="L97" s="5"/>
    </row>
    <row r="98" spans="1:12" ht="20.100000000000001" customHeight="1" x14ac:dyDescent="0.3">
      <c r="A98" s="113"/>
      <c r="B98" s="113"/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A101" s="113"/>
      <c r="B101" s="113"/>
      <c r="H101" s="72"/>
      <c r="I101" s="72"/>
    </row>
    <row r="102" spans="1:12" ht="20.100000000000001" customHeight="1" x14ac:dyDescent="0.3">
      <c r="A102" s="113"/>
      <c r="B102" s="113"/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H105" s="72"/>
      <c r="I105" s="72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5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5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5" customFormat="1" ht="19.5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</sheetData>
  <mergeCells count="30">
    <mergeCell ref="A101:B101"/>
    <mergeCell ref="A102:B102"/>
    <mergeCell ref="A92:B92"/>
    <mergeCell ref="A93:B93"/>
    <mergeCell ref="A94:B94"/>
    <mergeCell ref="A96:B96"/>
    <mergeCell ref="A97:B97"/>
    <mergeCell ref="A98:B98"/>
    <mergeCell ref="A91:B9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5:I85"/>
    <mergeCell ref="A86:B86"/>
    <mergeCell ref="D86:G86"/>
    <mergeCell ref="H86:J86"/>
    <mergeCell ref="K86:L86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L142"/>
  <sheetViews>
    <sheetView view="pageBreakPreview" topLeftCell="A19" zoomScale="85" zoomScaleNormal="100" zoomScaleSheetLayoutView="85" workbookViewId="0">
      <selection activeCell="C39" sqref="C39:L3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46200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0" si="0">(H7/1000*I7/1000)*J7</f>
        <v>0</v>
      </c>
      <c r="L7" s="26">
        <f>SUM(J7:J30)</f>
        <v>111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SUM(K7:K30)</f>
        <v>742.49167300000011</v>
      </c>
    </row>
    <row r="9" spans="1:12" s="27" customFormat="1" ht="19.5" customHeight="1" x14ac:dyDescent="0.3">
      <c r="A9" s="28" t="s">
        <v>5528</v>
      </c>
      <c r="B9" s="16" t="s">
        <v>5529</v>
      </c>
      <c r="C9" s="17">
        <v>22</v>
      </c>
      <c r="D9" s="18" t="s">
        <v>5530</v>
      </c>
      <c r="E9" s="41">
        <v>1</v>
      </c>
      <c r="F9" s="42">
        <v>3.23</v>
      </c>
      <c r="G9" s="34" t="s">
        <v>5531</v>
      </c>
      <c r="H9" s="35">
        <v>1981</v>
      </c>
      <c r="I9" s="36">
        <v>3353</v>
      </c>
      <c r="J9" s="37">
        <v>1</v>
      </c>
      <c r="K9" s="85">
        <f t="shared" si="0"/>
        <v>6.6422930000000004</v>
      </c>
      <c r="L9" s="39" t="s">
        <v>5532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5533</v>
      </c>
      <c r="B11" s="16" t="s">
        <v>4568</v>
      </c>
      <c r="C11" s="17">
        <v>24</v>
      </c>
      <c r="D11" s="18" t="s">
        <v>501</v>
      </c>
      <c r="E11" s="41">
        <v>149</v>
      </c>
      <c r="F11" s="42">
        <v>190.74</v>
      </c>
      <c r="G11" s="34" t="s">
        <v>5534</v>
      </c>
      <c r="H11" s="35">
        <v>2438</v>
      </c>
      <c r="I11" s="36">
        <v>3353</v>
      </c>
      <c r="J11" s="37">
        <v>15</v>
      </c>
      <c r="K11" s="85">
        <f t="shared" si="0"/>
        <v>122.61921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5534</v>
      </c>
      <c r="H12" s="35">
        <v>1829</v>
      </c>
      <c r="I12" s="36">
        <v>3353</v>
      </c>
      <c r="J12" s="37">
        <v>13</v>
      </c>
      <c r="K12" s="85">
        <f t="shared" si="0"/>
        <v>79.724281000000005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5535</v>
      </c>
      <c r="H13" s="35">
        <v>2438</v>
      </c>
      <c r="I13" s="36">
        <v>3353</v>
      </c>
      <c r="J13" s="37">
        <v>15</v>
      </c>
      <c r="K13" s="85">
        <f t="shared" si="0"/>
        <v>122.61921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5535</v>
      </c>
      <c r="H14" s="35">
        <v>1829</v>
      </c>
      <c r="I14" s="36">
        <v>3353</v>
      </c>
      <c r="J14" s="37">
        <v>13</v>
      </c>
      <c r="K14" s="85">
        <f>(H14/1000*I14/1000)*J14</f>
        <v>79.724281000000005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25">
        <f t="shared" si="0"/>
        <v>0</v>
      </c>
      <c r="L15" s="39"/>
    </row>
    <row r="16" spans="1:12" s="27" customFormat="1" ht="19.5" customHeight="1" x14ac:dyDescent="0.3">
      <c r="A16" s="28" t="s">
        <v>5536</v>
      </c>
      <c r="B16" s="16" t="s">
        <v>4568</v>
      </c>
      <c r="C16" s="17">
        <v>24</v>
      </c>
      <c r="D16" s="18" t="s">
        <v>55</v>
      </c>
      <c r="E16" s="41">
        <v>98</v>
      </c>
      <c r="F16" s="42">
        <v>103.96</v>
      </c>
      <c r="G16" s="34" t="s">
        <v>5534</v>
      </c>
      <c r="H16" s="35">
        <v>1829</v>
      </c>
      <c r="I16" s="36">
        <v>3353</v>
      </c>
      <c r="J16" s="37">
        <v>18</v>
      </c>
      <c r="K16" s="25">
        <f t="shared" si="0"/>
        <v>110.387466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 t="s">
        <v>5535</v>
      </c>
      <c r="H17" s="35">
        <v>1829</v>
      </c>
      <c r="I17" s="36">
        <v>3353</v>
      </c>
      <c r="J17" s="37">
        <v>18</v>
      </c>
      <c r="K17" s="25">
        <f t="shared" si="0"/>
        <v>110.387466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 t="s">
        <v>5496</v>
      </c>
      <c r="B19" s="16" t="s">
        <v>4568</v>
      </c>
      <c r="C19" s="17">
        <v>24</v>
      </c>
      <c r="D19" s="18" t="s">
        <v>55</v>
      </c>
      <c r="E19" s="41">
        <v>98</v>
      </c>
      <c r="F19" s="42">
        <v>103.96</v>
      </c>
      <c r="G19" s="34" t="s">
        <v>5535</v>
      </c>
      <c r="H19" s="35">
        <v>1829</v>
      </c>
      <c r="I19" s="36">
        <v>3353</v>
      </c>
      <c r="J19" s="37">
        <v>18</v>
      </c>
      <c r="K19" s="25">
        <f t="shared" si="0"/>
        <v>110.387466</v>
      </c>
      <c r="L19" s="39" t="s">
        <v>5537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43"/>
      <c r="H30" s="35"/>
      <c r="I30" s="36"/>
      <c r="J30" s="37"/>
      <c r="K30" s="25">
        <f t="shared" si="0"/>
        <v>0</v>
      </c>
      <c r="L30" s="39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5538</v>
      </c>
      <c r="B32" s="45" t="s">
        <v>5539</v>
      </c>
      <c r="C32" s="46">
        <v>24</v>
      </c>
      <c r="D32" s="47" t="s">
        <v>5540</v>
      </c>
      <c r="E32" s="48">
        <v>1</v>
      </c>
      <c r="F32" s="49">
        <v>0.56000000000000005</v>
      </c>
      <c r="G32" s="50" t="s">
        <v>5535</v>
      </c>
      <c r="H32" s="51">
        <v>1981</v>
      </c>
      <c r="I32" s="45">
        <v>3353</v>
      </c>
      <c r="J32" s="52">
        <v>11</v>
      </c>
      <c r="K32" s="53">
        <f t="shared" si="0"/>
        <v>73.065223000000003</v>
      </c>
      <c r="L32" s="54" t="s">
        <v>5543</v>
      </c>
    </row>
    <row r="33" spans="1:12" s="55" customFormat="1" ht="19.5" customHeight="1" x14ac:dyDescent="0.3">
      <c r="A33" s="44"/>
      <c r="B33" s="45"/>
      <c r="C33" s="46">
        <v>35</v>
      </c>
      <c r="D33" s="47" t="s">
        <v>5541</v>
      </c>
      <c r="E33" s="48">
        <v>3</v>
      </c>
      <c r="F33" s="49">
        <v>3.9</v>
      </c>
      <c r="G33" s="50" t="s">
        <v>5542</v>
      </c>
      <c r="H33" s="51">
        <v>1981</v>
      </c>
      <c r="I33" s="45">
        <v>3353</v>
      </c>
      <c r="J33" s="52">
        <v>1</v>
      </c>
      <c r="K33" s="53">
        <f t="shared" si="0"/>
        <v>6.6422930000000004</v>
      </c>
      <c r="L33" s="54" t="s">
        <v>5543</v>
      </c>
    </row>
    <row r="34" spans="1:12" s="55" customFormat="1" ht="19.5" customHeight="1" x14ac:dyDescent="0.3">
      <c r="A34" s="44"/>
      <c r="B34" s="45"/>
      <c r="C34" s="46">
        <v>22</v>
      </c>
      <c r="D34" s="47" t="s">
        <v>5544</v>
      </c>
      <c r="E34" s="48">
        <v>36</v>
      </c>
      <c r="F34" s="49">
        <v>29.08</v>
      </c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5525</v>
      </c>
      <c r="B36" s="45" t="s">
        <v>306</v>
      </c>
      <c r="C36" s="46">
        <v>22</v>
      </c>
      <c r="D36" s="47" t="s">
        <v>320</v>
      </c>
      <c r="E36" s="48">
        <v>150</v>
      </c>
      <c r="F36" s="49">
        <v>118.4</v>
      </c>
      <c r="G36" s="50" t="s">
        <v>5535</v>
      </c>
      <c r="H36" s="51">
        <v>1829</v>
      </c>
      <c r="I36" s="45">
        <v>3353</v>
      </c>
      <c r="J36" s="52">
        <v>21</v>
      </c>
      <c r="K36" s="53">
        <f t="shared" si="0"/>
        <v>128.78537700000001</v>
      </c>
      <c r="L36" s="54" t="s">
        <v>5545</v>
      </c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5546</v>
      </c>
      <c r="B38" s="45" t="s">
        <v>306</v>
      </c>
      <c r="C38" s="46">
        <v>22</v>
      </c>
      <c r="D38" s="47" t="s">
        <v>307</v>
      </c>
      <c r="E38" s="48">
        <v>203</v>
      </c>
      <c r="F38" s="49">
        <v>159.72</v>
      </c>
      <c r="G38" s="50" t="s">
        <v>49</v>
      </c>
      <c r="H38" s="51">
        <v>1829</v>
      </c>
      <c r="I38" s="45">
        <v>3353</v>
      </c>
      <c r="J38" s="52">
        <v>28</v>
      </c>
      <c r="K38" s="53">
        <f t="shared" si="0"/>
        <v>171.71383599999999</v>
      </c>
      <c r="L38" s="54" t="s">
        <v>5548</v>
      </c>
    </row>
    <row r="39" spans="1:12" s="55" customFormat="1" ht="19.5" customHeight="1" x14ac:dyDescent="0.3">
      <c r="A39" s="44"/>
      <c r="B39" s="45"/>
      <c r="C39" s="46">
        <v>22</v>
      </c>
      <c r="D39" s="47" t="s">
        <v>320</v>
      </c>
      <c r="E39" s="48">
        <v>201</v>
      </c>
      <c r="F39" s="49">
        <v>157.63999999999999</v>
      </c>
      <c r="G39" s="50" t="s">
        <v>39</v>
      </c>
      <c r="H39" s="51">
        <v>1829</v>
      </c>
      <c r="I39" s="45">
        <v>3353</v>
      </c>
      <c r="J39" s="52">
        <f>28+27</f>
        <v>55</v>
      </c>
      <c r="K39" s="53">
        <f t="shared" si="0"/>
        <v>337.29503499999998</v>
      </c>
      <c r="L39" s="54" t="s">
        <v>5547</v>
      </c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9" customFormat="1" ht="20.100000000000001" customHeight="1" x14ac:dyDescent="0.3">
      <c r="A49" s="44"/>
      <c r="B49" s="45"/>
      <c r="C49" s="46"/>
      <c r="D49" s="47"/>
      <c r="E49" s="56"/>
      <c r="F49" s="57"/>
      <c r="G49" s="50"/>
      <c r="H49" s="51"/>
      <c r="I49" s="45"/>
      <c r="J49" s="52"/>
      <c r="K49" s="53">
        <f t="shared" si="0"/>
        <v>0</v>
      </c>
      <c r="L49" s="58">
        <f>SUM(J31:J50)</f>
        <v>116</v>
      </c>
    </row>
    <row r="50" spans="1:12" s="59" customFormat="1" ht="20.100000000000001" customHeight="1" x14ac:dyDescent="0.3">
      <c r="A50" s="44"/>
      <c r="B50" s="45"/>
      <c r="C50" s="46"/>
      <c r="D50" s="47"/>
      <c r="E50" s="60"/>
      <c r="F50" s="61"/>
      <c r="G50" s="62"/>
      <c r="H50" s="51"/>
      <c r="I50" s="45"/>
      <c r="J50" s="63"/>
      <c r="K50" s="53">
        <f t="shared" si="0"/>
        <v>0</v>
      </c>
      <c r="L50" s="64">
        <f>SUM(K31:K50)</f>
        <v>717.50176399999998</v>
      </c>
    </row>
    <row r="51" spans="1:12" s="59" customFormat="1" ht="20.100000000000001" customHeight="1" thickBot="1" x14ac:dyDescent="0.35">
      <c r="A51" s="114"/>
      <c r="B51" s="115"/>
      <c r="C51" s="115"/>
      <c r="D51" s="115"/>
      <c r="E51" s="115"/>
      <c r="F51" s="115"/>
      <c r="G51" s="115"/>
      <c r="H51" s="115"/>
      <c r="I51" s="115"/>
      <c r="J51" s="65">
        <f>SUM(J7:J50)</f>
        <v>227</v>
      </c>
      <c r="K51" s="66">
        <f>SUM(K7:K50)</f>
        <v>1459.9934370000001</v>
      </c>
      <c r="L51" s="67"/>
    </row>
    <row r="52" spans="1:12" s="59" customFormat="1" ht="20.100000000000001" customHeight="1" thickTop="1" thickBot="1" x14ac:dyDescent="0.35">
      <c r="A52" s="116" t="s">
        <v>52</v>
      </c>
      <c r="B52" s="117"/>
      <c r="C52" s="68"/>
      <c r="D52" s="118">
        <f>J51</f>
        <v>227</v>
      </c>
      <c r="E52" s="119"/>
      <c r="F52" s="119"/>
      <c r="G52" s="120"/>
      <c r="H52" s="121"/>
      <c r="I52" s="121"/>
      <c r="J52" s="122"/>
      <c r="K52" s="119"/>
      <c r="L52" s="123"/>
    </row>
    <row r="53" spans="1:12" s="59" customFormat="1" ht="20.100000000000001" customHeight="1" x14ac:dyDescent="0.3">
      <c r="A53" s="69"/>
      <c r="B53" s="5"/>
      <c r="C53" s="5"/>
      <c r="D53" s="5"/>
      <c r="E53" s="5"/>
      <c r="F53" s="70"/>
      <c r="G53" s="5"/>
      <c r="H53" s="5"/>
      <c r="I53" s="5"/>
      <c r="J53" s="5"/>
      <c r="K53" s="5"/>
      <c r="L53" s="71"/>
    </row>
    <row r="54" spans="1:12" s="59" customFormat="1" ht="20.100000000000001" customHeight="1" x14ac:dyDescent="0.3">
      <c r="A54" s="69"/>
      <c r="B54" s="5"/>
      <c r="C54" s="5"/>
      <c r="D54" s="5"/>
      <c r="E54" s="5"/>
      <c r="F54" s="70"/>
      <c r="G54" s="5"/>
      <c r="H54" s="5"/>
      <c r="I54" s="5"/>
      <c r="J54" s="5"/>
      <c r="K54" s="5"/>
      <c r="L54" s="5"/>
    </row>
    <row r="55" spans="1:12" s="59" customFormat="1" ht="20.100000000000001" customHeight="1" x14ac:dyDescent="0.3">
      <c r="A55" s="69"/>
      <c r="B55" s="5"/>
      <c r="C55" s="5"/>
      <c r="D55" s="5"/>
      <c r="E55" s="5"/>
      <c r="F55" s="70"/>
      <c r="G55" s="5"/>
      <c r="H55" s="5"/>
      <c r="I55" s="5"/>
      <c r="J55" s="5"/>
      <c r="K55" s="5"/>
      <c r="L55" s="5"/>
    </row>
    <row r="56" spans="1:12" s="59" customFormat="1" ht="20.100000000000001" customHeight="1" x14ac:dyDescent="0.3">
      <c r="A56" s="69"/>
      <c r="B56" s="5"/>
      <c r="C56" s="5"/>
      <c r="D56" s="5"/>
      <c r="E56" s="5"/>
      <c r="F56" s="70"/>
      <c r="G56" s="5"/>
      <c r="H56" s="5"/>
      <c r="I56" s="5"/>
      <c r="J56" s="5"/>
      <c r="K56" s="5"/>
      <c r="L56" s="5"/>
    </row>
    <row r="57" spans="1:12" s="59" customFormat="1" ht="20.100000000000001" customHeight="1" x14ac:dyDescent="0.3">
      <c r="A57" s="113"/>
      <c r="B57" s="113"/>
      <c r="C57" s="5"/>
      <c r="D57" s="5"/>
      <c r="E57" s="5"/>
      <c r="F57" s="70"/>
      <c r="G57" s="5"/>
      <c r="H57" s="5"/>
      <c r="I57" s="5"/>
      <c r="J57" s="5"/>
      <c r="K57" s="5"/>
      <c r="L57" s="5"/>
    </row>
    <row r="58" spans="1:12" s="59" customFormat="1" ht="20.100000000000001" customHeight="1" x14ac:dyDescent="0.3">
      <c r="A58" s="113"/>
      <c r="B58" s="113"/>
      <c r="C58" s="5"/>
      <c r="D58" s="5"/>
      <c r="E58" s="72"/>
      <c r="F58" s="5"/>
      <c r="G58" s="5"/>
      <c r="H58" s="5"/>
      <c r="I58" s="5"/>
      <c r="J58" s="5"/>
      <c r="K58" s="5"/>
      <c r="L58" s="5"/>
    </row>
    <row r="59" spans="1:12" s="59" customFormat="1" ht="20.100000000000001" customHeight="1" x14ac:dyDescent="0.3">
      <c r="A59" s="113"/>
      <c r="B59" s="113"/>
      <c r="C59" s="5"/>
      <c r="D59" s="5"/>
      <c r="E59" s="5"/>
      <c r="F59" s="5"/>
      <c r="G59" s="73"/>
      <c r="H59" s="5"/>
      <c r="I59" s="74"/>
      <c r="J59" s="5"/>
      <c r="K59" s="5"/>
      <c r="L59" s="5"/>
    </row>
    <row r="60" spans="1:12" s="59" customFormat="1" ht="20.100000000000001" customHeight="1" x14ac:dyDescent="0.3">
      <c r="A60" s="113"/>
      <c r="B60" s="113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113"/>
      <c r="B62" s="113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70"/>
      <c r="G63" s="5"/>
      <c r="H63" s="72"/>
      <c r="I63" s="72"/>
      <c r="J63" s="5"/>
      <c r="K63" s="5"/>
      <c r="L63" s="5"/>
    </row>
    <row r="64" spans="1:12" ht="20.100000000000001" customHeight="1" x14ac:dyDescent="0.3">
      <c r="A64" s="113"/>
      <c r="B64" s="113"/>
      <c r="H64" s="72"/>
      <c r="I64" s="72"/>
    </row>
    <row r="65" spans="1:12" ht="20.100000000000001" customHeight="1" x14ac:dyDescent="0.3">
      <c r="H65" s="72"/>
      <c r="I65" s="72"/>
    </row>
    <row r="66" spans="1:12" ht="20.100000000000001" customHeight="1" x14ac:dyDescent="0.3">
      <c r="H66" s="72"/>
      <c r="I66" s="72"/>
    </row>
    <row r="67" spans="1:12" ht="20.100000000000001" customHeight="1" x14ac:dyDescent="0.3">
      <c r="A67" s="113"/>
      <c r="B67" s="113"/>
      <c r="H67" s="72"/>
      <c r="I67" s="72"/>
    </row>
    <row r="68" spans="1:12" ht="20.100000000000001" customHeight="1" x14ac:dyDescent="0.3">
      <c r="A68" s="113"/>
      <c r="B68" s="113"/>
      <c r="H68" s="72"/>
      <c r="I68" s="72"/>
    </row>
    <row r="69" spans="1:12" ht="20.100000000000001" customHeight="1" x14ac:dyDescent="0.3">
      <c r="H69" s="72"/>
      <c r="I69" s="72"/>
    </row>
    <row r="70" spans="1:12" ht="20.100000000000001" customHeight="1" x14ac:dyDescent="0.3">
      <c r="H70" s="72"/>
      <c r="I70" s="72"/>
    </row>
    <row r="71" spans="1:12" ht="20.100000000000001" customHeight="1" x14ac:dyDescent="0.3">
      <c r="H71" s="72"/>
      <c r="I71" s="72"/>
    </row>
    <row r="72" spans="1:12" s="72" customFormat="1" ht="20.100000000000001" customHeight="1" x14ac:dyDescent="0.3">
      <c r="A72" s="69"/>
      <c r="B72" s="5"/>
      <c r="C72" s="5"/>
      <c r="D72" s="5"/>
      <c r="E72" s="5"/>
      <c r="F72" s="70"/>
      <c r="G72" s="5"/>
      <c r="J72" s="5"/>
      <c r="K72" s="5"/>
      <c r="L72" s="5"/>
    </row>
    <row r="73" spans="1:12" s="72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75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75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75" customFormat="1" ht="19.5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72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72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ht="19.5" customHeight="1" x14ac:dyDescent="0.3"/>
    <row r="80" spans="1:12" ht="19.5" customHeight="1" x14ac:dyDescent="0.3"/>
    <row r="81" spans="2:12" ht="19.5" customHeight="1" x14ac:dyDescent="0.3"/>
    <row r="82" spans="2:12" s="69" customFormat="1" ht="19.5" customHeight="1" x14ac:dyDescent="0.3"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2:12" s="69" customFormat="1" ht="19.5" customHeight="1" x14ac:dyDescent="0.3"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2:12" s="69" customFormat="1" ht="19.5" customHeight="1" x14ac:dyDescent="0.3"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2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2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2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2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2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2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2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2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2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2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2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2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ht="19.5" customHeight="1" x14ac:dyDescent="0.3"/>
    <row r="99" spans="2:12" ht="19.5" customHeight="1" x14ac:dyDescent="0.3"/>
    <row r="100" spans="2:12" ht="19.5" customHeight="1" x14ac:dyDescent="0.3"/>
    <row r="101" spans="2:12" ht="19.5" customHeight="1" x14ac:dyDescent="0.3"/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</sheetData>
  <mergeCells count="30">
    <mergeCell ref="A67:B67"/>
    <mergeCell ref="A68:B68"/>
    <mergeCell ref="A58:B58"/>
    <mergeCell ref="A59:B59"/>
    <mergeCell ref="A60:B60"/>
    <mergeCell ref="A62:B62"/>
    <mergeCell ref="A63:B63"/>
    <mergeCell ref="A64:B64"/>
    <mergeCell ref="A57:B57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1:I51"/>
    <mergeCell ref="A52:B52"/>
    <mergeCell ref="D52:G52"/>
    <mergeCell ref="H52:J52"/>
    <mergeCell ref="K52:L52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L184"/>
  <sheetViews>
    <sheetView view="pageBreakPreview" topLeftCell="A9" zoomScale="85" zoomScaleNormal="100" zoomScaleSheetLayoutView="85" workbookViewId="0">
      <selection activeCell="B9" sqref="B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46199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92" si="0">(H7/1000*I7/1000)*J7</f>
        <v>0</v>
      </c>
      <c r="L7" s="26">
        <f>SUM(J7:J68)</f>
        <v>184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SUM(K7:K68)</f>
        <v>1318.393255</v>
      </c>
    </row>
    <row r="9" spans="1:12" s="27" customFormat="1" ht="19.5" customHeight="1" x14ac:dyDescent="0.3">
      <c r="A9" s="28" t="s">
        <v>5455</v>
      </c>
      <c r="B9" s="16" t="s">
        <v>4568</v>
      </c>
      <c r="C9" s="17">
        <v>24</v>
      </c>
      <c r="D9" s="18" t="s">
        <v>501</v>
      </c>
      <c r="E9" s="41">
        <v>79</v>
      </c>
      <c r="F9" s="42">
        <v>109.95</v>
      </c>
      <c r="G9" s="34" t="s">
        <v>5458</v>
      </c>
      <c r="H9" s="35">
        <v>2438</v>
      </c>
      <c r="I9" s="36">
        <v>3353</v>
      </c>
      <c r="J9" s="37">
        <v>15</v>
      </c>
      <c r="K9" s="85">
        <f t="shared" si="0"/>
        <v>122.61921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5459</v>
      </c>
      <c r="H10" s="35">
        <v>2438</v>
      </c>
      <c r="I10" s="36">
        <v>3353</v>
      </c>
      <c r="J10" s="37">
        <v>15</v>
      </c>
      <c r="K10" s="85">
        <f t="shared" si="0"/>
        <v>122.61921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 t="s">
        <v>5460</v>
      </c>
      <c r="B12" s="16" t="s">
        <v>5461</v>
      </c>
      <c r="C12" s="17">
        <v>22</v>
      </c>
      <c r="D12" s="18" t="s">
        <v>5462</v>
      </c>
      <c r="E12" s="41">
        <v>8</v>
      </c>
      <c r="F12" s="42">
        <v>2.2400000000000002</v>
      </c>
      <c r="G12" s="34" t="s">
        <v>5466</v>
      </c>
      <c r="H12" s="35">
        <v>2134</v>
      </c>
      <c r="I12" s="36">
        <v>3048</v>
      </c>
      <c r="J12" s="37">
        <v>1</v>
      </c>
      <c r="K12" s="85">
        <f t="shared" si="0"/>
        <v>6.5044319999999995</v>
      </c>
      <c r="L12" s="39" t="s">
        <v>5467</v>
      </c>
    </row>
    <row r="13" spans="1:12" s="27" customFormat="1" ht="19.5" customHeight="1" x14ac:dyDescent="0.3">
      <c r="A13" s="28" t="s">
        <v>5463</v>
      </c>
      <c r="B13" s="16" t="s">
        <v>5464</v>
      </c>
      <c r="C13" s="17">
        <v>22</v>
      </c>
      <c r="D13" s="18" t="s">
        <v>5465</v>
      </c>
      <c r="E13" s="41">
        <v>4</v>
      </c>
      <c r="F13" s="42">
        <v>6.68</v>
      </c>
      <c r="G13" s="34" t="s">
        <v>5466</v>
      </c>
      <c r="H13" s="35">
        <v>1981</v>
      </c>
      <c r="I13" s="36">
        <v>3353</v>
      </c>
      <c r="J13" s="37">
        <v>1</v>
      </c>
      <c r="K13" s="85">
        <f t="shared" si="0"/>
        <v>6.6422930000000004</v>
      </c>
      <c r="L13" s="39" t="s">
        <v>5468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5459</v>
      </c>
      <c r="H14" s="35">
        <v>2286</v>
      </c>
      <c r="I14" s="36">
        <v>3353</v>
      </c>
      <c r="J14" s="37">
        <v>1</v>
      </c>
      <c r="K14" s="85">
        <f>(H14/1000*I14/1000)*J14</f>
        <v>7.6649580000000004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85">
        <f>(H15/1000*I15/1000)*J15</f>
        <v>0</v>
      </c>
      <c r="L15" s="39"/>
    </row>
    <row r="16" spans="1:12" s="27" customFormat="1" ht="19.5" customHeight="1" x14ac:dyDescent="0.3">
      <c r="A16" s="28" t="s">
        <v>5469</v>
      </c>
      <c r="B16" s="16" t="s">
        <v>5470</v>
      </c>
      <c r="C16" s="17">
        <v>28</v>
      </c>
      <c r="D16" s="18" t="s">
        <v>5471</v>
      </c>
      <c r="E16" s="41">
        <v>1</v>
      </c>
      <c r="F16" s="42">
        <v>2.39</v>
      </c>
      <c r="G16" s="34" t="s">
        <v>5474</v>
      </c>
      <c r="H16" s="35">
        <v>2438</v>
      </c>
      <c r="I16" s="36">
        <v>3048</v>
      </c>
      <c r="J16" s="37">
        <v>7</v>
      </c>
      <c r="K16" s="85">
        <f t="shared" ref="K16:K17" si="1">(H16/1000*I16/1000)*J16</f>
        <v>52.017168000000005</v>
      </c>
      <c r="L16" s="39" t="s">
        <v>5475</v>
      </c>
    </row>
    <row r="17" spans="1:12" s="27" customFormat="1" ht="19.5" customHeight="1" x14ac:dyDescent="0.3">
      <c r="A17" s="28"/>
      <c r="B17" s="16"/>
      <c r="C17" s="17">
        <v>28</v>
      </c>
      <c r="D17" s="18" t="s">
        <v>5472</v>
      </c>
      <c r="E17" s="41">
        <v>3</v>
      </c>
      <c r="F17" s="42">
        <v>2.23</v>
      </c>
      <c r="G17" s="34"/>
      <c r="H17" s="35"/>
      <c r="I17" s="36"/>
      <c r="J17" s="37"/>
      <c r="K17" s="85">
        <f t="shared" si="1"/>
        <v>0</v>
      </c>
      <c r="L17" s="39" t="s">
        <v>5475</v>
      </c>
    </row>
    <row r="18" spans="1:12" s="27" customFormat="1" ht="19.5" customHeight="1" x14ac:dyDescent="0.3">
      <c r="A18" s="28"/>
      <c r="B18" s="16"/>
      <c r="C18" s="17">
        <v>28</v>
      </c>
      <c r="D18" s="18" t="s">
        <v>5471</v>
      </c>
      <c r="E18" s="41">
        <v>13</v>
      </c>
      <c r="F18" s="42">
        <v>19.309999999999999</v>
      </c>
      <c r="G18" s="34"/>
      <c r="H18" s="35"/>
      <c r="I18" s="36"/>
      <c r="J18" s="37"/>
      <c r="K18" s="85">
        <f t="shared" ref="K18" si="2">(H18/1000*I18/1000)*J18</f>
        <v>0</v>
      </c>
      <c r="L18" s="39" t="s">
        <v>5475</v>
      </c>
    </row>
    <row r="19" spans="1:12" s="27" customFormat="1" ht="19.5" customHeight="1" x14ac:dyDescent="0.3">
      <c r="A19" s="28" t="s">
        <v>5473</v>
      </c>
      <c r="B19" s="16" t="s">
        <v>5470</v>
      </c>
      <c r="C19" s="17">
        <v>28</v>
      </c>
      <c r="D19" s="18" t="s">
        <v>5471</v>
      </c>
      <c r="E19" s="41">
        <v>6</v>
      </c>
      <c r="F19" s="42">
        <v>12.12</v>
      </c>
      <c r="G19" s="34"/>
      <c r="H19" s="35"/>
      <c r="I19" s="36"/>
      <c r="J19" s="37"/>
      <c r="K19" s="85">
        <f t="shared" si="0"/>
        <v>0</v>
      </c>
      <c r="L19" s="39" t="s">
        <v>5475</v>
      </c>
    </row>
    <row r="20" spans="1:12" s="27" customFormat="1" ht="19.5" customHeight="1" x14ac:dyDescent="0.3">
      <c r="A20" s="28"/>
      <c r="B20" s="16"/>
      <c r="C20" s="17">
        <v>28</v>
      </c>
      <c r="D20" s="18" t="s">
        <v>5472</v>
      </c>
      <c r="E20" s="41">
        <v>3</v>
      </c>
      <c r="F20" s="42">
        <v>2.61</v>
      </c>
      <c r="G20" s="34"/>
      <c r="H20" s="35"/>
      <c r="I20" s="36"/>
      <c r="J20" s="37"/>
      <c r="K20" s="85">
        <f t="shared" si="0"/>
        <v>0</v>
      </c>
      <c r="L20" s="39" t="s">
        <v>5475</v>
      </c>
    </row>
    <row r="21" spans="1:12" s="27" customFormat="1" ht="19.5" customHeight="1" x14ac:dyDescent="0.3">
      <c r="A21" s="28" t="s">
        <v>5476</v>
      </c>
      <c r="B21" s="16" t="s">
        <v>5470</v>
      </c>
      <c r="C21" s="17">
        <v>28</v>
      </c>
      <c r="D21" s="18" t="s">
        <v>5471</v>
      </c>
      <c r="E21" s="41">
        <v>1</v>
      </c>
      <c r="F21" s="42">
        <v>0.92</v>
      </c>
      <c r="G21" s="34"/>
      <c r="H21" s="35"/>
      <c r="I21" s="36"/>
      <c r="J21" s="37"/>
      <c r="K21" s="85">
        <f t="shared" si="0"/>
        <v>0</v>
      </c>
      <c r="L21" s="39" t="s">
        <v>5475</v>
      </c>
    </row>
    <row r="22" spans="1:12" s="27" customFormat="1" ht="19.5" customHeight="1" x14ac:dyDescent="0.3">
      <c r="A22" s="28"/>
      <c r="B22" s="16"/>
      <c r="C22" s="17">
        <v>28</v>
      </c>
      <c r="D22" s="18" t="s">
        <v>5471</v>
      </c>
      <c r="E22" s="41">
        <v>2</v>
      </c>
      <c r="F22" s="42">
        <v>4.24</v>
      </c>
      <c r="G22" s="34"/>
      <c r="H22" s="35"/>
      <c r="I22" s="36"/>
      <c r="J22" s="37"/>
      <c r="K22" s="85">
        <f t="shared" si="0"/>
        <v>0</v>
      </c>
      <c r="L22" s="39" t="s">
        <v>5475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</row>
    <row r="24" spans="1:12" s="27" customFormat="1" ht="19.5" customHeight="1" x14ac:dyDescent="0.3">
      <c r="A24" s="28" t="s">
        <v>5477</v>
      </c>
      <c r="B24" s="16" t="s">
        <v>5478</v>
      </c>
      <c r="C24" s="17">
        <v>23.76</v>
      </c>
      <c r="D24" s="18" t="s">
        <v>5479</v>
      </c>
      <c r="E24" s="41">
        <v>1</v>
      </c>
      <c r="F24" s="42">
        <v>3.23</v>
      </c>
      <c r="G24" s="34" t="s">
        <v>5459</v>
      </c>
      <c r="H24" s="35">
        <v>2134</v>
      </c>
      <c r="I24" s="36">
        <v>3658</v>
      </c>
      <c r="J24" s="37">
        <v>1</v>
      </c>
      <c r="K24" s="25">
        <f t="shared" si="0"/>
        <v>7.8061719999999992</v>
      </c>
      <c r="L24" s="39" t="s">
        <v>5482</v>
      </c>
    </row>
    <row r="25" spans="1:12" s="27" customFormat="1" ht="19.5" customHeight="1" x14ac:dyDescent="0.3">
      <c r="A25" s="28" t="s">
        <v>5480</v>
      </c>
      <c r="B25" s="16" t="s">
        <v>5481</v>
      </c>
      <c r="C25" s="17">
        <v>22</v>
      </c>
      <c r="D25" s="18" t="s">
        <v>5465</v>
      </c>
      <c r="E25" s="41">
        <v>1</v>
      </c>
      <c r="F25" s="42">
        <v>3.23</v>
      </c>
      <c r="G25" s="34"/>
      <c r="H25" s="35"/>
      <c r="I25" s="36"/>
      <c r="J25" s="37"/>
      <c r="K25" s="25">
        <f t="shared" si="0"/>
        <v>0</v>
      </c>
      <c r="L25" s="39" t="s">
        <v>5483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 t="s">
        <v>5484</v>
      </c>
      <c r="B27" s="16" t="s">
        <v>5485</v>
      </c>
      <c r="C27" s="17">
        <v>24</v>
      </c>
      <c r="D27" s="18" t="s">
        <v>5486</v>
      </c>
      <c r="E27" s="41">
        <v>4</v>
      </c>
      <c r="F27" s="42">
        <v>11.48</v>
      </c>
      <c r="G27" s="34" t="s">
        <v>5487</v>
      </c>
      <c r="H27" s="35">
        <v>1981</v>
      </c>
      <c r="I27" s="36">
        <v>3048</v>
      </c>
      <c r="J27" s="37">
        <v>2</v>
      </c>
      <c r="K27" s="25">
        <f t="shared" si="0"/>
        <v>12.076176000000002</v>
      </c>
      <c r="L27" s="39" t="s">
        <v>5488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 t="s">
        <v>5489</v>
      </c>
      <c r="B29" s="16" t="s">
        <v>5493</v>
      </c>
      <c r="C29" s="17">
        <v>43</v>
      </c>
      <c r="D29" s="18" t="s">
        <v>5490</v>
      </c>
      <c r="E29" s="41">
        <v>46</v>
      </c>
      <c r="F29" s="42">
        <v>71.95</v>
      </c>
      <c r="G29" s="34" t="s">
        <v>5459</v>
      </c>
      <c r="H29" s="35">
        <v>2286</v>
      </c>
      <c r="I29" s="36">
        <v>3353</v>
      </c>
      <c r="J29" s="37">
        <v>10</v>
      </c>
      <c r="K29" s="25">
        <f t="shared" si="0"/>
        <v>76.64958</v>
      </c>
      <c r="L29" s="39" t="s">
        <v>5491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 t="s">
        <v>5492</v>
      </c>
      <c r="B31" s="16" t="s">
        <v>5493</v>
      </c>
      <c r="C31" s="17">
        <v>43</v>
      </c>
      <c r="D31" s="18" t="s">
        <v>5490</v>
      </c>
      <c r="E31" s="41">
        <v>59</v>
      </c>
      <c r="F31" s="42">
        <v>96.96</v>
      </c>
      <c r="G31" s="34" t="s">
        <v>5459</v>
      </c>
      <c r="H31" s="35">
        <v>2286</v>
      </c>
      <c r="I31" s="36">
        <v>3353</v>
      </c>
      <c r="J31" s="37">
        <v>13</v>
      </c>
      <c r="K31" s="25">
        <f t="shared" si="0"/>
        <v>99.64445400000001</v>
      </c>
      <c r="L31" s="39" t="s">
        <v>5491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 t="s">
        <v>5459</v>
      </c>
      <c r="H32" s="35">
        <v>1829</v>
      </c>
      <c r="I32" s="36">
        <v>3353</v>
      </c>
      <c r="J32" s="37">
        <v>1</v>
      </c>
      <c r="K32" s="25">
        <f t="shared" si="0"/>
        <v>6.1326369999999999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ref="K33:K38" si="3">(H33/1000*I33/1000)*J33</f>
        <v>0</v>
      </c>
      <c r="L33" s="39"/>
    </row>
    <row r="34" spans="1:12" s="27" customFormat="1" ht="19.5" customHeight="1" x14ac:dyDescent="0.3">
      <c r="A34" s="28" t="s">
        <v>5494</v>
      </c>
      <c r="B34" s="16" t="s">
        <v>5456</v>
      </c>
      <c r="C34" s="17">
        <v>24</v>
      </c>
      <c r="D34" s="18" t="s">
        <v>5457</v>
      </c>
      <c r="E34" s="41">
        <v>142</v>
      </c>
      <c r="F34" s="42">
        <v>180.03</v>
      </c>
      <c r="G34" s="34" t="s">
        <v>5458</v>
      </c>
      <c r="H34" s="35">
        <v>2438</v>
      </c>
      <c r="I34" s="36">
        <v>3353</v>
      </c>
      <c r="J34" s="37">
        <v>16</v>
      </c>
      <c r="K34" s="25">
        <f t="shared" si="3"/>
        <v>130.793824</v>
      </c>
      <c r="L34" s="39" t="s">
        <v>5495</v>
      </c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 t="s">
        <v>5458</v>
      </c>
      <c r="H35" s="35">
        <v>1829</v>
      </c>
      <c r="I35" s="36">
        <v>3353</v>
      </c>
      <c r="J35" s="37">
        <v>10</v>
      </c>
      <c r="K35" s="25">
        <f t="shared" si="3"/>
        <v>61.326369999999997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3"/>
        <v>0</v>
      </c>
      <c r="L36" s="39"/>
    </row>
    <row r="37" spans="1:12" s="27" customFormat="1" ht="19.5" customHeight="1" x14ac:dyDescent="0.3">
      <c r="A37" s="28" t="s">
        <v>5496</v>
      </c>
      <c r="B37" s="16" t="s">
        <v>5456</v>
      </c>
      <c r="C37" s="17">
        <v>24</v>
      </c>
      <c r="D37" s="18" t="s">
        <v>5497</v>
      </c>
      <c r="E37" s="41">
        <v>98</v>
      </c>
      <c r="F37" s="42">
        <v>103.96</v>
      </c>
      <c r="G37" s="34" t="s">
        <v>5458</v>
      </c>
      <c r="H37" s="35">
        <v>1829</v>
      </c>
      <c r="I37" s="36">
        <v>3353</v>
      </c>
      <c r="J37" s="37">
        <v>18</v>
      </c>
      <c r="K37" s="25">
        <f t="shared" si="3"/>
        <v>110.387466</v>
      </c>
      <c r="L37" s="39" t="s">
        <v>5495</v>
      </c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3"/>
        <v>0</v>
      </c>
      <c r="L38" s="39"/>
    </row>
    <row r="39" spans="1:12" s="27" customFormat="1" ht="19.5" customHeight="1" x14ac:dyDescent="0.3">
      <c r="A39" s="28" t="s">
        <v>5498</v>
      </c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 t="s">
        <v>5504</v>
      </c>
      <c r="B40" s="16" t="s">
        <v>5505</v>
      </c>
      <c r="C40" s="17">
        <v>22</v>
      </c>
      <c r="D40" s="18" t="s">
        <v>5506</v>
      </c>
      <c r="E40" s="41">
        <v>1</v>
      </c>
      <c r="F40" s="42">
        <v>1.51</v>
      </c>
      <c r="G40" s="34" t="s">
        <v>5508</v>
      </c>
      <c r="H40" s="35">
        <v>1981</v>
      </c>
      <c r="I40" s="36">
        <v>3353</v>
      </c>
      <c r="J40" s="37">
        <v>1</v>
      </c>
      <c r="K40" s="25">
        <f t="shared" ref="K40:K58" si="4">(H40/1000*I40/1000)*J40</f>
        <v>6.6422930000000004</v>
      </c>
      <c r="L40" s="39"/>
    </row>
    <row r="41" spans="1:12" s="27" customFormat="1" ht="19.5" customHeight="1" x14ac:dyDescent="0.3">
      <c r="A41" s="28"/>
      <c r="B41" s="16"/>
      <c r="C41" s="17">
        <v>22</v>
      </c>
      <c r="D41" s="18" t="s">
        <v>5506</v>
      </c>
      <c r="E41" s="41">
        <v>2</v>
      </c>
      <c r="F41" s="42">
        <v>2</v>
      </c>
      <c r="G41" s="34" t="s">
        <v>5509</v>
      </c>
      <c r="H41" s="35">
        <v>1981</v>
      </c>
      <c r="I41" s="36">
        <v>3353</v>
      </c>
      <c r="J41" s="37">
        <v>1</v>
      </c>
      <c r="K41" s="25">
        <f t="shared" si="4"/>
        <v>6.6422930000000004</v>
      </c>
      <c r="L41" s="39"/>
    </row>
    <row r="42" spans="1:12" s="27" customFormat="1" ht="19.5" customHeight="1" x14ac:dyDescent="0.3">
      <c r="A42" s="28"/>
      <c r="B42" s="16"/>
      <c r="C42" s="17">
        <v>22</v>
      </c>
      <c r="D42" s="18" t="s">
        <v>5507</v>
      </c>
      <c r="E42" s="41">
        <v>1</v>
      </c>
      <c r="F42" s="42">
        <v>1.28</v>
      </c>
      <c r="G42" s="34"/>
      <c r="H42" s="35"/>
      <c r="I42" s="36"/>
      <c r="J42" s="37"/>
      <c r="K42" s="25">
        <f t="shared" si="4"/>
        <v>0</v>
      </c>
      <c r="L42" s="39" t="s">
        <v>5510</v>
      </c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4"/>
        <v>0</v>
      </c>
      <c r="L43" s="39"/>
    </row>
    <row r="44" spans="1:12" s="27" customFormat="1" ht="19.5" customHeight="1" x14ac:dyDescent="0.3">
      <c r="A44" s="28" t="s">
        <v>5511</v>
      </c>
      <c r="B44" s="16" t="s">
        <v>5512</v>
      </c>
      <c r="C44" s="17">
        <v>10</v>
      </c>
      <c r="D44" s="18" t="s">
        <v>5513</v>
      </c>
      <c r="E44" s="41">
        <v>2</v>
      </c>
      <c r="F44" s="42">
        <v>5.64</v>
      </c>
      <c r="G44" s="34" t="s">
        <v>5515</v>
      </c>
      <c r="H44" s="35">
        <v>2134</v>
      </c>
      <c r="I44" s="36">
        <v>3048</v>
      </c>
      <c r="J44" s="37">
        <v>1</v>
      </c>
      <c r="K44" s="25">
        <f t="shared" si="4"/>
        <v>6.5044319999999995</v>
      </c>
      <c r="L44" s="39"/>
    </row>
    <row r="45" spans="1:12" s="27" customFormat="1" ht="19.5" customHeight="1" x14ac:dyDescent="0.3">
      <c r="A45" s="28"/>
      <c r="B45" s="16"/>
      <c r="C45" s="17">
        <v>6</v>
      </c>
      <c r="D45" s="18" t="s">
        <v>5514</v>
      </c>
      <c r="E45" s="41">
        <v>2</v>
      </c>
      <c r="F45" s="42">
        <v>0.72</v>
      </c>
      <c r="G45" s="34"/>
      <c r="H45" s="35"/>
      <c r="I45" s="36"/>
      <c r="J45" s="37"/>
      <c r="K45" s="25">
        <f t="shared" si="4"/>
        <v>0</v>
      </c>
      <c r="L45" s="39" t="s">
        <v>5516</v>
      </c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/>
      <c r="H46" s="35"/>
      <c r="I46" s="36"/>
      <c r="J46" s="37"/>
      <c r="K46" s="25">
        <f t="shared" si="4"/>
        <v>0</v>
      </c>
      <c r="L46" s="39"/>
    </row>
    <row r="47" spans="1:12" s="27" customFormat="1" ht="19.5" customHeight="1" x14ac:dyDescent="0.3">
      <c r="A47" s="28" t="s">
        <v>5517</v>
      </c>
      <c r="B47" s="16" t="s">
        <v>5518</v>
      </c>
      <c r="C47" s="17">
        <v>24</v>
      </c>
      <c r="D47" s="18" t="s">
        <v>501</v>
      </c>
      <c r="E47" s="41">
        <v>142</v>
      </c>
      <c r="F47" s="42">
        <v>180.03</v>
      </c>
      <c r="G47" s="34" t="s">
        <v>18</v>
      </c>
      <c r="H47" s="35">
        <v>2438</v>
      </c>
      <c r="I47" s="36">
        <v>3353</v>
      </c>
      <c r="J47" s="37">
        <v>16</v>
      </c>
      <c r="K47" s="25">
        <f t="shared" si="4"/>
        <v>130.793824</v>
      </c>
      <c r="L47" s="39" t="s">
        <v>100</v>
      </c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 t="s">
        <v>18</v>
      </c>
      <c r="H48" s="35">
        <v>1829</v>
      </c>
      <c r="I48" s="36">
        <v>3353</v>
      </c>
      <c r="J48" s="37">
        <v>10</v>
      </c>
      <c r="K48" s="25">
        <f t="shared" si="4"/>
        <v>61.326369999999997</v>
      </c>
      <c r="L48" s="39"/>
    </row>
    <row r="49" spans="1:12" s="27" customFormat="1" ht="19.5" customHeight="1" x14ac:dyDescent="0.3">
      <c r="A49" s="28"/>
      <c r="B49" s="16"/>
      <c r="C49" s="17"/>
      <c r="D49" s="18"/>
      <c r="E49" s="41"/>
      <c r="F49" s="42"/>
      <c r="G49" s="34"/>
      <c r="H49" s="35"/>
      <c r="I49" s="36"/>
      <c r="J49" s="37"/>
      <c r="K49" s="25">
        <f t="shared" si="4"/>
        <v>0</v>
      </c>
      <c r="L49" s="39"/>
    </row>
    <row r="50" spans="1:12" s="27" customFormat="1" ht="19.5" customHeight="1" x14ac:dyDescent="0.3">
      <c r="A50" s="28" t="s">
        <v>5519</v>
      </c>
      <c r="B50" s="16" t="s">
        <v>5505</v>
      </c>
      <c r="C50" s="17">
        <v>22</v>
      </c>
      <c r="D50" s="18" t="s">
        <v>5520</v>
      </c>
      <c r="E50" s="41">
        <v>2</v>
      </c>
      <c r="F50" s="42">
        <v>6.44</v>
      </c>
      <c r="G50" s="34" t="s">
        <v>5508</v>
      </c>
      <c r="H50" s="35">
        <v>1981</v>
      </c>
      <c r="I50" s="36">
        <v>3353</v>
      </c>
      <c r="J50" s="37">
        <v>2</v>
      </c>
      <c r="K50" s="25">
        <f t="shared" si="4"/>
        <v>13.284586000000001</v>
      </c>
      <c r="L50" s="39"/>
    </row>
    <row r="51" spans="1:12" s="27" customFormat="1" ht="19.5" customHeight="1" x14ac:dyDescent="0.3">
      <c r="A51" s="28"/>
      <c r="B51" s="16"/>
      <c r="C51" s="17">
        <v>22</v>
      </c>
      <c r="D51" s="18" t="s">
        <v>5506</v>
      </c>
      <c r="E51" s="41">
        <v>3</v>
      </c>
      <c r="F51" s="42">
        <v>4.53</v>
      </c>
      <c r="G51" s="34" t="s">
        <v>5521</v>
      </c>
      <c r="H51" s="35">
        <v>1981</v>
      </c>
      <c r="I51" s="36">
        <v>3353</v>
      </c>
      <c r="J51" s="37">
        <v>4</v>
      </c>
      <c r="K51" s="25">
        <f t="shared" ref="K51:K57" si="5">(H51/1000*I51/1000)*J51</f>
        <v>26.569172000000002</v>
      </c>
      <c r="L51" s="39"/>
    </row>
    <row r="52" spans="1:12" s="27" customFormat="1" ht="19.5" customHeight="1" x14ac:dyDescent="0.3">
      <c r="A52" s="28"/>
      <c r="B52" s="16"/>
      <c r="C52" s="17">
        <v>22</v>
      </c>
      <c r="D52" s="18" t="s">
        <v>5506</v>
      </c>
      <c r="E52" s="41">
        <v>3</v>
      </c>
      <c r="F52" s="42">
        <v>3</v>
      </c>
      <c r="G52" s="34" t="s">
        <v>5509</v>
      </c>
      <c r="H52" s="35">
        <v>1981</v>
      </c>
      <c r="I52" s="36">
        <v>3353</v>
      </c>
      <c r="J52" s="37">
        <v>5</v>
      </c>
      <c r="K52" s="25">
        <f t="shared" si="5"/>
        <v>33.211465000000004</v>
      </c>
      <c r="L52" s="39"/>
    </row>
    <row r="53" spans="1:12" s="27" customFormat="1" ht="19.5" customHeight="1" x14ac:dyDescent="0.3">
      <c r="A53" s="28"/>
      <c r="B53" s="16"/>
      <c r="C53" s="17">
        <v>22</v>
      </c>
      <c r="D53" s="18" t="s">
        <v>5507</v>
      </c>
      <c r="E53" s="41">
        <v>8</v>
      </c>
      <c r="F53" s="42">
        <v>15.05</v>
      </c>
      <c r="G53" s="34"/>
      <c r="H53" s="35"/>
      <c r="I53" s="36"/>
      <c r="J53" s="37"/>
      <c r="K53" s="25">
        <f t="shared" si="5"/>
        <v>0</v>
      </c>
      <c r="L53" s="39"/>
    </row>
    <row r="54" spans="1:12" s="27" customFormat="1" ht="19.5" customHeight="1" x14ac:dyDescent="0.3">
      <c r="A54" s="28"/>
      <c r="B54" s="16"/>
      <c r="C54" s="17">
        <v>22</v>
      </c>
      <c r="D54" s="18" t="s">
        <v>5507</v>
      </c>
      <c r="E54" s="41">
        <v>2</v>
      </c>
      <c r="F54" s="42">
        <v>2.57</v>
      </c>
      <c r="G54" s="34"/>
      <c r="H54" s="35"/>
      <c r="I54" s="36"/>
      <c r="J54" s="37"/>
      <c r="K54" s="25">
        <f t="shared" si="5"/>
        <v>0</v>
      </c>
      <c r="L54" s="39"/>
    </row>
    <row r="55" spans="1:12" s="27" customFormat="1" ht="19.5" customHeight="1" x14ac:dyDescent="0.3">
      <c r="A55" s="28"/>
      <c r="B55" s="16"/>
      <c r="C55" s="17">
        <v>22</v>
      </c>
      <c r="D55" s="18" t="s">
        <v>5522</v>
      </c>
      <c r="E55" s="41">
        <v>3</v>
      </c>
      <c r="F55" s="42">
        <v>3.86</v>
      </c>
      <c r="G55" s="34"/>
      <c r="H55" s="35"/>
      <c r="I55" s="36"/>
      <c r="J55" s="37"/>
      <c r="K55" s="25">
        <f t="shared" si="5"/>
        <v>0</v>
      </c>
      <c r="L55" s="39"/>
    </row>
    <row r="56" spans="1:12" s="27" customFormat="1" ht="19.5" customHeight="1" x14ac:dyDescent="0.3">
      <c r="A56" s="28"/>
      <c r="B56" s="16"/>
      <c r="C56" s="17"/>
      <c r="D56" s="18"/>
      <c r="E56" s="41"/>
      <c r="F56" s="42"/>
      <c r="G56" s="34"/>
      <c r="H56" s="35"/>
      <c r="I56" s="36"/>
      <c r="J56" s="37"/>
      <c r="K56" s="25">
        <f t="shared" si="5"/>
        <v>0</v>
      </c>
      <c r="L56" s="39"/>
    </row>
    <row r="57" spans="1:12" s="27" customFormat="1" ht="19.5" customHeight="1" x14ac:dyDescent="0.3">
      <c r="A57" s="28" t="s">
        <v>5523</v>
      </c>
      <c r="B57" s="16" t="s">
        <v>5505</v>
      </c>
      <c r="C57" s="17">
        <v>22</v>
      </c>
      <c r="D57" s="18" t="s">
        <v>5506</v>
      </c>
      <c r="E57" s="41">
        <v>5</v>
      </c>
      <c r="F57" s="42">
        <v>8.81</v>
      </c>
      <c r="G57" s="34" t="s">
        <v>5508</v>
      </c>
      <c r="H57" s="35">
        <v>1981</v>
      </c>
      <c r="I57" s="36">
        <v>3353</v>
      </c>
      <c r="J57" s="37">
        <v>2</v>
      </c>
      <c r="K57" s="25">
        <f t="shared" si="5"/>
        <v>13.284586000000001</v>
      </c>
      <c r="L57" s="39"/>
    </row>
    <row r="58" spans="1:12" s="27" customFormat="1" ht="19.5" customHeight="1" x14ac:dyDescent="0.3">
      <c r="A58" s="28"/>
      <c r="B58" s="16"/>
      <c r="C58" s="17">
        <v>22</v>
      </c>
      <c r="D58" s="18" t="s">
        <v>5506</v>
      </c>
      <c r="E58" s="41">
        <v>3</v>
      </c>
      <c r="F58" s="42">
        <v>2.2999999999999998</v>
      </c>
      <c r="G58" s="34" t="s">
        <v>5521</v>
      </c>
      <c r="H58" s="35">
        <v>1981</v>
      </c>
      <c r="I58" s="36">
        <v>3353</v>
      </c>
      <c r="J58" s="37">
        <v>5</v>
      </c>
      <c r="K58" s="25">
        <f t="shared" si="4"/>
        <v>33.211465000000004</v>
      </c>
      <c r="L58" s="39"/>
    </row>
    <row r="59" spans="1:12" s="27" customFormat="1" ht="19.5" customHeight="1" x14ac:dyDescent="0.3">
      <c r="A59" s="28"/>
      <c r="B59" s="16"/>
      <c r="C59" s="17">
        <v>22</v>
      </c>
      <c r="D59" s="18" t="s">
        <v>5507</v>
      </c>
      <c r="E59" s="41">
        <v>13</v>
      </c>
      <c r="F59" s="42">
        <v>26.66</v>
      </c>
      <c r="G59" s="34" t="s">
        <v>5521</v>
      </c>
      <c r="H59" s="35">
        <v>2134</v>
      </c>
      <c r="I59" s="36">
        <v>3353</v>
      </c>
      <c r="J59" s="37">
        <v>1</v>
      </c>
      <c r="K59" s="25">
        <f t="shared" si="0"/>
        <v>7.1553019999999998</v>
      </c>
      <c r="L59" s="39"/>
    </row>
    <row r="60" spans="1:12" s="27" customFormat="1" ht="19.5" customHeight="1" x14ac:dyDescent="0.3">
      <c r="A60" s="28"/>
      <c r="B60" s="16"/>
      <c r="C60" s="17">
        <v>22</v>
      </c>
      <c r="D60" s="18" t="s">
        <v>5507</v>
      </c>
      <c r="E60" s="41">
        <v>4</v>
      </c>
      <c r="F60" s="42">
        <v>4.8899999999999997</v>
      </c>
      <c r="G60" s="34" t="s">
        <v>5509</v>
      </c>
      <c r="H60" s="35">
        <v>1981</v>
      </c>
      <c r="I60" s="36">
        <v>3353</v>
      </c>
      <c r="J60" s="37">
        <v>7</v>
      </c>
      <c r="K60" s="25">
        <f t="shared" si="0"/>
        <v>46.496051000000001</v>
      </c>
      <c r="L60" s="39"/>
    </row>
    <row r="61" spans="1:12" s="27" customFormat="1" ht="19.5" customHeight="1" x14ac:dyDescent="0.3">
      <c r="A61" s="28"/>
      <c r="B61" s="16"/>
      <c r="C61" s="17">
        <v>22</v>
      </c>
      <c r="D61" s="18" t="s">
        <v>5522</v>
      </c>
      <c r="E61" s="41">
        <v>2</v>
      </c>
      <c r="F61" s="42">
        <v>2.4</v>
      </c>
      <c r="G61" s="34"/>
      <c r="H61" s="35"/>
      <c r="I61" s="36"/>
      <c r="J61" s="37"/>
      <c r="K61" s="25">
        <f t="shared" si="0"/>
        <v>0</v>
      </c>
      <c r="L61" s="39"/>
    </row>
    <row r="62" spans="1:12" s="27" customFormat="1" ht="19.5" customHeight="1" x14ac:dyDescent="0.3">
      <c r="A62" s="28"/>
      <c r="B62" s="16"/>
      <c r="C62" s="17"/>
      <c r="D62" s="18"/>
      <c r="E62" s="41"/>
      <c r="F62" s="42"/>
      <c r="G62" s="34"/>
      <c r="H62" s="35"/>
      <c r="I62" s="36"/>
      <c r="J62" s="37"/>
      <c r="K62" s="25">
        <f t="shared" ref="K62:K66" si="6">(H62/1000*I62/1000)*J62</f>
        <v>0</v>
      </c>
      <c r="L62" s="39"/>
    </row>
    <row r="63" spans="1:12" s="27" customFormat="1" ht="19.5" customHeight="1" x14ac:dyDescent="0.3">
      <c r="A63" s="28" t="s">
        <v>5524</v>
      </c>
      <c r="B63" s="16" t="s">
        <v>4568</v>
      </c>
      <c r="C63" s="17">
        <v>24</v>
      </c>
      <c r="D63" s="18" t="s">
        <v>55</v>
      </c>
      <c r="E63" s="41">
        <v>98</v>
      </c>
      <c r="F63" s="42">
        <v>103.96</v>
      </c>
      <c r="G63" s="34" t="s">
        <v>56</v>
      </c>
      <c r="H63" s="35">
        <v>1829</v>
      </c>
      <c r="I63" s="36">
        <v>3353</v>
      </c>
      <c r="J63" s="37">
        <v>18</v>
      </c>
      <c r="K63" s="25">
        <f t="shared" si="6"/>
        <v>110.387466</v>
      </c>
      <c r="L63" s="39" t="s">
        <v>106</v>
      </c>
    </row>
    <row r="64" spans="1:12" s="27" customFormat="1" ht="19.5" customHeight="1" x14ac:dyDescent="0.3">
      <c r="A64" s="28"/>
      <c r="B64" s="16"/>
      <c r="C64" s="17"/>
      <c r="D64" s="18"/>
      <c r="E64" s="41"/>
      <c r="F64" s="42"/>
      <c r="G64" s="34"/>
      <c r="H64" s="35"/>
      <c r="I64" s="36"/>
      <c r="J64" s="37"/>
      <c r="K64" s="25">
        <f t="shared" si="6"/>
        <v>0</v>
      </c>
      <c r="L64" s="39"/>
    </row>
    <row r="65" spans="1:12" s="27" customFormat="1" ht="19.5" customHeight="1" x14ac:dyDescent="0.3">
      <c r="A65" s="28"/>
      <c r="B65" s="16"/>
      <c r="C65" s="17"/>
      <c r="D65" s="18"/>
      <c r="E65" s="41"/>
      <c r="F65" s="42"/>
      <c r="G65" s="34"/>
      <c r="H65" s="35"/>
      <c r="I65" s="36"/>
      <c r="J65" s="37"/>
      <c r="K65" s="25">
        <f t="shared" si="6"/>
        <v>0</v>
      </c>
      <c r="L65" s="39"/>
    </row>
    <row r="66" spans="1:12" s="27" customFormat="1" ht="19.5" customHeight="1" x14ac:dyDescent="0.3">
      <c r="A66" s="28"/>
      <c r="B66" s="16"/>
      <c r="C66" s="17"/>
      <c r="D66" s="18"/>
      <c r="E66" s="41"/>
      <c r="F66" s="42"/>
      <c r="G66" s="34"/>
      <c r="H66" s="35"/>
      <c r="I66" s="36"/>
      <c r="J66" s="37"/>
      <c r="K66" s="25">
        <f t="shared" si="6"/>
        <v>0</v>
      </c>
      <c r="L66" s="39"/>
    </row>
    <row r="67" spans="1:12" s="27" customFormat="1" ht="19.5" customHeight="1" x14ac:dyDescent="0.3">
      <c r="A67" s="28"/>
      <c r="B67" s="16"/>
      <c r="C67" s="17"/>
      <c r="D67" s="18"/>
      <c r="E67" s="41"/>
      <c r="F67" s="42"/>
      <c r="G67" s="34"/>
      <c r="H67" s="35"/>
      <c r="I67" s="36"/>
      <c r="J67" s="37"/>
      <c r="K67" s="25">
        <f t="shared" si="0"/>
        <v>0</v>
      </c>
      <c r="L67" s="39"/>
    </row>
    <row r="68" spans="1:12" s="27" customFormat="1" ht="19.5" customHeight="1" x14ac:dyDescent="0.3">
      <c r="A68" s="28"/>
      <c r="B68" s="29"/>
      <c r="C68" s="30"/>
      <c r="D68" s="31"/>
      <c r="E68" s="41"/>
      <c r="F68" s="42"/>
      <c r="G68" s="43"/>
      <c r="H68" s="35"/>
      <c r="I68" s="36"/>
      <c r="J68" s="37"/>
      <c r="K68" s="25">
        <f t="shared" si="0"/>
        <v>0</v>
      </c>
      <c r="L68" s="39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 t="s">
        <v>5499</v>
      </c>
      <c r="B70" s="45" t="s">
        <v>5500</v>
      </c>
      <c r="C70" s="46">
        <v>24</v>
      </c>
      <c r="D70" s="47" t="s">
        <v>5501</v>
      </c>
      <c r="E70" s="48">
        <v>9</v>
      </c>
      <c r="F70" s="49">
        <v>11.16</v>
      </c>
      <c r="G70" s="50" t="s">
        <v>5527</v>
      </c>
      <c r="H70" s="51">
        <v>2438</v>
      </c>
      <c r="I70" s="45">
        <v>3353</v>
      </c>
      <c r="J70" s="52">
        <v>10</v>
      </c>
      <c r="K70" s="53">
        <f t="shared" si="0"/>
        <v>81.746139999999997</v>
      </c>
      <c r="L70" s="54"/>
    </row>
    <row r="71" spans="1:12" s="55" customFormat="1" ht="19.5" customHeight="1" x14ac:dyDescent="0.3">
      <c r="A71" s="44"/>
      <c r="B71" s="45"/>
      <c r="C71" s="46">
        <v>24</v>
      </c>
      <c r="D71" s="47" t="s">
        <v>5502</v>
      </c>
      <c r="E71" s="48">
        <v>29</v>
      </c>
      <c r="F71" s="49">
        <v>55.07</v>
      </c>
      <c r="G71" s="50" t="s">
        <v>5521</v>
      </c>
      <c r="H71" s="51">
        <v>2438</v>
      </c>
      <c r="I71" s="45">
        <v>3353</v>
      </c>
      <c r="J71" s="52">
        <v>9</v>
      </c>
      <c r="K71" s="53">
        <f t="shared" si="0"/>
        <v>73.571526000000006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 t="s">
        <v>5521</v>
      </c>
      <c r="H72" s="51">
        <v>1981</v>
      </c>
      <c r="I72" s="45">
        <v>3353</v>
      </c>
      <c r="J72" s="52">
        <v>1</v>
      </c>
      <c r="K72" s="53">
        <f t="shared" ref="K72" si="7">(H72/1000*I72/1000)*J72</f>
        <v>6.6422930000000004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 t="s">
        <v>5503</v>
      </c>
      <c r="B74" s="45" t="s">
        <v>306</v>
      </c>
      <c r="C74" s="46">
        <v>22</v>
      </c>
      <c r="D74" s="47" t="s">
        <v>307</v>
      </c>
      <c r="E74" s="48">
        <v>160</v>
      </c>
      <c r="F74" s="49">
        <v>121.8</v>
      </c>
      <c r="G74" s="50" t="s">
        <v>49</v>
      </c>
      <c r="H74" s="51">
        <v>1829</v>
      </c>
      <c r="I74" s="45">
        <v>3353</v>
      </c>
      <c r="J74" s="52">
        <v>21</v>
      </c>
      <c r="K74" s="53">
        <f t="shared" si="0"/>
        <v>128.78537700000001</v>
      </c>
      <c r="L74" s="54" t="s">
        <v>321</v>
      </c>
    </row>
    <row r="75" spans="1:12" s="55" customFormat="1" ht="19.5" customHeight="1" x14ac:dyDescent="0.3">
      <c r="A75" s="44"/>
      <c r="B75" s="45"/>
      <c r="C75" s="46">
        <v>22</v>
      </c>
      <c r="D75" s="47" t="s">
        <v>320</v>
      </c>
      <c r="E75" s="48">
        <v>160</v>
      </c>
      <c r="F75" s="49">
        <v>121.8</v>
      </c>
      <c r="G75" s="50" t="s">
        <v>18</v>
      </c>
      <c r="H75" s="51">
        <v>1829</v>
      </c>
      <c r="I75" s="45">
        <v>3353</v>
      </c>
      <c r="J75" s="52">
        <v>21</v>
      </c>
      <c r="K75" s="53">
        <f t="shared" si="0"/>
        <v>128.78537700000001</v>
      </c>
      <c r="L75" s="54" t="s">
        <v>321</v>
      </c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 t="s">
        <v>39</v>
      </c>
      <c r="H76" s="51">
        <v>1829</v>
      </c>
      <c r="I76" s="45">
        <v>3353</v>
      </c>
      <c r="J76" s="52">
        <v>42</v>
      </c>
      <c r="K76" s="53">
        <f t="shared" si="0"/>
        <v>257.57075400000002</v>
      </c>
      <c r="L76" s="54" t="s">
        <v>321</v>
      </c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 t="s">
        <v>5498</v>
      </c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 t="s">
        <v>5525</v>
      </c>
      <c r="B79" s="45" t="s">
        <v>306</v>
      </c>
      <c r="C79" s="46">
        <v>22</v>
      </c>
      <c r="D79" s="47" t="s">
        <v>307</v>
      </c>
      <c r="E79" s="48">
        <v>150</v>
      </c>
      <c r="F79" s="49">
        <v>118.4</v>
      </c>
      <c r="G79" s="50" t="s">
        <v>49</v>
      </c>
      <c r="H79" s="51">
        <v>1829</v>
      </c>
      <c r="I79" s="45">
        <v>3353</v>
      </c>
      <c r="J79" s="52">
        <v>21</v>
      </c>
      <c r="K79" s="53">
        <f t="shared" si="0"/>
        <v>128.78537700000001</v>
      </c>
      <c r="L79" s="54" t="s">
        <v>5526</v>
      </c>
    </row>
    <row r="80" spans="1:12" s="55" customFormat="1" ht="19.5" customHeight="1" x14ac:dyDescent="0.3">
      <c r="A80" s="44"/>
      <c r="B80" s="45"/>
      <c r="C80" s="46">
        <v>22</v>
      </c>
      <c r="D80" s="47" t="s">
        <v>320</v>
      </c>
      <c r="E80" s="48">
        <v>150</v>
      </c>
      <c r="F80" s="49">
        <v>118.4</v>
      </c>
      <c r="G80" s="50" t="s">
        <v>39</v>
      </c>
      <c r="H80" s="51">
        <v>1829</v>
      </c>
      <c r="I80" s="45">
        <v>3353</v>
      </c>
      <c r="J80" s="52">
        <v>42</v>
      </c>
      <c r="K80" s="53">
        <f t="shared" si="0"/>
        <v>257.57075400000002</v>
      </c>
      <c r="L80" s="54" t="s">
        <v>425</v>
      </c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5" customFormat="1" ht="19.5" customHeight="1" x14ac:dyDescent="0.3">
      <c r="A83" s="44"/>
      <c r="B83" s="45"/>
      <c r="C83" s="46"/>
      <c r="D83" s="47"/>
      <c r="E83" s="48"/>
      <c r="F83" s="49"/>
      <c r="G83" s="50"/>
      <c r="H83" s="51"/>
      <c r="I83" s="45"/>
      <c r="J83" s="52"/>
      <c r="K83" s="53">
        <f t="shared" si="0"/>
        <v>0</v>
      </c>
      <c r="L83" s="54"/>
    </row>
    <row r="84" spans="1:12" s="55" customFormat="1" ht="19.5" customHeight="1" x14ac:dyDescent="0.3">
      <c r="A84" s="44"/>
      <c r="B84" s="45"/>
      <c r="C84" s="46"/>
      <c r="D84" s="47"/>
      <c r="E84" s="48"/>
      <c r="F84" s="49"/>
      <c r="G84" s="50"/>
      <c r="H84" s="51"/>
      <c r="I84" s="45"/>
      <c r="J84" s="52"/>
      <c r="K84" s="53">
        <f t="shared" si="0"/>
        <v>0</v>
      </c>
      <c r="L84" s="54"/>
    </row>
    <row r="85" spans="1:12" s="55" customFormat="1" ht="19.5" customHeight="1" x14ac:dyDescent="0.3">
      <c r="A85" s="44"/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5" customFormat="1" ht="19.5" customHeight="1" x14ac:dyDescent="0.3">
      <c r="A86" s="44"/>
      <c r="B86" s="45"/>
      <c r="C86" s="46"/>
      <c r="D86" s="47"/>
      <c r="E86" s="48"/>
      <c r="F86" s="49"/>
      <c r="G86" s="50"/>
      <c r="H86" s="51"/>
      <c r="I86" s="45"/>
      <c r="J86" s="52"/>
      <c r="K86" s="53">
        <f t="shared" si="0"/>
        <v>0</v>
      </c>
      <c r="L86" s="54"/>
    </row>
    <row r="87" spans="1:12" s="55" customFormat="1" ht="19.5" customHeight="1" x14ac:dyDescent="0.3">
      <c r="A87" s="44"/>
      <c r="B87" s="45"/>
      <c r="C87" s="46"/>
      <c r="D87" s="47"/>
      <c r="E87" s="48"/>
      <c r="F87" s="49"/>
      <c r="G87" s="50"/>
      <c r="H87" s="51"/>
      <c r="I87" s="45"/>
      <c r="J87" s="52"/>
      <c r="K87" s="53">
        <f t="shared" si="0"/>
        <v>0</v>
      </c>
      <c r="L87" s="54"/>
    </row>
    <row r="88" spans="1:12" s="55" customFormat="1" ht="19.5" customHeight="1" x14ac:dyDescent="0.3">
      <c r="A88" s="44"/>
      <c r="B88" s="45"/>
      <c r="C88" s="46"/>
      <c r="D88" s="47"/>
      <c r="E88" s="48"/>
      <c r="F88" s="49"/>
      <c r="G88" s="50"/>
      <c r="H88" s="51"/>
      <c r="I88" s="45"/>
      <c r="J88" s="52"/>
      <c r="K88" s="53">
        <f t="shared" si="0"/>
        <v>0</v>
      </c>
      <c r="L88" s="54"/>
    </row>
    <row r="89" spans="1:12" s="55" customFormat="1" ht="19.5" customHeight="1" x14ac:dyDescent="0.3">
      <c r="A89" s="44"/>
      <c r="B89" s="45"/>
      <c r="C89" s="46"/>
      <c r="D89" s="47"/>
      <c r="E89" s="48"/>
      <c r="F89" s="49"/>
      <c r="G89" s="50"/>
      <c r="H89" s="51"/>
      <c r="I89" s="45"/>
      <c r="J89" s="52"/>
      <c r="K89" s="53">
        <f t="shared" si="0"/>
        <v>0</v>
      </c>
      <c r="L89" s="54"/>
    </row>
    <row r="90" spans="1:12" s="55" customFormat="1" ht="19.5" customHeight="1" x14ac:dyDescent="0.3">
      <c r="A90" s="44"/>
      <c r="B90" s="45"/>
      <c r="C90" s="46"/>
      <c r="D90" s="47"/>
      <c r="E90" s="48"/>
      <c r="F90" s="49"/>
      <c r="G90" s="50"/>
      <c r="H90" s="51"/>
      <c r="I90" s="45"/>
      <c r="J90" s="52"/>
      <c r="K90" s="53">
        <f t="shared" si="0"/>
        <v>0</v>
      </c>
      <c r="L90" s="54"/>
    </row>
    <row r="91" spans="1:12" s="59" customFormat="1" ht="20.100000000000001" customHeight="1" x14ac:dyDescent="0.3">
      <c r="A91" s="44"/>
      <c r="B91" s="45"/>
      <c r="C91" s="46"/>
      <c r="D91" s="47"/>
      <c r="E91" s="56"/>
      <c r="F91" s="57"/>
      <c r="G91" s="50"/>
      <c r="H91" s="51"/>
      <c r="I91" s="45"/>
      <c r="J91" s="52"/>
      <c r="K91" s="53">
        <f t="shared" si="0"/>
        <v>0</v>
      </c>
      <c r="L91" s="58">
        <f>SUM(J69:J92)</f>
        <v>167</v>
      </c>
    </row>
    <row r="92" spans="1:12" s="59" customFormat="1" ht="20.100000000000001" customHeight="1" x14ac:dyDescent="0.3">
      <c r="A92" s="44"/>
      <c r="B92" s="45"/>
      <c r="C92" s="46"/>
      <c r="D92" s="47"/>
      <c r="E92" s="60"/>
      <c r="F92" s="61"/>
      <c r="G92" s="62"/>
      <c r="H92" s="51"/>
      <c r="I92" s="45"/>
      <c r="J92" s="63"/>
      <c r="K92" s="53">
        <f t="shared" si="0"/>
        <v>0</v>
      </c>
      <c r="L92" s="64">
        <f>SUM(K69:K92)</f>
        <v>1063.457598</v>
      </c>
    </row>
    <row r="93" spans="1:12" s="59" customFormat="1" ht="20.100000000000001" customHeight="1" thickBot="1" x14ac:dyDescent="0.35">
      <c r="A93" s="114"/>
      <c r="B93" s="115"/>
      <c r="C93" s="115"/>
      <c r="D93" s="115"/>
      <c r="E93" s="115"/>
      <c r="F93" s="115"/>
      <c r="G93" s="115"/>
      <c r="H93" s="115"/>
      <c r="I93" s="115"/>
      <c r="J93" s="65">
        <f>SUM(J7:J92)</f>
        <v>351</v>
      </c>
      <c r="K93" s="66">
        <f>SUM(K7:K92)</f>
        <v>2381.8508529999999</v>
      </c>
      <c r="L93" s="67"/>
    </row>
    <row r="94" spans="1:12" s="59" customFormat="1" ht="20.100000000000001" customHeight="1" thickTop="1" thickBot="1" x14ac:dyDescent="0.35">
      <c r="A94" s="116" t="s">
        <v>52</v>
      </c>
      <c r="B94" s="117"/>
      <c r="C94" s="68"/>
      <c r="D94" s="118">
        <f>J93</f>
        <v>351</v>
      </c>
      <c r="E94" s="119"/>
      <c r="F94" s="119"/>
      <c r="G94" s="120"/>
      <c r="H94" s="121"/>
      <c r="I94" s="121"/>
      <c r="J94" s="122"/>
      <c r="K94" s="119"/>
      <c r="L94" s="123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71"/>
    </row>
    <row r="96" spans="1:12" s="59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113"/>
      <c r="B99" s="113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113"/>
      <c r="B100" s="113"/>
      <c r="C100" s="5"/>
      <c r="D100" s="5"/>
      <c r="E100" s="72"/>
      <c r="F100" s="5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113"/>
      <c r="B101" s="113"/>
      <c r="C101" s="5"/>
      <c r="D101" s="5"/>
      <c r="E101" s="5"/>
      <c r="F101" s="5"/>
      <c r="G101" s="73"/>
      <c r="H101" s="5"/>
      <c r="I101" s="74"/>
      <c r="J101" s="5"/>
      <c r="K101" s="5"/>
      <c r="L101" s="5"/>
    </row>
    <row r="102" spans="1:12" s="59" customFormat="1" ht="20.100000000000001" customHeight="1" x14ac:dyDescent="0.3">
      <c r="A102" s="113"/>
      <c r="B102" s="113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59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59" customFormat="1" ht="20.100000000000001" customHeight="1" x14ac:dyDescent="0.3">
      <c r="A104" s="113"/>
      <c r="B104" s="113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59" customFormat="1" ht="20.100000000000001" customHeight="1" x14ac:dyDescent="0.3">
      <c r="A105" s="113"/>
      <c r="B105" s="113"/>
      <c r="C105" s="5"/>
      <c r="D105" s="5"/>
      <c r="E105" s="5"/>
      <c r="F105" s="70"/>
      <c r="G105" s="5"/>
      <c r="H105" s="72"/>
      <c r="I105" s="72"/>
      <c r="J105" s="5"/>
      <c r="K105" s="5"/>
      <c r="L105" s="5"/>
    </row>
    <row r="106" spans="1:12" ht="20.100000000000001" customHeight="1" x14ac:dyDescent="0.3">
      <c r="A106" s="113"/>
      <c r="B106" s="113"/>
      <c r="H106" s="72"/>
      <c r="I106" s="72"/>
    </row>
    <row r="107" spans="1:12" ht="20.100000000000001" customHeight="1" x14ac:dyDescent="0.3">
      <c r="H107" s="72"/>
      <c r="I107" s="72"/>
    </row>
    <row r="108" spans="1:12" ht="20.100000000000001" customHeight="1" x14ac:dyDescent="0.3">
      <c r="H108" s="72"/>
      <c r="I108" s="72"/>
    </row>
    <row r="109" spans="1:12" ht="20.100000000000001" customHeight="1" x14ac:dyDescent="0.3">
      <c r="A109" s="113"/>
      <c r="B109" s="113"/>
      <c r="H109" s="72"/>
      <c r="I109" s="72"/>
    </row>
    <row r="110" spans="1:12" ht="20.100000000000001" customHeight="1" x14ac:dyDescent="0.3">
      <c r="A110" s="113"/>
      <c r="B110" s="113"/>
      <c r="H110" s="72"/>
      <c r="I110" s="72"/>
    </row>
    <row r="111" spans="1:12" ht="20.100000000000001" customHeight="1" x14ac:dyDescent="0.3">
      <c r="H111" s="72"/>
      <c r="I111" s="72"/>
    </row>
    <row r="112" spans="1:12" ht="20.100000000000001" customHeight="1" x14ac:dyDescent="0.3">
      <c r="H112" s="72"/>
      <c r="I112" s="72"/>
    </row>
    <row r="113" spans="1:12" ht="20.100000000000001" customHeight="1" x14ac:dyDescent="0.3">
      <c r="H113" s="72"/>
      <c r="I113" s="72"/>
    </row>
    <row r="114" spans="1:12" s="72" customFormat="1" ht="20.100000000000001" customHeight="1" x14ac:dyDescent="0.3">
      <c r="A114" s="69"/>
      <c r="B114" s="5"/>
      <c r="C114" s="5"/>
      <c r="D114" s="5"/>
      <c r="E114" s="5"/>
      <c r="F114" s="70"/>
      <c r="G114" s="5"/>
      <c r="J114" s="5"/>
      <c r="K114" s="5"/>
      <c r="L114" s="5"/>
    </row>
    <row r="115" spans="1:12" s="72" customFormat="1" ht="20.100000000000001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s="75" customFormat="1" ht="20.100000000000001" customHeight="1" x14ac:dyDescent="0.3">
      <c r="A116" s="69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s="75" customFormat="1" ht="20.100000000000001" customHeight="1" x14ac:dyDescent="0.3">
      <c r="A117" s="69"/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75" customFormat="1" ht="19.5" customHeight="1" x14ac:dyDescent="0.3">
      <c r="A118" s="69"/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72" customFormat="1" ht="20.100000000000001" customHeight="1" x14ac:dyDescent="0.3">
      <c r="A119" s="69"/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72" customFormat="1" ht="20.100000000000001" customHeight="1" x14ac:dyDescent="0.3">
      <c r="A120" s="69"/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ht="19.5" customHeight="1" x14ac:dyDescent="0.3"/>
    <row r="122" spans="1:12" ht="19.5" customHeight="1" x14ac:dyDescent="0.3"/>
    <row r="123" spans="1:12" ht="19.5" customHeight="1" x14ac:dyDescent="0.3"/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ht="19.5" customHeight="1" x14ac:dyDescent="0.3"/>
    <row r="148" spans="2:12" ht="19.5" customHeight="1" x14ac:dyDescent="0.3"/>
    <row r="149" spans="2:12" ht="19.5" customHeight="1" x14ac:dyDescent="0.3"/>
    <row r="150" spans="2:12" ht="19.5" customHeight="1" x14ac:dyDescent="0.3"/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</sheetData>
  <mergeCells count="30">
    <mergeCell ref="A109:B109"/>
    <mergeCell ref="A110:B110"/>
    <mergeCell ref="A100:B100"/>
    <mergeCell ref="A101:B101"/>
    <mergeCell ref="A102:B102"/>
    <mergeCell ref="A104:B104"/>
    <mergeCell ref="A105:B105"/>
    <mergeCell ref="A106:B106"/>
    <mergeCell ref="A99:B9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93:I93"/>
    <mergeCell ref="A94:B94"/>
    <mergeCell ref="D94:G94"/>
    <mergeCell ref="H94:J94"/>
    <mergeCell ref="K94:L94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L141"/>
  <sheetViews>
    <sheetView view="pageBreakPreview" topLeftCell="A10" zoomScale="85" zoomScaleNormal="100" zoomScaleSheetLayoutView="85" workbookViewId="0">
      <selection activeCell="L29" sqref="L29:L3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46198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49" si="0">(H7/1000*I7/1000)*J7</f>
        <v>0</v>
      </c>
      <c r="L7" s="26">
        <f>SUM(J7:J27)</f>
        <v>143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SUM(K7:K27)</f>
        <v>1100.675898</v>
      </c>
    </row>
    <row r="9" spans="1:12" s="27" customFormat="1" ht="19.5" customHeight="1" x14ac:dyDescent="0.3">
      <c r="A9" s="28" t="s">
        <v>5431</v>
      </c>
      <c r="B9" s="16" t="s">
        <v>5432</v>
      </c>
      <c r="C9" s="17">
        <v>43</v>
      </c>
      <c r="D9" s="18" t="s">
        <v>5433</v>
      </c>
      <c r="E9" s="41">
        <v>46</v>
      </c>
      <c r="F9" s="42">
        <v>71.95</v>
      </c>
      <c r="G9" s="34" t="s">
        <v>5435</v>
      </c>
      <c r="H9" s="35">
        <v>2438</v>
      </c>
      <c r="I9" s="36">
        <v>3353</v>
      </c>
      <c r="J9" s="37">
        <v>21</v>
      </c>
      <c r="K9" s="85">
        <f t="shared" si="0"/>
        <v>171.66689400000001</v>
      </c>
      <c r="L9" s="39" t="s">
        <v>5436</v>
      </c>
    </row>
    <row r="10" spans="1:12" s="27" customFormat="1" ht="19.5" customHeight="1" x14ac:dyDescent="0.3">
      <c r="A10" s="28"/>
      <c r="B10" s="16"/>
      <c r="C10" s="17">
        <v>24</v>
      </c>
      <c r="D10" s="18" t="s">
        <v>5434</v>
      </c>
      <c r="E10" s="41">
        <v>176</v>
      </c>
      <c r="F10" s="42">
        <v>96.26</v>
      </c>
      <c r="G10" s="34" t="s">
        <v>5435</v>
      </c>
      <c r="H10" s="35">
        <v>2134</v>
      </c>
      <c r="I10" s="36">
        <v>3353</v>
      </c>
      <c r="J10" s="37">
        <v>14</v>
      </c>
      <c r="K10" s="85">
        <f t="shared" si="0"/>
        <v>100.174228</v>
      </c>
      <c r="L10" s="39" t="s">
        <v>5436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 t="s">
        <v>5437</v>
      </c>
      <c r="B12" s="16" t="s">
        <v>5432</v>
      </c>
      <c r="C12" s="17">
        <v>43</v>
      </c>
      <c r="D12" s="18" t="s">
        <v>5433</v>
      </c>
      <c r="E12" s="41">
        <v>59</v>
      </c>
      <c r="F12" s="42">
        <v>96.96</v>
      </c>
      <c r="G12" s="34" t="s">
        <v>5435</v>
      </c>
      <c r="H12" s="35">
        <v>2438</v>
      </c>
      <c r="I12" s="36">
        <v>3353</v>
      </c>
      <c r="J12" s="37">
        <v>27</v>
      </c>
      <c r="K12" s="85">
        <f t="shared" si="0"/>
        <v>220.71457799999999</v>
      </c>
      <c r="L12" s="39" t="s">
        <v>5436</v>
      </c>
    </row>
    <row r="13" spans="1:12" s="27" customFormat="1" ht="19.5" customHeight="1" x14ac:dyDescent="0.3">
      <c r="A13" s="28"/>
      <c r="B13" s="16"/>
      <c r="C13" s="17">
        <v>24</v>
      </c>
      <c r="D13" s="18" t="s">
        <v>5434</v>
      </c>
      <c r="E13" s="41">
        <v>237</v>
      </c>
      <c r="F13" s="42">
        <v>130.31</v>
      </c>
      <c r="G13" s="34" t="s">
        <v>5435</v>
      </c>
      <c r="H13" s="35">
        <v>2134</v>
      </c>
      <c r="I13" s="36">
        <v>3353</v>
      </c>
      <c r="J13" s="37">
        <v>19</v>
      </c>
      <c r="K13" s="85">
        <f t="shared" si="0"/>
        <v>135.950738</v>
      </c>
      <c r="L13" s="39" t="s">
        <v>5436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>(H14/1000*I14/1000)*J14</f>
        <v>0</v>
      </c>
      <c r="L14" s="39"/>
    </row>
    <row r="15" spans="1:12" s="27" customFormat="1" ht="19.5" customHeight="1" x14ac:dyDescent="0.3">
      <c r="A15" s="28" t="s">
        <v>5438</v>
      </c>
      <c r="B15" s="16" t="s">
        <v>5439</v>
      </c>
      <c r="C15" s="17">
        <v>28</v>
      </c>
      <c r="D15" s="18" t="s">
        <v>5440</v>
      </c>
      <c r="E15" s="41">
        <v>24</v>
      </c>
      <c r="F15" s="42">
        <v>11.76</v>
      </c>
      <c r="G15" s="34" t="s">
        <v>5442</v>
      </c>
      <c r="H15" s="35">
        <v>2438</v>
      </c>
      <c r="I15" s="36">
        <v>3353</v>
      </c>
      <c r="J15" s="37">
        <v>28</v>
      </c>
      <c r="K15" s="85">
        <f>(H15/1000*I15/1000)*J15</f>
        <v>228.88919200000001</v>
      </c>
      <c r="L15" s="39" t="s">
        <v>5443</v>
      </c>
    </row>
    <row r="16" spans="1:12" s="27" customFormat="1" ht="19.5" customHeight="1" x14ac:dyDescent="0.3">
      <c r="A16" s="28"/>
      <c r="B16" s="16"/>
      <c r="C16" s="17">
        <v>28</v>
      </c>
      <c r="D16" s="18" t="s">
        <v>5441</v>
      </c>
      <c r="E16" s="41">
        <v>88</v>
      </c>
      <c r="F16" s="42">
        <v>176</v>
      </c>
      <c r="G16" s="34"/>
      <c r="H16" s="35"/>
      <c r="I16" s="36"/>
      <c r="J16" s="37"/>
      <c r="K16" s="85">
        <f t="shared" ref="K16:K17" si="1">(H16/1000*I16/1000)*J16</f>
        <v>0</v>
      </c>
      <c r="L16" s="39" t="s">
        <v>5444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1"/>
        <v>0</v>
      </c>
      <c r="L17" s="39"/>
    </row>
    <row r="18" spans="1:12" s="27" customFormat="1" ht="19.5" customHeight="1" x14ac:dyDescent="0.3">
      <c r="A18" s="28" t="s">
        <v>5445</v>
      </c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</row>
    <row r="19" spans="1:12" s="27" customFormat="1" ht="19.5" customHeight="1" x14ac:dyDescent="0.3">
      <c r="A19" s="28" t="s">
        <v>5448</v>
      </c>
      <c r="B19" s="16" t="s">
        <v>5449</v>
      </c>
      <c r="C19" s="17">
        <v>5</v>
      </c>
      <c r="D19" s="18" t="s">
        <v>5450</v>
      </c>
      <c r="E19" s="41">
        <v>4</v>
      </c>
      <c r="F19" s="42">
        <v>2.72</v>
      </c>
      <c r="G19" s="34"/>
      <c r="H19" s="35"/>
      <c r="I19" s="36"/>
      <c r="J19" s="37"/>
      <c r="K19" s="85">
        <f t="shared" si="0"/>
        <v>0</v>
      </c>
      <c r="L19" s="39" t="s">
        <v>5451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5431</v>
      </c>
      <c r="B21" s="16" t="s">
        <v>5221</v>
      </c>
      <c r="C21" s="17">
        <v>24</v>
      </c>
      <c r="D21" s="18" t="s">
        <v>289</v>
      </c>
      <c r="E21" s="41">
        <v>176</v>
      </c>
      <c r="F21" s="42">
        <v>96.26</v>
      </c>
      <c r="G21" s="34" t="s">
        <v>5452</v>
      </c>
      <c r="H21" s="35">
        <v>2134</v>
      </c>
      <c r="I21" s="36">
        <v>3353</v>
      </c>
      <c r="J21" s="37">
        <v>14</v>
      </c>
      <c r="K21" s="85">
        <f t="shared" si="0"/>
        <v>100.174228</v>
      </c>
      <c r="L21" s="39" t="s">
        <v>5453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5437</v>
      </c>
      <c r="B23" s="16" t="s">
        <v>5221</v>
      </c>
      <c r="C23" s="17">
        <v>24</v>
      </c>
      <c r="D23" s="18" t="s">
        <v>289</v>
      </c>
      <c r="E23" s="41">
        <v>238</v>
      </c>
      <c r="F23" s="42">
        <v>130.31</v>
      </c>
      <c r="G23" s="34" t="s">
        <v>5452</v>
      </c>
      <c r="H23" s="35">
        <v>2134</v>
      </c>
      <c r="I23" s="36">
        <v>3353</v>
      </c>
      <c r="J23" s="37">
        <v>20</v>
      </c>
      <c r="K23" s="25">
        <f t="shared" si="0"/>
        <v>143.10604000000001</v>
      </c>
      <c r="L23" s="39" t="s">
        <v>5453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29"/>
      <c r="C27" s="30"/>
      <c r="D27" s="31"/>
      <c r="E27" s="41"/>
      <c r="F27" s="42"/>
      <c r="G27" s="43"/>
      <c r="H27" s="35"/>
      <c r="I27" s="36"/>
      <c r="J27" s="37"/>
      <c r="K27" s="25">
        <f t="shared" si="0"/>
        <v>0</v>
      </c>
      <c r="L27" s="39"/>
    </row>
    <row r="28" spans="1:12" s="55" customFormat="1" ht="19.5" customHeight="1" x14ac:dyDescent="0.3">
      <c r="A28" s="44"/>
      <c r="B28" s="45"/>
      <c r="C28" s="46"/>
      <c r="D28" s="47"/>
      <c r="E28" s="48"/>
      <c r="F28" s="49"/>
      <c r="G28" s="50"/>
      <c r="H28" s="51"/>
      <c r="I28" s="45"/>
      <c r="J28" s="52"/>
      <c r="K28" s="53">
        <f t="shared" si="0"/>
        <v>0</v>
      </c>
      <c r="L28" s="54"/>
    </row>
    <row r="29" spans="1:12" s="55" customFormat="1" ht="19.5" customHeight="1" x14ac:dyDescent="0.3">
      <c r="A29" s="44" t="s">
        <v>5446</v>
      </c>
      <c r="B29" s="45" t="s">
        <v>306</v>
      </c>
      <c r="C29" s="46">
        <v>22</v>
      </c>
      <c r="D29" s="47" t="s">
        <v>307</v>
      </c>
      <c r="E29" s="48">
        <v>64</v>
      </c>
      <c r="F29" s="49">
        <v>48.72</v>
      </c>
      <c r="G29" s="50" t="s">
        <v>49</v>
      </c>
      <c r="H29" s="51">
        <v>1829</v>
      </c>
      <c r="I29" s="45">
        <v>3353</v>
      </c>
      <c r="J29" s="52">
        <v>8</v>
      </c>
      <c r="K29" s="53">
        <f t="shared" si="0"/>
        <v>49.061095999999999</v>
      </c>
      <c r="L29" s="54" t="s">
        <v>321</v>
      </c>
    </row>
    <row r="30" spans="1:12" s="55" customFormat="1" ht="19.5" customHeight="1" x14ac:dyDescent="0.3">
      <c r="A30" s="44"/>
      <c r="B30" s="45"/>
      <c r="C30" s="46">
        <v>22</v>
      </c>
      <c r="D30" s="47" t="s">
        <v>320</v>
      </c>
      <c r="E30" s="48">
        <v>64</v>
      </c>
      <c r="F30" s="49">
        <v>48.72</v>
      </c>
      <c r="G30" s="50" t="s">
        <v>18</v>
      </c>
      <c r="H30" s="51">
        <v>1829</v>
      </c>
      <c r="I30" s="45">
        <v>3353</v>
      </c>
      <c r="J30" s="52">
        <v>8</v>
      </c>
      <c r="K30" s="53">
        <f t="shared" si="0"/>
        <v>49.061095999999999</v>
      </c>
      <c r="L30" s="54" t="s">
        <v>321</v>
      </c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 t="s">
        <v>39</v>
      </c>
      <c r="H31" s="51">
        <v>1829</v>
      </c>
      <c r="I31" s="45">
        <v>3353</v>
      </c>
      <c r="J31" s="52">
        <v>17</v>
      </c>
      <c r="K31" s="53">
        <f t="shared" si="0"/>
        <v>104.254829</v>
      </c>
      <c r="L31" s="54" t="s">
        <v>321</v>
      </c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5447</v>
      </c>
      <c r="B33" s="45" t="s">
        <v>306</v>
      </c>
      <c r="C33" s="46">
        <v>22</v>
      </c>
      <c r="D33" s="47" t="s">
        <v>307</v>
      </c>
      <c r="E33" s="48">
        <v>93</v>
      </c>
      <c r="F33" s="49">
        <v>80.069999999999993</v>
      </c>
      <c r="G33" s="50" t="s">
        <v>49</v>
      </c>
      <c r="H33" s="51">
        <v>1829</v>
      </c>
      <c r="I33" s="45">
        <v>3353</v>
      </c>
      <c r="J33" s="52">
        <v>14</v>
      </c>
      <c r="K33" s="53">
        <f t="shared" si="0"/>
        <v>85.856917999999993</v>
      </c>
      <c r="L33" s="54" t="s">
        <v>321</v>
      </c>
    </row>
    <row r="34" spans="1:12" s="55" customFormat="1" ht="19.5" customHeight="1" x14ac:dyDescent="0.3">
      <c r="A34" s="44"/>
      <c r="B34" s="45"/>
      <c r="C34" s="46">
        <v>22</v>
      </c>
      <c r="D34" s="47" t="s">
        <v>320</v>
      </c>
      <c r="E34" s="48">
        <v>93</v>
      </c>
      <c r="F34" s="49">
        <v>80.069999999999993</v>
      </c>
      <c r="G34" s="50" t="s">
        <v>18</v>
      </c>
      <c r="H34" s="51">
        <v>1829</v>
      </c>
      <c r="I34" s="45">
        <v>3353</v>
      </c>
      <c r="J34" s="52">
        <v>14</v>
      </c>
      <c r="K34" s="53">
        <f t="shared" si="0"/>
        <v>85.856917999999993</v>
      </c>
      <c r="L34" s="54" t="s">
        <v>321</v>
      </c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 t="s">
        <v>39</v>
      </c>
      <c r="H35" s="51">
        <v>1829</v>
      </c>
      <c r="I35" s="45">
        <v>3353</v>
      </c>
      <c r="J35" s="52">
        <v>28</v>
      </c>
      <c r="K35" s="53">
        <f t="shared" si="0"/>
        <v>171.71383599999999</v>
      </c>
      <c r="L35" s="54" t="s">
        <v>321</v>
      </c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5430</v>
      </c>
      <c r="B37" s="45" t="s">
        <v>306</v>
      </c>
      <c r="C37" s="46">
        <v>22</v>
      </c>
      <c r="D37" s="47" t="s">
        <v>307</v>
      </c>
      <c r="E37" s="48">
        <v>20</v>
      </c>
      <c r="F37" s="49">
        <v>17.899999999999999</v>
      </c>
      <c r="G37" s="50" t="s">
        <v>49</v>
      </c>
      <c r="H37" s="51">
        <v>1981</v>
      </c>
      <c r="I37" s="45">
        <v>3353</v>
      </c>
      <c r="J37" s="52">
        <v>3</v>
      </c>
      <c r="K37" s="53">
        <f t="shared" si="0"/>
        <v>19.926879</v>
      </c>
      <c r="L37" s="54" t="s">
        <v>465</v>
      </c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5429</v>
      </c>
      <c r="B39" s="45" t="s">
        <v>306</v>
      </c>
      <c r="C39" s="46">
        <v>22</v>
      </c>
      <c r="D39" s="47" t="s">
        <v>307</v>
      </c>
      <c r="E39" s="48">
        <v>20</v>
      </c>
      <c r="F39" s="49">
        <v>17.899999999999999</v>
      </c>
      <c r="G39" s="50" t="s">
        <v>49</v>
      </c>
      <c r="H39" s="51">
        <v>1981</v>
      </c>
      <c r="I39" s="45">
        <v>3353</v>
      </c>
      <c r="J39" s="52">
        <v>3</v>
      </c>
      <c r="K39" s="53">
        <f t="shared" si="0"/>
        <v>19.926879</v>
      </c>
      <c r="L39" s="54" t="s">
        <v>465</v>
      </c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5445</v>
      </c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5454</v>
      </c>
      <c r="B42" s="45" t="s">
        <v>306</v>
      </c>
      <c r="C42" s="46">
        <v>22</v>
      </c>
      <c r="D42" s="47" t="s">
        <v>307</v>
      </c>
      <c r="E42" s="48">
        <v>60</v>
      </c>
      <c r="F42" s="49">
        <v>47.36</v>
      </c>
      <c r="G42" s="50" t="s">
        <v>49</v>
      </c>
      <c r="H42" s="51">
        <v>1829</v>
      </c>
      <c r="I42" s="45">
        <v>3353</v>
      </c>
      <c r="J42" s="52">
        <v>9</v>
      </c>
      <c r="K42" s="53">
        <f t="shared" si="0"/>
        <v>55.193733000000002</v>
      </c>
      <c r="L42" s="54" t="s">
        <v>321</v>
      </c>
    </row>
    <row r="43" spans="1:12" s="55" customFormat="1" ht="19.5" customHeight="1" x14ac:dyDescent="0.3">
      <c r="A43" s="44"/>
      <c r="B43" s="45"/>
      <c r="C43" s="46">
        <v>22</v>
      </c>
      <c r="D43" s="47" t="s">
        <v>320</v>
      </c>
      <c r="E43" s="48">
        <v>62</v>
      </c>
      <c r="F43" s="49">
        <v>48.04</v>
      </c>
      <c r="G43" s="50" t="s">
        <v>18</v>
      </c>
      <c r="H43" s="51">
        <v>1829</v>
      </c>
      <c r="I43" s="45">
        <v>3353</v>
      </c>
      <c r="J43" s="52">
        <v>9</v>
      </c>
      <c r="K43" s="53">
        <f t="shared" si="0"/>
        <v>55.193733000000002</v>
      </c>
      <c r="L43" s="54" t="s">
        <v>321</v>
      </c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 t="s">
        <v>39</v>
      </c>
      <c r="H44" s="51">
        <v>1829</v>
      </c>
      <c r="I44" s="45">
        <v>3353</v>
      </c>
      <c r="J44" s="52">
        <v>16</v>
      </c>
      <c r="K44" s="53">
        <f t="shared" si="0"/>
        <v>98.122191999999998</v>
      </c>
      <c r="L44" s="54" t="s">
        <v>321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9" customFormat="1" ht="20.100000000000001" customHeight="1" x14ac:dyDescent="0.3">
      <c r="A48" s="44"/>
      <c r="B48" s="45"/>
      <c r="C48" s="46"/>
      <c r="D48" s="47"/>
      <c r="E48" s="56"/>
      <c r="F48" s="57"/>
      <c r="G48" s="50"/>
      <c r="H48" s="51"/>
      <c r="I48" s="45"/>
      <c r="J48" s="52"/>
      <c r="K48" s="53">
        <f t="shared" si="0"/>
        <v>0</v>
      </c>
      <c r="L48" s="58">
        <f>SUM(J28:J49)</f>
        <v>129</v>
      </c>
    </row>
    <row r="49" spans="1:12" s="59" customFormat="1" ht="20.100000000000001" customHeight="1" x14ac:dyDescent="0.3">
      <c r="A49" s="44"/>
      <c r="B49" s="45"/>
      <c r="C49" s="46"/>
      <c r="D49" s="47"/>
      <c r="E49" s="60"/>
      <c r="F49" s="61"/>
      <c r="G49" s="62"/>
      <c r="H49" s="51"/>
      <c r="I49" s="45"/>
      <c r="J49" s="63"/>
      <c r="K49" s="53">
        <f t="shared" si="0"/>
        <v>0</v>
      </c>
      <c r="L49" s="64">
        <f>SUM(K28:K49)</f>
        <v>794.16810899999996</v>
      </c>
    </row>
    <row r="50" spans="1:12" s="59" customFormat="1" ht="20.100000000000001" customHeight="1" thickBot="1" x14ac:dyDescent="0.35">
      <c r="A50" s="114"/>
      <c r="B50" s="115"/>
      <c r="C50" s="115"/>
      <c r="D50" s="115"/>
      <c r="E50" s="115"/>
      <c r="F50" s="115"/>
      <c r="G50" s="115"/>
      <c r="H50" s="115"/>
      <c r="I50" s="115"/>
      <c r="J50" s="65">
        <f>SUM(J7:J49)</f>
        <v>272</v>
      </c>
      <c r="K50" s="66">
        <f>SUM(K7:K49)</f>
        <v>1894.8440069999999</v>
      </c>
      <c r="L50" s="67"/>
    </row>
    <row r="51" spans="1:12" s="59" customFormat="1" ht="20.100000000000001" customHeight="1" thickTop="1" thickBot="1" x14ac:dyDescent="0.35">
      <c r="A51" s="116" t="s">
        <v>52</v>
      </c>
      <c r="B51" s="117"/>
      <c r="C51" s="68"/>
      <c r="D51" s="118">
        <f>J50</f>
        <v>272</v>
      </c>
      <c r="E51" s="119"/>
      <c r="F51" s="119"/>
      <c r="G51" s="120"/>
      <c r="H51" s="121"/>
      <c r="I51" s="121"/>
      <c r="J51" s="122"/>
      <c r="K51" s="119"/>
      <c r="L51" s="123"/>
    </row>
    <row r="52" spans="1:12" s="59" customFormat="1" ht="20.100000000000001" customHeight="1" x14ac:dyDescent="0.3">
      <c r="A52" s="69"/>
      <c r="B52" s="5"/>
      <c r="C52" s="5"/>
      <c r="D52" s="5"/>
      <c r="E52" s="5"/>
      <c r="F52" s="70"/>
      <c r="G52" s="5"/>
      <c r="H52" s="5"/>
      <c r="I52" s="5"/>
      <c r="J52" s="5"/>
      <c r="K52" s="5"/>
      <c r="L52" s="71"/>
    </row>
    <row r="53" spans="1:12" s="59" customFormat="1" ht="20.100000000000001" customHeight="1" x14ac:dyDescent="0.3">
      <c r="A53" s="69"/>
      <c r="B53" s="5"/>
      <c r="C53" s="5"/>
      <c r="D53" s="5"/>
      <c r="E53" s="5"/>
      <c r="F53" s="70"/>
      <c r="G53" s="5"/>
      <c r="H53" s="5"/>
      <c r="I53" s="5"/>
      <c r="J53" s="5"/>
      <c r="K53" s="5"/>
      <c r="L53" s="5"/>
    </row>
    <row r="54" spans="1:12" s="59" customFormat="1" ht="20.100000000000001" customHeight="1" x14ac:dyDescent="0.3">
      <c r="A54" s="69"/>
      <c r="B54" s="5"/>
      <c r="C54" s="5"/>
      <c r="D54" s="5"/>
      <c r="E54" s="5"/>
      <c r="F54" s="70"/>
      <c r="G54" s="5"/>
      <c r="H54" s="5"/>
      <c r="I54" s="5"/>
      <c r="J54" s="5"/>
      <c r="K54" s="5"/>
      <c r="L54" s="5"/>
    </row>
    <row r="55" spans="1:12" s="59" customFormat="1" ht="20.100000000000001" customHeight="1" x14ac:dyDescent="0.3">
      <c r="A55" s="69"/>
      <c r="B55" s="5"/>
      <c r="C55" s="5"/>
      <c r="D55" s="5"/>
      <c r="E55" s="5"/>
      <c r="F55" s="70"/>
      <c r="G55" s="5"/>
      <c r="H55" s="5"/>
      <c r="I55" s="5"/>
      <c r="J55" s="5"/>
      <c r="K55" s="5"/>
      <c r="L55" s="5"/>
    </row>
    <row r="56" spans="1:12" s="59" customFormat="1" ht="20.100000000000001" customHeight="1" x14ac:dyDescent="0.3">
      <c r="A56" s="113"/>
      <c r="B56" s="113"/>
      <c r="C56" s="5"/>
      <c r="D56" s="5"/>
      <c r="E56" s="5"/>
      <c r="F56" s="70"/>
      <c r="G56" s="5"/>
      <c r="H56" s="5"/>
      <c r="I56" s="5"/>
      <c r="J56" s="5"/>
      <c r="K56" s="5"/>
      <c r="L56" s="5"/>
    </row>
    <row r="57" spans="1:12" s="59" customFormat="1" ht="20.100000000000001" customHeight="1" x14ac:dyDescent="0.3">
      <c r="A57" s="113"/>
      <c r="B57" s="113"/>
      <c r="C57" s="5"/>
      <c r="D57" s="5"/>
      <c r="E57" s="72"/>
      <c r="F57" s="5"/>
      <c r="G57" s="5"/>
      <c r="H57" s="5"/>
      <c r="I57" s="5"/>
      <c r="J57" s="5"/>
      <c r="K57" s="5"/>
      <c r="L57" s="5"/>
    </row>
    <row r="58" spans="1:12" s="59" customFormat="1" ht="20.100000000000001" customHeight="1" x14ac:dyDescent="0.3">
      <c r="A58" s="113"/>
      <c r="B58" s="113"/>
      <c r="C58" s="5"/>
      <c r="D58" s="5"/>
      <c r="E58" s="5"/>
      <c r="F58" s="5"/>
      <c r="G58" s="73"/>
      <c r="H58" s="5"/>
      <c r="I58" s="74"/>
      <c r="J58" s="5"/>
      <c r="K58" s="5"/>
      <c r="L58" s="5"/>
    </row>
    <row r="59" spans="1:12" s="59" customFormat="1" ht="20.100000000000001" customHeight="1" x14ac:dyDescent="0.3">
      <c r="A59" s="113"/>
      <c r="B59" s="113"/>
      <c r="C59" s="5"/>
      <c r="D59" s="5"/>
      <c r="E59" s="5"/>
      <c r="F59" s="70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113"/>
      <c r="B62" s="113"/>
      <c r="C62" s="5"/>
      <c r="D62" s="5"/>
      <c r="E62" s="5"/>
      <c r="F62" s="70"/>
      <c r="G62" s="5"/>
      <c r="H62" s="72"/>
      <c r="I62" s="72"/>
      <c r="J62" s="5"/>
      <c r="K62" s="5"/>
      <c r="L62" s="5"/>
    </row>
    <row r="63" spans="1:12" ht="20.100000000000001" customHeight="1" x14ac:dyDescent="0.3">
      <c r="A63" s="113"/>
      <c r="B63" s="113"/>
      <c r="H63" s="72"/>
      <c r="I63" s="72"/>
    </row>
    <row r="64" spans="1:12" ht="20.100000000000001" customHeight="1" x14ac:dyDescent="0.3">
      <c r="H64" s="72"/>
      <c r="I64" s="72"/>
    </row>
    <row r="65" spans="1:12" ht="20.100000000000001" customHeight="1" x14ac:dyDescent="0.3">
      <c r="H65" s="72"/>
      <c r="I65" s="72"/>
    </row>
    <row r="66" spans="1:12" ht="20.100000000000001" customHeight="1" x14ac:dyDescent="0.3">
      <c r="A66" s="113"/>
      <c r="B66" s="113"/>
      <c r="H66" s="72"/>
      <c r="I66" s="72"/>
    </row>
    <row r="67" spans="1:12" ht="20.100000000000001" customHeight="1" x14ac:dyDescent="0.3">
      <c r="A67" s="113"/>
      <c r="B67" s="113"/>
      <c r="H67" s="72"/>
      <c r="I67" s="72"/>
    </row>
    <row r="68" spans="1:12" ht="20.100000000000001" customHeight="1" x14ac:dyDescent="0.3">
      <c r="H68" s="72"/>
      <c r="I68" s="72"/>
    </row>
    <row r="69" spans="1:12" ht="20.100000000000001" customHeight="1" x14ac:dyDescent="0.3">
      <c r="H69" s="72"/>
      <c r="I69" s="72"/>
    </row>
    <row r="70" spans="1:12" ht="20.100000000000001" customHeight="1" x14ac:dyDescent="0.3">
      <c r="H70" s="72"/>
      <c r="I70" s="72"/>
    </row>
    <row r="71" spans="1:12" s="72" customFormat="1" ht="20.100000000000001" customHeight="1" x14ac:dyDescent="0.3">
      <c r="A71" s="69"/>
      <c r="B71" s="5"/>
      <c r="C71" s="5"/>
      <c r="D71" s="5"/>
      <c r="E71" s="5"/>
      <c r="F71" s="70"/>
      <c r="G71" s="5"/>
      <c r="J71" s="5"/>
      <c r="K71" s="5"/>
      <c r="L71" s="5"/>
    </row>
    <row r="72" spans="1:12" s="72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75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75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75" customFormat="1" ht="19.5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72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72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ht="19.5" customHeight="1" x14ac:dyDescent="0.3"/>
    <row r="79" spans="1:12" ht="19.5" customHeight="1" x14ac:dyDescent="0.3"/>
    <row r="80" spans="1:12" ht="19.5" customHeight="1" x14ac:dyDescent="0.3"/>
    <row r="81" spans="2:12" s="69" customFormat="1" ht="19.5" customHeight="1" x14ac:dyDescent="0.3"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2:12" s="69" customFormat="1" ht="19.5" customHeight="1" x14ac:dyDescent="0.3"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2:12" s="69" customFormat="1" ht="19.5" customHeight="1" x14ac:dyDescent="0.3"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2:12" s="69" customFormat="1" ht="19.5" customHeight="1" x14ac:dyDescent="0.3"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2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2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2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2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2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2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2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2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2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2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2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2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ht="19.5" customHeight="1" x14ac:dyDescent="0.3"/>
    <row r="98" spans="2:12" ht="19.5" customHeight="1" x14ac:dyDescent="0.3"/>
    <row r="99" spans="2:12" ht="19.5" customHeight="1" x14ac:dyDescent="0.3"/>
    <row r="100" spans="2:12" ht="19.5" customHeight="1" x14ac:dyDescent="0.3"/>
    <row r="101" spans="2:12" ht="19.5" customHeight="1" x14ac:dyDescent="0.3"/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56:B5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0:I50"/>
    <mergeCell ref="A51:B51"/>
    <mergeCell ref="D51:G51"/>
    <mergeCell ref="H51:J51"/>
    <mergeCell ref="K51:L51"/>
    <mergeCell ref="A66:B66"/>
    <mergeCell ref="A67:B67"/>
    <mergeCell ref="A57:B57"/>
    <mergeCell ref="A58:B58"/>
    <mergeCell ref="A59:B59"/>
    <mergeCell ref="A61:B61"/>
    <mergeCell ref="A62:B62"/>
    <mergeCell ref="A63:B63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L159"/>
  <sheetViews>
    <sheetView view="pageBreakPreview" topLeftCell="A19" zoomScale="85" zoomScaleNormal="100" zoomScaleSheetLayoutView="85" workbookViewId="0">
      <selection activeCell="A48" sqref="A4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46197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7" si="0">(H7/1000*I7/1000)*J7</f>
        <v>0</v>
      </c>
      <c r="L7" s="26">
        <f>SUM(J7:J39)</f>
        <v>191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SUM(K7:K39)</f>
        <v>1245.76179</v>
      </c>
    </row>
    <row r="9" spans="1:12" s="27" customFormat="1" ht="19.5" customHeight="1" x14ac:dyDescent="0.3">
      <c r="A9" s="28" t="s">
        <v>5388</v>
      </c>
      <c r="B9" s="16" t="s">
        <v>5389</v>
      </c>
      <c r="C9" s="17">
        <v>24</v>
      </c>
      <c r="D9" s="18" t="s">
        <v>5390</v>
      </c>
      <c r="E9" s="41">
        <v>38</v>
      </c>
      <c r="F9" s="42">
        <v>109.06</v>
      </c>
      <c r="G9" s="34" t="s">
        <v>5392</v>
      </c>
      <c r="H9" s="35">
        <v>1981</v>
      </c>
      <c r="I9" s="36">
        <v>3048</v>
      </c>
      <c r="J9" s="37">
        <v>17</v>
      </c>
      <c r="K9" s="85">
        <f t="shared" si="0"/>
        <v>102.64749600000002</v>
      </c>
      <c r="L9" s="39" t="s">
        <v>5393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5388</v>
      </c>
      <c r="B11" s="16" t="s">
        <v>5389</v>
      </c>
      <c r="C11" s="17">
        <v>24</v>
      </c>
      <c r="D11" s="18" t="s">
        <v>5390</v>
      </c>
      <c r="E11" s="41">
        <v>48</v>
      </c>
      <c r="F11" s="42">
        <v>137.76</v>
      </c>
      <c r="G11" s="34" t="s">
        <v>5394</v>
      </c>
      <c r="H11" s="35">
        <v>1981</v>
      </c>
      <c r="I11" s="36">
        <v>3048</v>
      </c>
      <c r="J11" s="37">
        <v>24</v>
      </c>
      <c r="K11" s="85">
        <f t="shared" si="0"/>
        <v>144.91411200000002</v>
      </c>
      <c r="L11" s="39" t="s">
        <v>5395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>
        <f t="shared" si="0"/>
        <v>0</v>
      </c>
      <c r="L12" s="39"/>
    </row>
    <row r="13" spans="1:12" s="27" customFormat="1" ht="19.5" customHeight="1" x14ac:dyDescent="0.3">
      <c r="A13" s="28" t="s">
        <v>5396</v>
      </c>
      <c r="B13" s="16" t="s">
        <v>2662</v>
      </c>
      <c r="C13" s="17">
        <v>22</v>
      </c>
      <c r="D13" s="18" t="s">
        <v>665</v>
      </c>
      <c r="E13" s="41">
        <v>6</v>
      </c>
      <c r="F13" s="42">
        <v>19.38</v>
      </c>
      <c r="G13" s="34" t="s">
        <v>5397</v>
      </c>
      <c r="H13" s="35">
        <v>1981</v>
      </c>
      <c r="I13" s="36">
        <v>3353</v>
      </c>
      <c r="J13" s="37">
        <v>14</v>
      </c>
      <c r="K13" s="85">
        <f t="shared" si="0"/>
        <v>92.992102000000003</v>
      </c>
      <c r="L13" s="39" t="s">
        <v>5395</v>
      </c>
    </row>
    <row r="14" spans="1:12" s="27" customFormat="1" ht="19.5" customHeight="1" x14ac:dyDescent="0.3">
      <c r="A14" s="28"/>
      <c r="B14" s="16"/>
      <c r="C14" s="17">
        <v>22</v>
      </c>
      <c r="D14" s="18" t="s">
        <v>45</v>
      </c>
      <c r="E14" s="41">
        <v>144</v>
      </c>
      <c r="F14" s="42">
        <v>88.14</v>
      </c>
      <c r="G14" s="34" t="s">
        <v>5398</v>
      </c>
      <c r="H14" s="35">
        <v>1981</v>
      </c>
      <c r="I14" s="36">
        <v>3353</v>
      </c>
      <c r="J14" s="37">
        <v>20</v>
      </c>
      <c r="K14" s="85">
        <f>(H14/1000*I14/1000)*J14</f>
        <v>132.84586000000002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17</v>
      </c>
      <c r="E15" s="41">
        <v>162</v>
      </c>
      <c r="F15" s="42">
        <v>135.84</v>
      </c>
      <c r="G15" s="34" t="s">
        <v>5399</v>
      </c>
      <c r="H15" s="35">
        <v>1981</v>
      </c>
      <c r="I15" s="36">
        <v>3353</v>
      </c>
      <c r="J15" s="37">
        <v>38</v>
      </c>
      <c r="K15" s="85">
        <f>(H15/1000*I15/1000)*J15</f>
        <v>252.40713400000001</v>
      </c>
      <c r="L15" s="39"/>
    </row>
    <row r="16" spans="1:12" s="27" customFormat="1" ht="19.5" customHeight="1" x14ac:dyDescent="0.3">
      <c r="A16" s="28"/>
      <c r="B16" s="16"/>
      <c r="C16" s="17">
        <v>22</v>
      </c>
      <c r="D16" s="18" t="s">
        <v>45</v>
      </c>
      <c r="E16" s="41">
        <v>36</v>
      </c>
      <c r="F16" s="42">
        <v>10.08</v>
      </c>
      <c r="G16" s="34"/>
      <c r="H16" s="35"/>
      <c r="I16" s="36"/>
      <c r="J16" s="37"/>
      <c r="K16" s="85">
        <f t="shared" ref="K16:K17" si="1">(H16/1000*I16/1000)*J16</f>
        <v>0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1"/>
        <v>0</v>
      </c>
      <c r="L17" s="39"/>
    </row>
    <row r="18" spans="1:12" s="27" customFormat="1" ht="19.5" customHeight="1" x14ac:dyDescent="0.3">
      <c r="A18" s="28" t="s">
        <v>5400</v>
      </c>
      <c r="B18" s="16" t="s">
        <v>2662</v>
      </c>
      <c r="C18" s="17">
        <v>22</v>
      </c>
      <c r="D18" s="18" t="s">
        <v>665</v>
      </c>
      <c r="E18" s="41">
        <v>6</v>
      </c>
      <c r="F18" s="42">
        <v>19.38</v>
      </c>
      <c r="G18" s="34" t="s">
        <v>5399</v>
      </c>
      <c r="H18" s="35">
        <v>1981</v>
      </c>
      <c r="I18" s="36">
        <v>3353</v>
      </c>
      <c r="J18" s="37">
        <v>3</v>
      </c>
      <c r="K18" s="85">
        <f t="shared" si="0"/>
        <v>19.926879</v>
      </c>
      <c r="L18" s="39" t="s">
        <v>5395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85">
        <f t="shared" si="0"/>
        <v>0</v>
      </c>
      <c r="L19" s="39"/>
    </row>
    <row r="20" spans="1:12" s="27" customFormat="1" ht="19.5" customHeight="1" x14ac:dyDescent="0.3">
      <c r="A20" s="28" t="s">
        <v>5401</v>
      </c>
      <c r="B20" s="16" t="s">
        <v>5402</v>
      </c>
      <c r="C20" s="17">
        <v>24</v>
      </c>
      <c r="D20" s="18" t="s">
        <v>5403</v>
      </c>
      <c r="E20" s="41">
        <v>4</v>
      </c>
      <c r="F20" s="42">
        <v>8.48</v>
      </c>
      <c r="G20" s="34" t="s">
        <v>5404</v>
      </c>
      <c r="H20" s="35">
        <v>2438</v>
      </c>
      <c r="I20" s="36">
        <v>3353</v>
      </c>
      <c r="J20" s="37">
        <v>2</v>
      </c>
      <c r="K20" s="85">
        <f t="shared" si="0"/>
        <v>16.349228</v>
      </c>
      <c r="L20" s="39" t="s">
        <v>5406</v>
      </c>
    </row>
    <row r="21" spans="1:12" s="27" customFormat="1" ht="19.5" customHeight="1" x14ac:dyDescent="0.3">
      <c r="A21" s="28" t="s">
        <v>5405</v>
      </c>
      <c r="B21" s="16" t="s">
        <v>5402</v>
      </c>
      <c r="C21" s="17">
        <v>24</v>
      </c>
      <c r="D21" s="18" t="s">
        <v>5403</v>
      </c>
      <c r="E21" s="41">
        <v>5</v>
      </c>
      <c r="F21" s="42">
        <v>3.33</v>
      </c>
      <c r="G21" s="34"/>
      <c r="H21" s="35"/>
      <c r="I21" s="36"/>
      <c r="J21" s="37"/>
      <c r="K21" s="85">
        <f t="shared" si="0"/>
        <v>0</v>
      </c>
      <c r="L21" s="39" t="s">
        <v>5406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5405</v>
      </c>
      <c r="B23" s="16" t="s">
        <v>5402</v>
      </c>
      <c r="C23" s="17">
        <v>24</v>
      </c>
      <c r="D23" s="18" t="s">
        <v>5403</v>
      </c>
      <c r="E23" s="41">
        <v>2</v>
      </c>
      <c r="F23" s="42">
        <v>1.17</v>
      </c>
      <c r="G23" s="34"/>
      <c r="H23" s="35"/>
      <c r="I23" s="36"/>
      <c r="J23" s="37"/>
      <c r="K23" s="25">
        <f t="shared" si="0"/>
        <v>0</v>
      </c>
      <c r="L23" s="39" t="s">
        <v>5407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 t="s">
        <v>5408</v>
      </c>
      <c r="B25" s="16" t="s">
        <v>2662</v>
      </c>
      <c r="C25" s="17">
        <v>22</v>
      </c>
      <c r="D25" s="18" t="s">
        <v>665</v>
      </c>
      <c r="E25" s="41">
        <v>6</v>
      </c>
      <c r="F25" s="42">
        <v>19.38</v>
      </c>
      <c r="G25" s="34" t="s">
        <v>5399</v>
      </c>
      <c r="H25" s="35">
        <v>1981</v>
      </c>
      <c r="I25" s="36">
        <v>3353</v>
      </c>
      <c r="J25" s="37">
        <v>3</v>
      </c>
      <c r="K25" s="25">
        <f t="shared" si="0"/>
        <v>19.926879</v>
      </c>
      <c r="L25" s="39" t="s">
        <v>5395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 t="s">
        <v>5409</v>
      </c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 t="s">
        <v>5418</v>
      </c>
      <c r="B28" s="16" t="s">
        <v>5419</v>
      </c>
      <c r="C28" s="17">
        <v>24</v>
      </c>
      <c r="D28" s="18" t="s">
        <v>5420</v>
      </c>
      <c r="E28" s="41">
        <v>2</v>
      </c>
      <c r="F28" s="42">
        <v>5.62</v>
      </c>
      <c r="G28" s="34" t="s">
        <v>336</v>
      </c>
      <c r="H28" s="35">
        <v>1981</v>
      </c>
      <c r="I28" s="36">
        <v>3048</v>
      </c>
      <c r="J28" s="37">
        <v>1</v>
      </c>
      <c r="K28" s="25">
        <f t="shared" si="0"/>
        <v>6.038088000000001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 t="s">
        <v>5421</v>
      </c>
      <c r="H29" s="35">
        <v>1981</v>
      </c>
      <c r="I29" s="36">
        <v>3048</v>
      </c>
      <c r="J29" s="37">
        <v>1</v>
      </c>
      <c r="K29" s="25">
        <f t="shared" si="0"/>
        <v>6.038088000000001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 t="s">
        <v>5422</v>
      </c>
      <c r="B31" s="16" t="s">
        <v>5423</v>
      </c>
      <c r="C31" s="17">
        <v>22</v>
      </c>
      <c r="D31" s="18" t="s">
        <v>5621</v>
      </c>
      <c r="E31" s="41">
        <v>144</v>
      </c>
      <c r="F31" s="42">
        <v>88.14</v>
      </c>
      <c r="G31" s="34" t="s">
        <v>5424</v>
      </c>
      <c r="H31" s="35">
        <v>1981</v>
      </c>
      <c r="I31" s="36">
        <v>3353</v>
      </c>
      <c r="J31" s="37">
        <v>20</v>
      </c>
      <c r="K31" s="25">
        <f t="shared" si="0"/>
        <v>132.84586000000002</v>
      </c>
      <c r="L31" s="39"/>
    </row>
    <row r="32" spans="1:12" s="27" customFormat="1" ht="19.5" customHeight="1" x14ac:dyDescent="0.3">
      <c r="A32" s="28"/>
      <c r="B32" s="16"/>
      <c r="C32" s="17">
        <v>22</v>
      </c>
      <c r="D32" s="18" t="s">
        <v>215</v>
      </c>
      <c r="E32" s="41">
        <v>162</v>
      </c>
      <c r="F32" s="42">
        <v>135.84</v>
      </c>
      <c r="G32" s="34" t="s">
        <v>5425</v>
      </c>
      <c r="H32" s="35">
        <v>1981</v>
      </c>
      <c r="I32" s="36">
        <v>3353</v>
      </c>
      <c r="J32" s="37">
        <v>34</v>
      </c>
      <c r="K32" s="25">
        <f t="shared" si="0"/>
        <v>225.837962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 t="s">
        <v>5622</v>
      </c>
      <c r="H33" s="35">
        <v>1981</v>
      </c>
      <c r="I33" s="36">
        <v>3353</v>
      </c>
      <c r="J33" s="37">
        <v>14</v>
      </c>
      <c r="K33" s="25">
        <f t="shared" si="0"/>
        <v>92.992102000000003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/>
      <c r="B39" s="29"/>
      <c r="C39" s="30"/>
      <c r="D39" s="31"/>
      <c r="E39" s="41"/>
      <c r="F39" s="42"/>
      <c r="G39" s="43"/>
      <c r="H39" s="35"/>
      <c r="I39" s="36"/>
      <c r="J39" s="37"/>
      <c r="K39" s="25">
        <f t="shared" si="0"/>
        <v>0</v>
      </c>
      <c r="L39" s="39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5410</v>
      </c>
      <c r="B41" s="45" t="s">
        <v>306</v>
      </c>
      <c r="C41" s="46">
        <v>22</v>
      </c>
      <c r="D41" s="47" t="s">
        <v>307</v>
      </c>
      <c r="E41" s="48">
        <v>28</v>
      </c>
      <c r="F41" s="49">
        <v>23</v>
      </c>
      <c r="G41" s="50" t="s">
        <v>49</v>
      </c>
      <c r="H41" s="51">
        <v>1829</v>
      </c>
      <c r="I41" s="45">
        <v>3353</v>
      </c>
      <c r="J41" s="52">
        <v>4</v>
      </c>
      <c r="K41" s="53">
        <f t="shared" si="0"/>
        <v>24.530548</v>
      </c>
      <c r="L41" s="54" t="s">
        <v>321</v>
      </c>
    </row>
    <row r="42" spans="1:12" s="55" customFormat="1" ht="19.5" customHeight="1" x14ac:dyDescent="0.3">
      <c r="A42" s="44"/>
      <c r="B42" s="45"/>
      <c r="C42" s="46">
        <v>22</v>
      </c>
      <c r="D42" s="47" t="s">
        <v>320</v>
      </c>
      <c r="E42" s="48">
        <v>28</v>
      </c>
      <c r="F42" s="49">
        <v>23</v>
      </c>
      <c r="G42" s="50" t="s">
        <v>18</v>
      </c>
      <c r="H42" s="51">
        <v>1829</v>
      </c>
      <c r="I42" s="45">
        <v>3353</v>
      </c>
      <c r="J42" s="52">
        <v>4</v>
      </c>
      <c r="K42" s="53">
        <f t="shared" si="0"/>
        <v>24.530548</v>
      </c>
      <c r="L42" s="54" t="s">
        <v>321</v>
      </c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 t="s">
        <v>39</v>
      </c>
      <c r="H43" s="51">
        <v>1829</v>
      </c>
      <c r="I43" s="45">
        <v>3353</v>
      </c>
      <c r="J43" s="52">
        <v>8</v>
      </c>
      <c r="K43" s="53">
        <f t="shared" si="0"/>
        <v>49.061095999999999</v>
      </c>
      <c r="L43" s="54" t="s">
        <v>321</v>
      </c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5411</v>
      </c>
      <c r="B45" s="45" t="s">
        <v>5412</v>
      </c>
      <c r="C45" s="46">
        <v>24</v>
      </c>
      <c r="D45" s="47" t="s">
        <v>5413</v>
      </c>
      <c r="E45" s="48">
        <v>91</v>
      </c>
      <c r="F45" s="49">
        <v>129.07</v>
      </c>
      <c r="G45" s="50" t="s">
        <v>5414</v>
      </c>
      <c r="H45" s="51">
        <v>2134</v>
      </c>
      <c r="I45" s="45">
        <v>3048</v>
      </c>
      <c r="J45" s="52">
        <v>23</v>
      </c>
      <c r="K45" s="53">
        <f t="shared" si="0"/>
        <v>149.60193599999999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 t="s">
        <v>5415</v>
      </c>
      <c r="H46" s="51">
        <v>2134</v>
      </c>
      <c r="I46" s="45">
        <v>3048</v>
      </c>
      <c r="J46" s="52">
        <v>23</v>
      </c>
      <c r="K46" s="53">
        <f t="shared" si="0"/>
        <v>149.60193599999999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5416</v>
      </c>
      <c r="B48" s="45" t="s">
        <v>306</v>
      </c>
      <c r="C48" s="46">
        <v>22</v>
      </c>
      <c r="D48" s="47" t="s">
        <v>320</v>
      </c>
      <c r="E48" s="48">
        <v>78</v>
      </c>
      <c r="F48" s="49">
        <v>66.959999999999994</v>
      </c>
      <c r="G48" s="50" t="s">
        <v>18</v>
      </c>
      <c r="H48" s="51">
        <v>1829</v>
      </c>
      <c r="I48" s="45">
        <v>3353</v>
      </c>
      <c r="J48" s="52">
        <v>12</v>
      </c>
      <c r="K48" s="53">
        <f t="shared" si="0"/>
        <v>73.591644000000002</v>
      </c>
      <c r="L48" s="54" t="s">
        <v>321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39</v>
      </c>
      <c r="H49" s="51">
        <v>1829</v>
      </c>
      <c r="I49" s="45">
        <v>3353</v>
      </c>
      <c r="J49" s="52">
        <v>12</v>
      </c>
      <c r="K49" s="53">
        <f t="shared" si="0"/>
        <v>73.591644000000002</v>
      </c>
      <c r="L49" s="54" t="s">
        <v>321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5417</v>
      </c>
      <c r="B51" s="45" t="s">
        <v>306</v>
      </c>
      <c r="C51" s="46">
        <v>22</v>
      </c>
      <c r="D51" s="47" t="s">
        <v>307</v>
      </c>
      <c r="E51" s="48">
        <v>119</v>
      </c>
      <c r="F51" s="49">
        <v>102.39</v>
      </c>
      <c r="G51" s="50" t="s">
        <v>39</v>
      </c>
      <c r="H51" s="51">
        <v>1829</v>
      </c>
      <c r="I51" s="45">
        <v>3353</v>
      </c>
      <c r="J51" s="52">
        <v>18</v>
      </c>
      <c r="K51" s="53">
        <f t="shared" si="0"/>
        <v>110.387466</v>
      </c>
      <c r="L51" s="54" t="s">
        <v>425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5409</v>
      </c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5426</v>
      </c>
      <c r="B54" s="45" t="s">
        <v>306</v>
      </c>
      <c r="C54" s="46">
        <v>22</v>
      </c>
      <c r="D54" s="47" t="s">
        <v>307</v>
      </c>
      <c r="E54" s="48">
        <v>119</v>
      </c>
      <c r="F54" s="49">
        <v>102.39</v>
      </c>
      <c r="G54" s="50" t="s">
        <v>5427</v>
      </c>
      <c r="H54" s="51">
        <v>1829</v>
      </c>
      <c r="I54" s="45">
        <v>3353</v>
      </c>
      <c r="J54" s="52">
        <v>18</v>
      </c>
      <c r="K54" s="53">
        <f t="shared" si="0"/>
        <v>110.387466</v>
      </c>
      <c r="L54" s="54" t="s">
        <v>5428</v>
      </c>
    </row>
    <row r="55" spans="1:12" s="55" customFormat="1" ht="19.5" customHeight="1" x14ac:dyDescent="0.3">
      <c r="A55" s="44"/>
      <c r="B55" s="45"/>
      <c r="C55" s="46">
        <v>22</v>
      </c>
      <c r="D55" s="47" t="s">
        <v>320</v>
      </c>
      <c r="E55" s="48">
        <v>119</v>
      </c>
      <c r="F55" s="49">
        <v>102.39</v>
      </c>
      <c r="G55" s="50" t="s">
        <v>5424</v>
      </c>
      <c r="H55" s="51">
        <v>1829</v>
      </c>
      <c r="I55" s="45">
        <v>3353</v>
      </c>
      <c r="J55" s="52">
        <v>18</v>
      </c>
      <c r="K55" s="53">
        <f t="shared" si="0"/>
        <v>110.387466</v>
      </c>
      <c r="L55" s="54" t="s">
        <v>321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 t="s">
        <v>39</v>
      </c>
      <c r="H56" s="51">
        <v>1829</v>
      </c>
      <c r="I56" s="45">
        <v>3353</v>
      </c>
      <c r="J56" s="52">
        <v>18</v>
      </c>
      <c r="K56" s="53">
        <f t="shared" si="0"/>
        <v>110.387466</v>
      </c>
      <c r="L56" s="54" t="s">
        <v>321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5429</v>
      </c>
      <c r="B58" s="45" t="s">
        <v>306</v>
      </c>
      <c r="C58" s="46">
        <v>22</v>
      </c>
      <c r="D58" s="47" t="s">
        <v>307</v>
      </c>
      <c r="E58" s="48">
        <v>20</v>
      </c>
      <c r="F58" s="49">
        <v>17.899999999999999</v>
      </c>
      <c r="G58" s="50" t="s">
        <v>39</v>
      </c>
      <c r="H58" s="51">
        <v>1981</v>
      </c>
      <c r="I58" s="45">
        <v>3353</v>
      </c>
      <c r="J58" s="52">
        <v>6</v>
      </c>
      <c r="K58" s="53">
        <f t="shared" si="0"/>
        <v>39.853757999999999</v>
      </c>
      <c r="L58" s="54" t="s">
        <v>425</v>
      </c>
    </row>
    <row r="59" spans="1:12" s="55" customFormat="1" ht="19.5" customHeight="1" x14ac:dyDescent="0.3">
      <c r="A59" s="44"/>
      <c r="B59" s="45"/>
      <c r="C59" s="46">
        <v>22</v>
      </c>
      <c r="D59" s="47" t="s">
        <v>320</v>
      </c>
      <c r="E59" s="48">
        <v>20</v>
      </c>
      <c r="F59" s="49">
        <v>17.899999999999999</v>
      </c>
      <c r="G59" s="50" t="s">
        <v>5424</v>
      </c>
      <c r="H59" s="51">
        <v>1981</v>
      </c>
      <c r="I59" s="45">
        <v>3353</v>
      </c>
      <c r="J59" s="52">
        <v>3</v>
      </c>
      <c r="K59" s="53">
        <f t="shared" si="0"/>
        <v>19.926879</v>
      </c>
      <c r="L59" s="54" t="s">
        <v>505</v>
      </c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5430</v>
      </c>
      <c r="B61" s="45" t="s">
        <v>306</v>
      </c>
      <c r="C61" s="46">
        <v>22</v>
      </c>
      <c r="D61" s="47" t="s">
        <v>307</v>
      </c>
      <c r="E61" s="48">
        <v>20</v>
      </c>
      <c r="F61" s="49">
        <v>17.899999999999999</v>
      </c>
      <c r="G61" s="50" t="s">
        <v>39</v>
      </c>
      <c r="H61" s="51">
        <v>1981</v>
      </c>
      <c r="I61" s="45">
        <v>3353</v>
      </c>
      <c r="J61" s="52">
        <v>6</v>
      </c>
      <c r="K61" s="53">
        <f t="shared" si="0"/>
        <v>39.853757999999999</v>
      </c>
      <c r="L61" s="54" t="s">
        <v>425</v>
      </c>
    </row>
    <row r="62" spans="1:12" s="55" customFormat="1" ht="19.5" customHeight="1" x14ac:dyDescent="0.3">
      <c r="A62" s="44"/>
      <c r="B62" s="45"/>
      <c r="C62" s="46">
        <v>22</v>
      </c>
      <c r="D62" s="47" t="s">
        <v>320</v>
      </c>
      <c r="E62" s="48">
        <v>20</v>
      </c>
      <c r="F62" s="49">
        <v>17.899999999999999</v>
      </c>
      <c r="G62" s="50" t="s">
        <v>5424</v>
      </c>
      <c r="H62" s="51">
        <v>1981</v>
      </c>
      <c r="I62" s="45">
        <v>3353</v>
      </c>
      <c r="J62" s="52">
        <v>3</v>
      </c>
      <c r="K62" s="53">
        <f t="shared" si="0"/>
        <v>19.926879</v>
      </c>
      <c r="L62" s="54" t="s">
        <v>505</v>
      </c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9" customFormat="1" ht="20.100000000000001" customHeight="1" x14ac:dyDescent="0.3">
      <c r="A66" s="44"/>
      <c r="B66" s="45"/>
      <c r="C66" s="46"/>
      <c r="D66" s="47"/>
      <c r="E66" s="56"/>
      <c r="F66" s="57"/>
      <c r="G66" s="50"/>
      <c r="H66" s="51"/>
      <c r="I66" s="45"/>
      <c r="J66" s="52"/>
      <c r="K66" s="53">
        <f t="shared" si="0"/>
        <v>0</v>
      </c>
      <c r="L66" s="58">
        <f>SUM(J40:J67)</f>
        <v>176</v>
      </c>
    </row>
    <row r="67" spans="1:12" s="59" customFormat="1" ht="20.100000000000001" customHeight="1" x14ac:dyDescent="0.3">
      <c r="A67" s="44"/>
      <c r="B67" s="45"/>
      <c r="C67" s="46"/>
      <c r="D67" s="47"/>
      <c r="E67" s="60"/>
      <c r="F67" s="61"/>
      <c r="G67" s="62"/>
      <c r="H67" s="51"/>
      <c r="I67" s="45"/>
      <c r="J67" s="63"/>
      <c r="K67" s="53">
        <f t="shared" si="0"/>
        <v>0</v>
      </c>
      <c r="L67" s="64">
        <f>SUM(K40:K67)</f>
        <v>1105.6204900000002</v>
      </c>
    </row>
    <row r="68" spans="1:12" s="59" customFormat="1" ht="20.100000000000001" customHeight="1" thickBot="1" x14ac:dyDescent="0.35">
      <c r="A68" s="114"/>
      <c r="B68" s="115"/>
      <c r="C68" s="115"/>
      <c r="D68" s="115"/>
      <c r="E68" s="115"/>
      <c r="F68" s="115"/>
      <c r="G68" s="115"/>
      <c r="H68" s="115"/>
      <c r="I68" s="115"/>
      <c r="J68" s="65">
        <f>SUM(J7:J67)</f>
        <v>367</v>
      </c>
      <c r="K68" s="66">
        <f>SUM(K7:K67)</f>
        <v>2351.3822800000007</v>
      </c>
      <c r="L68" s="67"/>
    </row>
    <row r="69" spans="1:12" s="59" customFormat="1" ht="20.100000000000001" customHeight="1" thickTop="1" thickBot="1" x14ac:dyDescent="0.35">
      <c r="A69" s="116" t="s">
        <v>52</v>
      </c>
      <c r="B69" s="117"/>
      <c r="C69" s="68"/>
      <c r="D69" s="118">
        <f>J68</f>
        <v>367</v>
      </c>
      <c r="E69" s="119"/>
      <c r="F69" s="119"/>
      <c r="G69" s="120"/>
      <c r="H69" s="121"/>
      <c r="I69" s="121"/>
      <c r="J69" s="122"/>
      <c r="K69" s="119"/>
      <c r="L69" s="123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71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72"/>
      <c r="F75" s="5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5"/>
      <c r="G76" s="73"/>
      <c r="H76" s="5"/>
      <c r="I76" s="74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72"/>
      <c r="I80" s="72"/>
      <c r="J80" s="5"/>
      <c r="K80" s="5"/>
      <c r="L80" s="5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A84" s="113"/>
      <c r="B84" s="113"/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5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19.5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ht="19.5" customHeight="1" x14ac:dyDescent="0.3"/>
    <row r="97" spans="2:12" ht="19.5" customHeight="1" x14ac:dyDescent="0.3"/>
    <row r="98" spans="2:12" ht="19.5" customHeight="1" x14ac:dyDescent="0.3"/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4:B7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8:I68"/>
    <mergeCell ref="A69:B69"/>
    <mergeCell ref="D69:G69"/>
    <mergeCell ref="H69:J69"/>
    <mergeCell ref="K69:L69"/>
    <mergeCell ref="A84:B84"/>
    <mergeCell ref="A85:B85"/>
    <mergeCell ref="A75:B75"/>
    <mergeCell ref="A76:B76"/>
    <mergeCell ref="A77:B77"/>
    <mergeCell ref="A79:B79"/>
    <mergeCell ref="A80:B80"/>
    <mergeCell ref="A81:B81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L179"/>
  <sheetViews>
    <sheetView view="pageBreakPreview" zoomScale="85" zoomScaleNormal="100" zoomScaleSheetLayoutView="85" workbookViewId="0">
      <selection activeCell="P26" sqref="P26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46196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7" si="0">(H7/1000*I7/1000)*J7</f>
        <v>0</v>
      </c>
      <c r="L7" s="26">
        <f>SUM(J7:J49)</f>
        <v>144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SUM(K7:K49)</f>
        <v>979.04648999999995</v>
      </c>
    </row>
    <row r="9" spans="1:12" s="27" customFormat="1" ht="19.5" customHeight="1" x14ac:dyDescent="0.3">
      <c r="A9" s="28" t="s">
        <v>5293</v>
      </c>
      <c r="B9" s="16" t="s">
        <v>1890</v>
      </c>
      <c r="C9" s="17">
        <v>28</v>
      </c>
      <c r="D9" s="18" t="s">
        <v>3001</v>
      </c>
      <c r="E9" s="41">
        <v>50</v>
      </c>
      <c r="F9" s="42">
        <v>113.5</v>
      </c>
      <c r="G9" s="34" t="s">
        <v>3176</v>
      </c>
      <c r="H9" s="35">
        <v>2438</v>
      </c>
      <c r="I9" s="36">
        <v>3048</v>
      </c>
      <c r="J9" s="37">
        <v>16</v>
      </c>
      <c r="K9" s="85">
        <f t="shared" si="0"/>
        <v>118.89638400000001</v>
      </c>
      <c r="L9" s="39" t="s">
        <v>5295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5296</v>
      </c>
      <c r="B11" s="16" t="s">
        <v>5297</v>
      </c>
      <c r="C11" s="17">
        <v>24</v>
      </c>
      <c r="D11" s="18" t="s">
        <v>5298</v>
      </c>
      <c r="E11" s="41">
        <v>17</v>
      </c>
      <c r="F11" s="42">
        <v>5.66</v>
      </c>
      <c r="G11" s="34" t="s">
        <v>5299</v>
      </c>
      <c r="H11" s="35">
        <v>2438</v>
      </c>
      <c r="I11" s="36">
        <v>3353</v>
      </c>
      <c r="J11" s="37">
        <v>1</v>
      </c>
      <c r="K11" s="85">
        <f t="shared" si="0"/>
        <v>8.174614</v>
      </c>
      <c r="L11" s="39" t="s">
        <v>5301</v>
      </c>
    </row>
    <row r="12" spans="1:12" s="27" customFormat="1" ht="19.5" customHeight="1" x14ac:dyDescent="0.3">
      <c r="A12" s="28" t="s">
        <v>5300</v>
      </c>
      <c r="B12" s="16" t="s">
        <v>5297</v>
      </c>
      <c r="C12" s="17">
        <v>24</v>
      </c>
      <c r="D12" s="18" t="s">
        <v>5298</v>
      </c>
      <c r="E12" s="41">
        <v>10</v>
      </c>
      <c r="F12" s="42">
        <v>3.2</v>
      </c>
      <c r="G12" s="34" t="s">
        <v>5299</v>
      </c>
      <c r="H12" s="35">
        <v>2134</v>
      </c>
      <c r="I12" s="36">
        <v>3048</v>
      </c>
      <c r="J12" s="37">
        <v>1</v>
      </c>
      <c r="K12" s="85">
        <f t="shared" si="0"/>
        <v>6.5044319999999995</v>
      </c>
      <c r="L12" s="39" t="s">
        <v>5301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 t="s">
        <v>5296</v>
      </c>
      <c r="B14" s="16" t="s">
        <v>5297</v>
      </c>
      <c r="C14" s="17">
        <v>24</v>
      </c>
      <c r="D14" s="18" t="s">
        <v>5298</v>
      </c>
      <c r="E14" s="41">
        <v>16</v>
      </c>
      <c r="F14" s="42">
        <v>4.7</v>
      </c>
      <c r="G14" s="34" t="s">
        <v>5302</v>
      </c>
      <c r="H14" s="35">
        <v>2438</v>
      </c>
      <c r="I14" s="36">
        <v>3353</v>
      </c>
      <c r="J14" s="37">
        <v>1</v>
      </c>
      <c r="K14" s="85">
        <f>(H14/1000*I14/1000)*J14</f>
        <v>8.174614</v>
      </c>
      <c r="L14" s="39" t="s">
        <v>5303</v>
      </c>
    </row>
    <row r="15" spans="1:12" s="27" customFormat="1" ht="19.5" customHeight="1" x14ac:dyDescent="0.3">
      <c r="A15" s="28" t="s">
        <v>5300</v>
      </c>
      <c r="B15" s="16" t="s">
        <v>5297</v>
      </c>
      <c r="C15" s="17">
        <v>24</v>
      </c>
      <c r="D15" s="18" t="s">
        <v>5298</v>
      </c>
      <c r="E15" s="41">
        <v>17</v>
      </c>
      <c r="F15" s="42">
        <v>4.76</v>
      </c>
      <c r="G15" s="34"/>
      <c r="H15" s="35"/>
      <c r="I15" s="36"/>
      <c r="J15" s="37"/>
      <c r="K15" s="85">
        <f>(H15/1000*I15/1000)*J15</f>
        <v>0</v>
      </c>
      <c r="L15" s="39" t="s">
        <v>5303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ref="K16:K17" si="1">(H16/1000*I16/1000)*J16</f>
        <v>0</v>
      </c>
      <c r="L16" s="39"/>
    </row>
    <row r="17" spans="1:12" s="27" customFormat="1" ht="19.5" customHeight="1" x14ac:dyDescent="0.3">
      <c r="A17" s="28" t="s">
        <v>5304</v>
      </c>
      <c r="B17" s="16" t="s">
        <v>4209</v>
      </c>
      <c r="C17" s="17">
        <v>24</v>
      </c>
      <c r="D17" s="18" t="s">
        <v>289</v>
      </c>
      <c r="E17" s="41">
        <v>45</v>
      </c>
      <c r="F17" s="42">
        <v>58.79</v>
      </c>
      <c r="G17" s="34" t="s">
        <v>5302</v>
      </c>
      <c r="H17" s="35">
        <v>2438</v>
      </c>
      <c r="I17" s="36">
        <v>3353</v>
      </c>
      <c r="J17" s="37">
        <v>6</v>
      </c>
      <c r="K17" s="85">
        <f t="shared" si="1"/>
        <v>49.047684000000004</v>
      </c>
      <c r="L17" s="39" t="s">
        <v>5306</v>
      </c>
    </row>
    <row r="18" spans="1:12" s="27" customFormat="1" ht="19.5" customHeight="1" x14ac:dyDescent="0.3">
      <c r="A18" s="28"/>
      <c r="B18" s="16"/>
      <c r="C18" s="17">
        <v>24</v>
      </c>
      <c r="D18" s="18" t="s">
        <v>5305</v>
      </c>
      <c r="E18" s="81">
        <v>32</v>
      </c>
      <c r="F18" s="82">
        <v>57.77</v>
      </c>
      <c r="G18" s="34" t="s">
        <v>5302</v>
      </c>
      <c r="H18" s="35">
        <v>1981</v>
      </c>
      <c r="I18" s="36">
        <v>3353</v>
      </c>
      <c r="J18" s="37">
        <v>12</v>
      </c>
      <c r="K18" s="85">
        <f t="shared" si="0"/>
        <v>79.707515999999998</v>
      </c>
      <c r="L18" s="39" t="s">
        <v>5306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85">
        <f t="shared" si="0"/>
        <v>0</v>
      </c>
      <c r="L19" s="39"/>
    </row>
    <row r="20" spans="1:12" s="27" customFormat="1" ht="19.5" customHeight="1" x14ac:dyDescent="0.3">
      <c r="A20" s="28" t="s">
        <v>5307</v>
      </c>
      <c r="B20" s="16" t="s">
        <v>5308</v>
      </c>
      <c r="C20" s="17">
        <v>24</v>
      </c>
      <c r="D20" s="18" t="s">
        <v>5309</v>
      </c>
      <c r="E20" s="41">
        <v>4</v>
      </c>
      <c r="F20" s="42">
        <v>3.85</v>
      </c>
      <c r="G20" s="34" t="s">
        <v>5310</v>
      </c>
      <c r="H20" s="35">
        <v>2438</v>
      </c>
      <c r="I20" s="36">
        <v>3353</v>
      </c>
      <c r="J20" s="37">
        <v>1</v>
      </c>
      <c r="K20" s="85">
        <f t="shared" si="0"/>
        <v>8.174614</v>
      </c>
      <c r="L20" s="39" t="s">
        <v>5312</v>
      </c>
    </row>
    <row r="21" spans="1:12" s="27" customFormat="1" ht="19.5" customHeight="1" x14ac:dyDescent="0.3">
      <c r="A21" s="28"/>
      <c r="B21" s="16"/>
      <c r="C21" s="17">
        <v>43</v>
      </c>
      <c r="D21" s="18" t="s">
        <v>5311</v>
      </c>
      <c r="E21" s="41">
        <v>2</v>
      </c>
      <c r="F21" s="42">
        <v>2.2000000000000002</v>
      </c>
      <c r="G21" s="34"/>
      <c r="H21" s="35"/>
      <c r="I21" s="36"/>
      <c r="J21" s="37"/>
      <c r="K21" s="85">
        <f t="shared" si="0"/>
        <v>0</v>
      </c>
      <c r="L21" s="39" t="s">
        <v>5312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95" t="s">
        <v>5280</v>
      </c>
      <c r="B23" s="29" t="s">
        <v>4209</v>
      </c>
      <c r="C23" s="30">
        <v>24</v>
      </c>
      <c r="D23" s="31" t="s">
        <v>5222</v>
      </c>
      <c r="E23" s="81">
        <v>32</v>
      </c>
      <c r="F23" s="82">
        <v>57.58</v>
      </c>
      <c r="G23" s="34" t="s">
        <v>5302</v>
      </c>
      <c r="H23" s="35">
        <v>1981</v>
      </c>
      <c r="I23" s="36">
        <v>3353</v>
      </c>
      <c r="J23" s="37">
        <v>8</v>
      </c>
      <c r="K23" s="25">
        <f t="shared" si="0"/>
        <v>53.138344000000004</v>
      </c>
      <c r="L23" s="39" t="s">
        <v>5306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 t="s">
        <v>5313</v>
      </c>
      <c r="B25" s="16" t="s">
        <v>5297</v>
      </c>
      <c r="C25" s="17">
        <v>22</v>
      </c>
      <c r="D25" s="18" t="s">
        <v>5314</v>
      </c>
      <c r="E25" s="41">
        <v>132</v>
      </c>
      <c r="F25" s="42">
        <v>76.38</v>
      </c>
      <c r="G25" s="34" t="s">
        <v>5315</v>
      </c>
      <c r="H25" s="35">
        <v>1981</v>
      </c>
      <c r="I25" s="36">
        <v>3353</v>
      </c>
      <c r="J25" s="37">
        <v>12</v>
      </c>
      <c r="K25" s="25">
        <f t="shared" si="0"/>
        <v>79.707515999999998</v>
      </c>
      <c r="L25" s="39"/>
    </row>
    <row r="26" spans="1:12" s="27" customFormat="1" ht="19.5" customHeight="1" x14ac:dyDescent="0.3">
      <c r="A26" s="28"/>
      <c r="B26" s="16"/>
      <c r="C26" s="17">
        <v>22</v>
      </c>
      <c r="D26" s="18" t="s">
        <v>45</v>
      </c>
      <c r="E26" s="41">
        <v>30</v>
      </c>
      <c r="F26" s="42">
        <v>8.4</v>
      </c>
      <c r="G26" s="34" t="s">
        <v>5316</v>
      </c>
      <c r="H26" s="35">
        <v>1981</v>
      </c>
      <c r="I26" s="36">
        <v>3353</v>
      </c>
      <c r="J26" s="37">
        <v>12</v>
      </c>
      <c r="K26" s="25">
        <f t="shared" si="0"/>
        <v>79.707515999999998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 t="s">
        <v>5317</v>
      </c>
      <c r="B28" s="16" t="s">
        <v>5318</v>
      </c>
      <c r="C28" s="17">
        <v>24</v>
      </c>
      <c r="D28" s="18" t="s">
        <v>5319</v>
      </c>
      <c r="E28" s="41">
        <v>1</v>
      </c>
      <c r="F28" s="42">
        <v>2.68</v>
      </c>
      <c r="G28" s="34" t="s">
        <v>5302</v>
      </c>
      <c r="H28" s="35">
        <v>1981</v>
      </c>
      <c r="I28" s="36">
        <v>3353</v>
      </c>
      <c r="J28" s="37">
        <v>1</v>
      </c>
      <c r="K28" s="25">
        <f t="shared" si="0"/>
        <v>6.6422930000000004</v>
      </c>
      <c r="L28" s="39" t="s">
        <v>5321</v>
      </c>
    </row>
    <row r="29" spans="1:12" s="27" customFormat="1" ht="19.5" customHeight="1" x14ac:dyDescent="0.3">
      <c r="A29" s="28" t="s">
        <v>5320</v>
      </c>
      <c r="B29" s="16" t="s">
        <v>5318</v>
      </c>
      <c r="C29" s="17">
        <v>24</v>
      </c>
      <c r="D29" s="18" t="s">
        <v>5319</v>
      </c>
      <c r="E29" s="41">
        <v>2</v>
      </c>
      <c r="F29" s="42">
        <v>1.17</v>
      </c>
      <c r="G29" s="34"/>
      <c r="H29" s="35"/>
      <c r="I29" s="36"/>
      <c r="J29" s="37"/>
      <c r="K29" s="25">
        <f t="shared" si="0"/>
        <v>0</v>
      </c>
      <c r="L29" s="39" t="s">
        <v>5321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 t="s">
        <v>5322</v>
      </c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 t="s">
        <v>5361</v>
      </c>
      <c r="B32" s="16" t="s">
        <v>5362</v>
      </c>
      <c r="C32" s="17">
        <v>43</v>
      </c>
      <c r="D32" s="18" t="s">
        <v>5363</v>
      </c>
      <c r="E32" s="41">
        <v>1</v>
      </c>
      <c r="F32" s="42">
        <v>1.7</v>
      </c>
      <c r="G32" s="34" t="s">
        <v>5365</v>
      </c>
      <c r="H32" s="35">
        <v>2134</v>
      </c>
      <c r="I32" s="36">
        <v>3353</v>
      </c>
      <c r="J32" s="37">
        <v>1</v>
      </c>
      <c r="K32" s="25">
        <f t="shared" ref="K32:K39" si="2">(H32/1000*I32/1000)*J32</f>
        <v>7.1553019999999998</v>
      </c>
      <c r="L32" s="39" t="s">
        <v>5366</v>
      </c>
    </row>
    <row r="33" spans="1:12" s="27" customFormat="1" ht="19.5" customHeight="1" x14ac:dyDescent="0.3">
      <c r="A33" s="28"/>
      <c r="B33" s="16"/>
      <c r="C33" s="17">
        <v>12</v>
      </c>
      <c r="D33" s="18" t="s">
        <v>5364</v>
      </c>
      <c r="E33" s="41">
        <v>1</v>
      </c>
      <c r="F33" s="42">
        <v>0.28000000000000003</v>
      </c>
      <c r="G33" s="34"/>
      <c r="H33" s="35"/>
      <c r="I33" s="36"/>
      <c r="J33" s="37"/>
      <c r="K33" s="25">
        <f t="shared" si="2"/>
        <v>0</v>
      </c>
      <c r="L33" s="39" t="s">
        <v>5367</v>
      </c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2"/>
        <v>0</v>
      </c>
      <c r="L34" s="39"/>
    </row>
    <row r="35" spans="1:12" s="27" customFormat="1" ht="19.5" customHeight="1" x14ac:dyDescent="0.3">
      <c r="A35" s="28" t="s">
        <v>5368</v>
      </c>
      <c r="B35" s="16" t="s">
        <v>5369</v>
      </c>
      <c r="C35" s="17">
        <v>24</v>
      </c>
      <c r="D35" s="18" t="s">
        <v>5370</v>
      </c>
      <c r="E35" s="41">
        <v>10</v>
      </c>
      <c r="F35" s="42">
        <v>28.7</v>
      </c>
      <c r="G35" s="34" t="s">
        <v>5371</v>
      </c>
      <c r="H35" s="35">
        <v>1981</v>
      </c>
      <c r="I35" s="36">
        <v>3048</v>
      </c>
      <c r="J35" s="37">
        <v>7</v>
      </c>
      <c r="K35" s="25">
        <f t="shared" si="2"/>
        <v>42.266616000000006</v>
      </c>
      <c r="L35" s="39" t="s">
        <v>5391</v>
      </c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2"/>
        <v>0</v>
      </c>
      <c r="L36" s="39"/>
    </row>
    <row r="37" spans="1:12" s="27" customFormat="1" ht="19.5" customHeight="1" x14ac:dyDescent="0.3">
      <c r="A37" s="28" t="s">
        <v>5372</v>
      </c>
      <c r="B37" s="16" t="s">
        <v>5373</v>
      </c>
      <c r="C37" s="17">
        <v>22</v>
      </c>
      <c r="D37" s="18" t="s">
        <v>5374</v>
      </c>
      <c r="E37" s="41">
        <v>6</v>
      </c>
      <c r="F37" s="42">
        <v>14.16</v>
      </c>
      <c r="G37" s="34" t="s">
        <v>5377</v>
      </c>
      <c r="H37" s="35">
        <v>1981</v>
      </c>
      <c r="I37" s="36">
        <v>3353</v>
      </c>
      <c r="J37" s="37">
        <v>5</v>
      </c>
      <c r="K37" s="25">
        <f t="shared" si="2"/>
        <v>33.211465000000004</v>
      </c>
      <c r="L37" s="39" t="s">
        <v>5380</v>
      </c>
    </row>
    <row r="38" spans="1:12" s="27" customFormat="1" ht="19.5" customHeight="1" x14ac:dyDescent="0.3">
      <c r="A38" s="28"/>
      <c r="B38" s="16"/>
      <c r="C38" s="17">
        <v>22</v>
      </c>
      <c r="D38" s="18" t="s">
        <v>5375</v>
      </c>
      <c r="E38" s="41">
        <v>6</v>
      </c>
      <c r="F38" s="42">
        <v>19.38</v>
      </c>
      <c r="G38" s="34" t="s">
        <v>5378</v>
      </c>
      <c r="H38" s="35">
        <v>1981</v>
      </c>
      <c r="I38" s="36">
        <v>3353</v>
      </c>
      <c r="J38" s="37">
        <v>16</v>
      </c>
      <c r="K38" s="25">
        <f t="shared" si="2"/>
        <v>106.27668800000001</v>
      </c>
      <c r="L38" s="39" t="s">
        <v>5381</v>
      </c>
    </row>
    <row r="39" spans="1:12" s="27" customFormat="1" ht="19.5" customHeight="1" x14ac:dyDescent="0.3">
      <c r="A39" s="28"/>
      <c r="B39" s="16"/>
      <c r="C39" s="17">
        <v>22</v>
      </c>
      <c r="D39" s="18" t="s">
        <v>5376</v>
      </c>
      <c r="E39" s="41">
        <v>144</v>
      </c>
      <c r="F39" s="42">
        <v>109.92</v>
      </c>
      <c r="G39" s="34" t="s">
        <v>216</v>
      </c>
      <c r="H39" s="35">
        <v>1981</v>
      </c>
      <c r="I39" s="36">
        <v>3353</v>
      </c>
      <c r="J39" s="37">
        <v>19</v>
      </c>
      <c r="K39" s="25">
        <f t="shared" si="2"/>
        <v>126.20356700000001</v>
      </c>
      <c r="L39" s="39" t="s">
        <v>5382</v>
      </c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ref="K40:K46" si="3">(H40/1000*I40/1000)*J40</f>
        <v>0</v>
      </c>
      <c r="L40" s="39"/>
    </row>
    <row r="41" spans="1:12" s="27" customFormat="1" ht="19.5" customHeight="1" x14ac:dyDescent="0.3">
      <c r="A41" s="28" t="s">
        <v>5379</v>
      </c>
      <c r="B41" s="16" t="s">
        <v>5373</v>
      </c>
      <c r="C41" s="17">
        <v>22</v>
      </c>
      <c r="D41" s="18" t="s">
        <v>5374</v>
      </c>
      <c r="E41" s="41">
        <v>12</v>
      </c>
      <c r="F41" s="42">
        <v>28.32</v>
      </c>
      <c r="G41" s="34" t="s">
        <v>5377</v>
      </c>
      <c r="H41" s="35">
        <v>1981</v>
      </c>
      <c r="I41" s="36">
        <v>3353</v>
      </c>
      <c r="J41" s="37">
        <v>7</v>
      </c>
      <c r="K41" s="25">
        <f t="shared" si="3"/>
        <v>46.496051000000001</v>
      </c>
      <c r="L41" s="39" t="s">
        <v>5380</v>
      </c>
    </row>
    <row r="42" spans="1:12" s="27" customFormat="1" ht="19.5" customHeight="1" x14ac:dyDescent="0.3">
      <c r="A42" s="28"/>
      <c r="B42" s="16"/>
      <c r="C42" s="17">
        <v>22</v>
      </c>
      <c r="D42" s="18" t="s">
        <v>5375</v>
      </c>
      <c r="E42" s="41">
        <v>6</v>
      </c>
      <c r="F42" s="42">
        <v>19.38</v>
      </c>
      <c r="G42" s="34" t="s">
        <v>216</v>
      </c>
      <c r="H42" s="35">
        <v>1981</v>
      </c>
      <c r="I42" s="36">
        <v>3353</v>
      </c>
      <c r="J42" s="37">
        <v>4</v>
      </c>
      <c r="K42" s="25">
        <f t="shared" si="3"/>
        <v>26.569172000000002</v>
      </c>
      <c r="L42" s="39" t="s">
        <v>5381</v>
      </c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3"/>
        <v>0</v>
      </c>
      <c r="L43" s="39"/>
    </row>
    <row r="44" spans="1:12" s="27" customFormat="1" ht="19.5" customHeight="1" x14ac:dyDescent="0.3">
      <c r="A44" s="28" t="s">
        <v>5383</v>
      </c>
      <c r="B44" s="16" t="s">
        <v>5373</v>
      </c>
      <c r="C44" s="17">
        <v>22</v>
      </c>
      <c r="D44" s="18" t="s">
        <v>5374</v>
      </c>
      <c r="E44" s="41">
        <v>12</v>
      </c>
      <c r="F44" s="42">
        <v>28.32</v>
      </c>
      <c r="G44" s="34" t="s">
        <v>5377</v>
      </c>
      <c r="H44" s="35">
        <v>1981</v>
      </c>
      <c r="I44" s="36">
        <v>3353</v>
      </c>
      <c r="J44" s="37">
        <v>9</v>
      </c>
      <c r="K44" s="25">
        <f t="shared" si="3"/>
        <v>59.780637000000006</v>
      </c>
      <c r="L44" s="39" t="s">
        <v>5380</v>
      </c>
    </row>
    <row r="45" spans="1:12" s="27" customFormat="1" ht="19.5" customHeight="1" x14ac:dyDescent="0.3">
      <c r="A45" s="28"/>
      <c r="B45" s="16"/>
      <c r="C45" s="17">
        <v>22</v>
      </c>
      <c r="D45" s="18" t="s">
        <v>5375</v>
      </c>
      <c r="E45" s="41">
        <v>6</v>
      </c>
      <c r="F45" s="42">
        <v>19.38</v>
      </c>
      <c r="G45" s="34" t="s">
        <v>216</v>
      </c>
      <c r="H45" s="35">
        <v>1981</v>
      </c>
      <c r="I45" s="36">
        <v>3353</v>
      </c>
      <c r="J45" s="37">
        <v>5</v>
      </c>
      <c r="K45" s="25">
        <f t="shared" si="3"/>
        <v>33.211465000000004</v>
      </c>
      <c r="L45" s="39" t="s">
        <v>5381</v>
      </c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/>
      <c r="H46" s="35"/>
      <c r="I46" s="36"/>
      <c r="J46" s="37"/>
      <c r="K46" s="25">
        <f t="shared" si="3"/>
        <v>0</v>
      </c>
      <c r="L46" s="39"/>
    </row>
    <row r="47" spans="1:12" s="27" customFormat="1" ht="19.5" customHeight="1" x14ac:dyDescent="0.3">
      <c r="A47" s="28"/>
      <c r="B47" s="16"/>
      <c r="C47" s="17"/>
      <c r="D47" s="18"/>
      <c r="E47" s="41"/>
      <c r="F47" s="42"/>
      <c r="G47" s="34"/>
      <c r="H47" s="35"/>
      <c r="I47" s="36"/>
      <c r="J47" s="37"/>
      <c r="K47" s="25">
        <f t="shared" si="0"/>
        <v>0</v>
      </c>
      <c r="L47" s="39"/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25">
        <f t="shared" si="0"/>
        <v>0</v>
      </c>
      <c r="L48" s="39"/>
    </row>
    <row r="49" spans="1:12" s="27" customFormat="1" ht="19.5" customHeight="1" x14ac:dyDescent="0.3">
      <c r="A49" s="28"/>
      <c r="B49" s="29"/>
      <c r="C49" s="30"/>
      <c r="D49" s="31"/>
      <c r="E49" s="41"/>
      <c r="F49" s="42"/>
      <c r="G49" s="43"/>
      <c r="H49" s="35"/>
      <c r="I49" s="36"/>
      <c r="J49" s="37"/>
      <c r="K49" s="25">
        <f t="shared" si="0"/>
        <v>0</v>
      </c>
      <c r="L49" s="39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5292</v>
      </c>
      <c r="B51" s="45" t="s">
        <v>306</v>
      </c>
      <c r="C51" s="46">
        <v>22</v>
      </c>
      <c r="D51" s="47" t="s">
        <v>320</v>
      </c>
      <c r="E51" s="48">
        <v>78</v>
      </c>
      <c r="F51" s="49">
        <v>66.959999999999994</v>
      </c>
      <c r="G51" s="50" t="s">
        <v>18</v>
      </c>
      <c r="H51" s="51">
        <v>1829</v>
      </c>
      <c r="I51" s="45">
        <v>3353</v>
      </c>
      <c r="J51" s="52">
        <v>12</v>
      </c>
      <c r="K51" s="53">
        <f t="shared" si="0"/>
        <v>73.591644000000002</v>
      </c>
      <c r="L51" s="54" t="s">
        <v>321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 t="s">
        <v>39</v>
      </c>
      <c r="H52" s="51">
        <v>1829</v>
      </c>
      <c r="I52" s="45">
        <v>3353</v>
      </c>
      <c r="J52" s="52">
        <v>12</v>
      </c>
      <c r="K52" s="53">
        <f t="shared" si="0"/>
        <v>73.591644000000002</v>
      </c>
      <c r="L52" s="54" t="s">
        <v>321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5323</v>
      </c>
      <c r="B54" s="45" t="s">
        <v>5324</v>
      </c>
      <c r="C54" s="46">
        <v>24</v>
      </c>
      <c r="D54" s="47" t="s">
        <v>5325</v>
      </c>
      <c r="E54" s="48">
        <v>38</v>
      </c>
      <c r="F54" s="49">
        <v>48.13</v>
      </c>
      <c r="G54" s="50" t="s">
        <v>5326</v>
      </c>
      <c r="H54" s="51">
        <v>2438</v>
      </c>
      <c r="I54" s="45">
        <v>3048</v>
      </c>
      <c r="J54" s="52">
        <v>7</v>
      </c>
      <c r="K54" s="53">
        <f t="shared" si="0"/>
        <v>52.017168000000005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 t="s">
        <v>5327</v>
      </c>
      <c r="H55" s="51">
        <v>2438</v>
      </c>
      <c r="I55" s="45">
        <v>3353</v>
      </c>
      <c r="J55" s="52">
        <v>7</v>
      </c>
      <c r="K55" s="53">
        <f t="shared" si="0"/>
        <v>57.222298000000002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5328</v>
      </c>
      <c r="B57" s="45" t="s">
        <v>5329</v>
      </c>
      <c r="C57" s="46">
        <v>24</v>
      </c>
      <c r="D57" s="47" t="s">
        <v>5330</v>
      </c>
      <c r="E57" s="48">
        <v>5</v>
      </c>
      <c r="F57" s="49">
        <v>17.899999999999999</v>
      </c>
      <c r="G57" s="50" t="s">
        <v>5302</v>
      </c>
      <c r="H57" s="51">
        <v>2134</v>
      </c>
      <c r="I57" s="45">
        <v>3048</v>
      </c>
      <c r="J57" s="52">
        <v>1</v>
      </c>
      <c r="K57" s="53">
        <f t="shared" si="0"/>
        <v>6.5044319999999995</v>
      </c>
      <c r="L57" s="54"/>
    </row>
    <row r="58" spans="1:12" s="55" customFormat="1" ht="19.5" customHeight="1" x14ac:dyDescent="0.3">
      <c r="A58" s="44"/>
      <c r="B58" s="45"/>
      <c r="C58" s="46">
        <v>24</v>
      </c>
      <c r="D58" s="47" t="s">
        <v>5331</v>
      </c>
      <c r="E58" s="48">
        <v>1</v>
      </c>
      <c r="F58" s="49">
        <v>4.9000000000000004</v>
      </c>
      <c r="G58" s="50" t="s">
        <v>5332</v>
      </c>
      <c r="H58" s="51">
        <v>1829</v>
      </c>
      <c r="I58" s="45">
        <v>3353</v>
      </c>
      <c r="J58" s="52">
        <v>5</v>
      </c>
      <c r="K58" s="53">
        <f t="shared" si="0"/>
        <v>30.663184999999999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5333</v>
      </c>
      <c r="B60" s="45" t="s">
        <v>5334</v>
      </c>
      <c r="C60" s="46">
        <v>24</v>
      </c>
      <c r="D60" s="47" t="s">
        <v>5335</v>
      </c>
      <c r="E60" s="48">
        <v>3</v>
      </c>
      <c r="F60" s="49">
        <v>4.1500000000000004</v>
      </c>
      <c r="G60" s="50" t="s">
        <v>5302</v>
      </c>
      <c r="H60" s="51">
        <v>1981</v>
      </c>
      <c r="I60" s="45">
        <v>3353</v>
      </c>
      <c r="J60" s="52">
        <v>1</v>
      </c>
      <c r="K60" s="53">
        <f t="shared" si="0"/>
        <v>6.6422930000000004</v>
      </c>
      <c r="L60" s="54" t="s">
        <v>5340</v>
      </c>
    </row>
    <row r="61" spans="1:12" s="55" customFormat="1" ht="19.5" customHeight="1" x14ac:dyDescent="0.3">
      <c r="A61" s="44" t="s">
        <v>5336</v>
      </c>
      <c r="B61" s="45" t="s">
        <v>5337</v>
      </c>
      <c r="C61" s="46">
        <v>39</v>
      </c>
      <c r="D61" s="47" t="s">
        <v>5338</v>
      </c>
      <c r="E61" s="48">
        <v>19</v>
      </c>
      <c r="F61" s="49">
        <v>48.35</v>
      </c>
      <c r="G61" s="50" t="s">
        <v>5339</v>
      </c>
      <c r="H61" s="51">
        <v>3048</v>
      </c>
      <c r="I61" s="45">
        <v>3658</v>
      </c>
      <c r="J61" s="52">
        <v>3</v>
      </c>
      <c r="K61" s="53">
        <f t="shared" si="0"/>
        <v>33.448751999999999</v>
      </c>
      <c r="L61" s="54" t="s">
        <v>5341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 t="s">
        <v>5339</v>
      </c>
      <c r="H62" s="51">
        <v>2438</v>
      </c>
      <c r="I62" s="45">
        <v>3353</v>
      </c>
      <c r="J62" s="52">
        <v>6</v>
      </c>
      <c r="K62" s="53">
        <f t="shared" si="0"/>
        <v>49.047684000000004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5342</v>
      </c>
      <c r="B64" s="45" t="s">
        <v>5343</v>
      </c>
      <c r="C64" s="46">
        <v>22</v>
      </c>
      <c r="D64" s="47" t="s">
        <v>5344</v>
      </c>
      <c r="E64" s="48">
        <v>1</v>
      </c>
      <c r="F64" s="49">
        <v>2.5299999999999998</v>
      </c>
      <c r="G64" s="50" t="s">
        <v>5302</v>
      </c>
      <c r="H64" s="51">
        <v>1981</v>
      </c>
      <c r="I64" s="45">
        <v>3353</v>
      </c>
      <c r="J64" s="52">
        <v>1</v>
      </c>
      <c r="K64" s="53">
        <f t="shared" si="0"/>
        <v>6.6422930000000004</v>
      </c>
      <c r="L64" s="54" t="s">
        <v>5345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5346</v>
      </c>
      <c r="B66" s="45" t="s">
        <v>5347</v>
      </c>
      <c r="C66" s="46">
        <v>24</v>
      </c>
      <c r="D66" s="47" t="s">
        <v>5348</v>
      </c>
      <c r="E66" s="48">
        <v>2</v>
      </c>
      <c r="F66" s="49">
        <v>2.12</v>
      </c>
      <c r="G66" s="50" t="s">
        <v>5349</v>
      </c>
      <c r="H66" s="51">
        <v>2134</v>
      </c>
      <c r="I66" s="45">
        <v>3353</v>
      </c>
      <c r="J66" s="52">
        <v>1</v>
      </c>
      <c r="K66" s="53">
        <f t="shared" si="0"/>
        <v>7.1553019999999998</v>
      </c>
      <c r="L66" s="54" t="s">
        <v>5350</v>
      </c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 t="s">
        <v>5351</v>
      </c>
      <c r="B68" s="45" t="s">
        <v>5352</v>
      </c>
      <c r="C68" s="46">
        <v>24</v>
      </c>
      <c r="D68" s="47" t="s">
        <v>5353</v>
      </c>
      <c r="E68" s="48">
        <v>14</v>
      </c>
      <c r="F68" s="49">
        <v>39.54</v>
      </c>
      <c r="G68" s="50" t="s">
        <v>5355</v>
      </c>
      <c r="H68" s="51">
        <v>1981</v>
      </c>
      <c r="I68" s="45">
        <v>3048</v>
      </c>
      <c r="J68" s="52">
        <v>9</v>
      </c>
      <c r="K68" s="53">
        <f t="shared" si="0"/>
        <v>54.34279200000001</v>
      </c>
      <c r="L68" s="54"/>
    </row>
    <row r="69" spans="1:12" s="55" customFormat="1" ht="19.5" customHeight="1" x14ac:dyDescent="0.3">
      <c r="A69" s="44"/>
      <c r="B69" s="45"/>
      <c r="C69" s="46">
        <v>24</v>
      </c>
      <c r="D69" s="47" t="s">
        <v>5354</v>
      </c>
      <c r="E69" s="48">
        <v>4</v>
      </c>
      <c r="F69" s="49">
        <v>7.61</v>
      </c>
      <c r="G69" s="50" t="s">
        <v>5356</v>
      </c>
      <c r="H69" s="51">
        <v>1981</v>
      </c>
      <c r="I69" s="45">
        <v>3353</v>
      </c>
      <c r="J69" s="52">
        <v>9</v>
      </c>
      <c r="K69" s="53">
        <f t="shared" si="0"/>
        <v>59.780637000000006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5357</v>
      </c>
      <c r="B71" s="45" t="s">
        <v>5324</v>
      </c>
      <c r="C71" s="46">
        <v>26</v>
      </c>
      <c r="D71" s="47" t="s">
        <v>5358</v>
      </c>
      <c r="E71" s="48">
        <v>2</v>
      </c>
      <c r="F71" s="49">
        <v>11.98</v>
      </c>
      <c r="G71" s="50" t="s">
        <v>5339</v>
      </c>
      <c r="H71" s="51">
        <v>3048</v>
      </c>
      <c r="I71" s="45">
        <v>3658</v>
      </c>
      <c r="J71" s="52">
        <v>13</v>
      </c>
      <c r="K71" s="53">
        <f t="shared" si="0"/>
        <v>144.944592</v>
      </c>
      <c r="L71" s="54" t="s">
        <v>5360</v>
      </c>
    </row>
    <row r="72" spans="1:12" s="55" customFormat="1" ht="19.5" customHeight="1" x14ac:dyDescent="0.3">
      <c r="A72" s="44"/>
      <c r="B72" s="45"/>
      <c r="C72" s="46">
        <v>26</v>
      </c>
      <c r="D72" s="47" t="s">
        <v>5359</v>
      </c>
      <c r="E72" s="48">
        <v>72</v>
      </c>
      <c r="F72" s="49">
        <v>141.41999999999999</v>
      </c>
      <c r="G72" s="50" t="s">
        <v>5339</v>
      </c>
      <c r="H72" s="51">
        <v>2438</v>
      </c>
      <c r="I72" s="45">
        <v>3353</v>
      </c>
      <c r="J72" s="52">
        <v>9</v>
      </c>
      <c r="K72" s="53">
        <f t="shared" si="0"/>
        <v>73.571526000000006</v>
      </c>
      <c r="L72" s="54" t="s">
        <v>5360</v>
      </c>
    </row>
    <row r="73" spans="1:12" s="55" customFormat="1" ht="19.5" customHeight="1" x14ac:dyDescent="0.3">
      <c r="A73" s="44"/>
      <c r="B73" s="45"/>
      <c r="C73" s="46">
        <v>26</v>
      </c>
      <c r="D73" s="47" t="s">
        <v>5335</v>
      </c>
      <c r="E73" s="48">
        <v>15</v>
      </c>
      <c r="F73" s="49">
        <v>45.75</v>
      </c>
      <c r="G73" s="50"/>
      <c r="H73" s="51"/>
      <c r="I73" s="45"/>
      <c r="J73" s="52"/>
      <c r="K73" s="53">
        <f t="shared" si="0"/>
        <v>0</v>
      </c>
      <c r="L73" s="54" t="s">
        <v>5360</v>
      </c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 t="s">
        <v>5322</v>
      </c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 t="s">
        <v>5384</v>
      </c>
      <c r="B76" s="45" t="s">
        <v>5385</v>
      </c>
      <c r="C76" s="46">
        <v>26</v>
      </c>
      <c r="D76" s="47" t="s">
        <v>5358</v>
      </c>
      <c r="E76" s="48">
        <v>2</v>
      </c>
      <c r="F76" s="49">
        <v>11.98</v>
      </c>
      <c r="G76" s="50" t="s">
        <v>5378</v>
      </c>
      <c r="H76" s="51">
        <v>3048</v>
      </c>
      <c r="I76" s="45">
        <v>3658</v>
      </c>
      <c r="J76" s="52">
        <v>14</v>
      </c>
      <c r="K76" s="53">
        <f t="shared" ref="K76:K82" si="4">(H76/1000*I76/1000)*J76</f>
        <v>156.094176</v>
      </c>
      <c r="L76" s="54" t="s">
        <v>5386</v>
      </c>
    </row>
    <row r="77" spans="1:12" s="55" customFormat="1" ht="19.5" customHeight="1" x14ac:dyDescent="0.3">
      <c r="A77" s="44"/>
      <c r="B77" s="45"/>
      <c r="C77" s="46">
        <v>26</v>
      </c>
      <c r="D77" s="47" t="s">
        <v>2564</v>
      </c>
      <c r="E77" s="48">
        <v>72</v>
      </c>
      <c r="F77" s="49">
        <v>141.41999999999999</v>
      </c>
      <c r="G77" s="50" t="s">
        <v>5378</v>
      </c>
      <c r="H77" s="51">
        <v>2438</v>
      </c>
      <c r="I77" s="45">
        <v>3048</v>
      </c>
      <c r="J77" s="52">
        <v>9</v>
      </c>
      <c r="K77" s="53">
        <f t="shared" si="4"/>
        <v>66.879216000000014</v>
      </c>
      <c r="L77" s="54" t="s">
        <v>5386</v>
      </c>
    </row>
    <row r="78" spans="1:12" s="55" customFormat="1" ht="19.5" customHeight="1" x14ac:dyDescent="0.3">
      <c r="A78" s="44"/>
      <c r="B78" s="45"/>
      <c r="C78" s="46">
        <v>26</v>
      </c>
      <c r="D78" s="47" t="s">
        <v>55</v>
      </c>
      <c r="E78" s="48">
        <v>15</v>
      </c>
      <c r="F78" s="49">
        <v>45.75</v>
      </c>
      <c r="G78" s="50"/>
      <c r="H78" s="51"/>
      <c r="I78" s="45"/>
      <c r="J78" s="52"/>
      <c r="K78" s="53">
        <f t="shared" si="4"/>
        <v>0</v>
      </c>
      <c r="L78" s="54" t="s">
        <v>5386</v>
      </c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/>
      <c r="H79" s="51"/>
      <c r="I79" s="45"/>
      <c r="J79" s="52"/>
      <c r="K79" s="53">
        <f t="shared" si="4"/>
        <v>0</v>
      </c>
      <c r="L79" s="54"/>
    </row>
    <row r="80" spans="1:12" s="55" customFormat="1" ht="19.5" customHeight="1" x14ac:dyDescent="0.3">
      <c r="A80" s="44" t="s">
        <v>5387</v>
      </c>
      <c r="B80" s="45" t="s">
        <v>306</v>
      </c>
      <c r="C80" s="46">
        <v>22</v>
      </c>
      <c r="D80" s="47" t="s">
        <v>307</v>
      </c>
      <c r="E80" s="48">
        <v>80</v>
      </c>
      <c r="F80" s="49">
        <v>67.52</v>
      </c>
      <c r="G80" s="50" t="s">
        <v>49</v>
      </c>
      <c r="H80" s="51">
        <v>1829</v>
      </c>
      <c r="I80" s="45">
        <v>3353</v>
      </c>
      <c r="J80" s="52">
        <v>12</v>
      </c>
      <c r="K80" s="53">
        <f t="shared" si="4"/>
        <v>73.591644000000002</v>
      </c>
      <c r="L80" s="54" t="s">
        <v>321</v>
      </c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 t="s">
        <v>39</v>
      </c>
      <c r="H81" s="51">
        <v>1829</v>
      </c>
      <c r="I81" s="45">
        <v>3353</v>
      </c>
      <c r="J81" s="52">
        <v>12</v>
      </c>
      <c r="K81" s="53">
        <f t="shared" si="4"/>
        <v>73.591644000000002</v>
      </c>
      <c r="L81" s="54" t="s">
        <v>321</v>
      </c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4"/>
        <v>0</v>
      </c>
      <c r="L82" s="54"/>
    </row>
    <row r="83" spans="1:12" s="55" customFormat="1" ht="19.5" customHeight="1" x14ac:dyDescent="0.3">
      <c r="A83" s="44"/>
      <c r="B83" s="45"/>
      <c r="C83" s="46"/>
      <c r="D83" s="47"/>
      <c r="E83" s="48"/>
      <c r="F83" s="49"/>
      <c r="G83" s="50"/>
      <c r="H83" s="51"/>
      <c r="I83" s="45"/>
      <c r="J83" s="52"/>
      <c r="K83" s="53">
        <f t="shared" si="0"/>
        <v>0</v>
      </c>
      <c r="L83" s="54"/>
    </row>
    <row r="84" spans="1:12" s="55" customFormat="1" ht="19.5" customHeight="1" x14ac:dyDescent="0.3">
      <c r="A84" s="44"/>
      <c r="B84" s="45"/>
      <c r="C84" s="46"/>
      <c r="D84" s="47"/>
      <c r="E84" s="48"/>
      <c r="F84" s="49"/>
      <c r="G84" s="50"/>
      <c r="H84" s="51"/>
      <c r="I84" s="45"/>
      <c r="J84" s="52"/>
      <c r="K84" s="53">
        <f t="shared" si="0"/>
        <v>0</v>
      </c>
      <c r="L84" s="54"/>
    </row>
    <row r="85" spans="1:12" s="55" customFormat="1" ht="19.5" customHeight="1" x14ac:dyDescent="0.3">
      <c r="A85" s="44"/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9" customFormat="1" ht="20.100000000000001" customHeight="1" x14ac:dyDescent="0.3">
      <c r="A86" s="44"/>
      <c r="B86" s="45"/>
      <c r="C86" s="46"/>
      <c r="D86" s="47"/>
      <c r="E86" s="56"/>
      <c r="F86" s="57"/>
      <c r="G86" s="50"/>
      <c r="H86" s="51"/>
      <c r="I86" s="45"/>
      <c r="J86" s="52"/>
      <c r="K86" s="53">
        <f t="shared" si="0"/>
        <v>0</v>
      </c>
      <c r="L86" s="58">
        <f>SUM(J50:J87)</f>
        <v>143</v>
      </c>
    </row>
    <row r="87" spans="1:12" s="59" customFormat="1" ht="20.100000000000001" customHeight="1" x14ac:dyDescent="0.3">
      <c r="A87" s="44"/>
      <c r="B87" s="45"/>
      <c r="C87" s="46"/>
      <c r="D87" s="47"/>
      <c r="E87" s="60"/>
      <c r="F87" s="61"/>
      <c r="G87" s="62"/>
      <c r="H87" s="51"/>
      <c r="I87" s="45"/>
      <c r="J87" s="63"/>
      <c r="K87" s="53">
        <f t="shared" si="0"/>
        <v>0</v>
      </c>
      <c r="L87" s="64">
        <f>SUM(K50:K87)</f>
        <v>1099.3229220000003</v>
      </c>
    </row>
    <row r="88" spans="1:12" s="59" customFormat="1" ht="20.100000000000001" customHeight="1" thickBot="1" x14ac:dyDescent="0.35">
      <c r="A88" s="114"/>
      <c r="B88" s="115"/>
      <c r="C88" s="115"/>
      <c r="D88" s="115"/>
      <c r="E88" s="115"/>
      <c r="F88" s="115"/>
      <c r="G88" s="115"/>
      <c r="H88" s="115"/>
      <c r="I88" s="115"/>
      <c r="J88" s="65">
        <f>SUM(J7:J87)</f>
        <v>287</v>
      </c>
      <c r="K88" s="66">
        <f>SUM(K7:K87)</f>
        <v>2078.3694120000005</v>
      </c>
      <c r="L88" s="67"/>
    </row>
    <row r="89" spans="1:12" s="59" customFormat="1" ht="20.100000000000001" customHeight="1" thickTop="1" thickBot="1" x14ac:dyDescent="0.35">
      <c r="A89" s="116" t="s">
        <v>52</v>
      </c>
      <c r="B89" s="117"/>
      <c r="C89" s="68"/>
      <c r="D89" s="118">
        <f>J88</f>
        <v>287</v>
      </c>
      <c r="E89" s="119"/>
      <c r="F89" s="119"/>
      <c r="G89" s="120"/>
      <c r="H89" s="121"/>
      <c r="I89" s="121"/>
      <c r="J89" s="122"/>
      <c r="K89" s="119"/>
      <c r="L89" s="123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71"/>
    </row>
    <row r="91" spans="1:12" s="59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113"/>
      <c r="B95" s="113"/>
      <c r="C95" s="5"/>
      <c r="D95" s="5"/>
      <c r="E95" s="72"/>
      <c r="F95" s="5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5"/>
      <c r="G96" s="73"/>
      <c r="H96" s="5"/>
      <c r="I96" s="74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113"/>
      <c r="B99" s="113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113"/>
      <c r="B100" s="113"/>
      <c r="C100" s="5"/>
      <c r="D100" s="5"/>
      <c r="E100" s="5"/>
      <c r="F100" s="70"/>
      <c r="G100" s="5"/>
      <c r="H100" s="72"/>
      <c r="I100" s="72"/>
      <c r="J100" s="5"/>
      <c r="K100" s="5"/>
      <c r="L100" s="5"/>
    </row>
    <row r="101" spans="1:12" ht="20.100000000000001" customHeight="1" x14ac:dyDescent="0.3">
      <c r="A101" s="113"/>
      <c r="B101" s="113"/>
      <c r="H101" s="72"/>
      <c r="I101" s="72"/>
    </row>
    <row r="102" spans="1:12" ht="20.100000000000001" customHeight="1" x14ac:dyDescent="0.3"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A104" s="113"/>
      <c r="B104" s="113"/>
      <c r="H104" s="72"/>
      <c r="I104" s="72"/>
    </row>
    <row r="105" spans="1:12" ht="20.100000000000001" customHeight="1" x14ac:dyDescent="0.3">
      <c r="A105" s="113"/>
      <c r="B105" s="113"/>
      <c r="H105" s="72"/>
      <c r="I105" s="72"/>
    </row>
    <row r="106" spans="1:12" ht="20.100000000000001" customHeight="1" x14ac:dyDescent="0.3">
      <c r="H106" s="72"/>
      <c r="I106" s="72"/>
    </row>
    <row r="107" spans="1:12" ht="20.100000000000001" customHeight="1" x14ac:dyDescent="0.3">
      <c r="H107" s="72"/>
      <c r="I107" s="72"/>
    </row>
    <row r="108" spans="1:12" ht="20.100000000000001" customHeight="1" x14ac:dyDescent="0.3">
      <c r="H108" s="72"/>
      <c r="I108" s="72"/>
    </row>
    <row r="109" spans="1:12" s="72" customFormat="1" ht="20.100000000000001" customHeight="1" x14ac:dyDescent="0.3">
      <c r="A109" s="69"/>
      <c r="B109" s="5"/>
      <c r="C109" s="5"/>
      <c r="D109" s="5"/>
      <c r="E109" s="5"/>
      <c r="F109" s="70"/>
      <c r="G109" s="5"/>
      <c r="J109" s="5"/>
      <c r="K109" s="5"/>
      <c r="L109" s="5"/>
    </row>
    <row r="110" spans="1:12" s="72" customFormat="1" ht="20.100000000000001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5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5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75" customFormat="1" ht="19.5" customHeight="1" x14ac:dyDescent="0.3">
      <c r="A113" s="69"/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72" customFormat="1" ht="20.100000000000001" customHeight="1" x14ac:dyDescent="0.3">
      <c r="A114" s="69"/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1:12" s="72" customFormat="1" ht="20.100000000000001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ht="19.5" customHeight="1" x14ac:dyDescent="0.3"/>
    <row r="117" spans="1:12" ht="19.5" customHeight="1" x14ac:dyDescent="0.3"/>
    <row r="118" spans="1:12" ht="19.5" customHeight="1" x14ac:dyDescent="0.3"/>
    <row r="119" spans="1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</sheetData>
  <mergeCells count="30">
    <mergeCell ref="A104:B104"/>
    <mergeCell ref="A105:B105"/>
    <mergeCell ref="A95:B95"/>
    <mergeCell ref="A96:B96"/>
    <mergeCell ref="A97:B97"/>
    <mergeCell ref="A99:B99"/>
    <mergeCell ref="A100:B100"/>
    <mergeCell ref="A101:B101"/>
    <mergeCell ref="A94:B9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8:I88"/>
    <mergeCell ref="A89:B89"/>
    <mergeCell ref="D89:G89"/>
    <mergeCell ref="H89:J89"/>
    <mergeCell ref="K89:L89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L160"/>
  <sheetViews>
    <sheetView view="pageBreakPreview" topLeftCell="A22" zoomScale="85" zoomScaleNormal="100" zoomScaleSheetLayoutView="85" workbookViewId="0">
      <selection activeCell="L28" sqref="L2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46195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8" si="0">(H7/1000*I7/1000)*J7</f>
        <v>0</v>
      </c>
      <c r="L7" s="26">
        <f>SUM(J7:J36)</f>
        <v>155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SUM(K7:K36)</f>
        <v>1146.0118109999999</v>
      </c>
    </row>
    <row r="9" spans="1:12" s="27" customFormat="1" ht="19.5" customHeight="1" x14ac:dyDescent="0.3">
      <c r="A9" s="28" t="s">
        <v>5245</v>
      </c>
      <c r="B9" s="16" t="s">
        <v>5246</v>
      </c>
      <c r="C9" s="17">
        <v>22</v>
      </c>
      <c r="D9" s="18" t="s">
        <v>5247</v>
      </c>
      <c r="E9" s="41">
        <v>3</v>
      </c>
      <c r="F9" s="42">
        <v>9.69</v>
      </c>
      <c r="G9" s="34" t="s">
        <v>5248</v>
      </c>
      <c r="H9" s="35">
        <v>1981</v>
      </c>
      <c r="I9" s="36">
        <v>3353</v>
      </c>
      <c r="J9" s="37">
        <v>2</v>
      </c>
      <c r="K9" s="85">
        <f t="shared" si="0"/>
        <v>13.284586000000001</v>
      </c>
      <c r="L9" s="39" t="s">
        <v>5249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5250</v>
      </c>
      <c r="B11" s="16" t="s">
        <v>5251</v>
      </c>
      <c r="C11" s="17">
        <v>28</v>
      </c>
      <c r="D11" s="18" t="s">
        <v>5252</v>
      </c>
      <c r="E11" s="41">
        <v>75</v>
      </c>
      <c r="F11" s="42">
        <v>169.11</v>
      </c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/>
      <c r="B12" s="16"/>
      <c r="C12" s="17">
        <v>28</v>
      </c>
      <c r="D12" s="18" t="s">
        <v>5253</v>
      </c>
      <c r="E12" s="41">
        <v>93</v>
      </c>
      <c r="F12" s="42">
        <v>73.45</v>
      </c>
      <c r="G12" s="34"/>
      <c r="H12" s="35"/>
      <c r="I12" s="36"/>
      <c r="J12" s="37"/>
      <c r="K12" s="85">
        <f t="shared" si="0"/>
        <v>0</v>
      </c>
      <c r="L12" s="39"/>
    </row>
    <row r="13" spans="1:12" s="27" customFormat="1" ht="19.5" customHeight="1" x14ac:dyDescent="0.3">
      <c r="A13" s="28"/>
      <c r="B13" s="16"/>
      <c r="C13" s="17">
        <v>28</v>
      </c>
      <c r="D13" s="18" t="s">
        <v>5252</v>
      </c>
      <c r="E13" s="41">
        <v>124</v>
      </c>
      <c r="F13" s="42">
        <v>256.02</v>
      </c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>(H14/1000*I14/1000)*J14</f>
        <v>0</v>
      </c>
      <c r="L14" s="39"/>
    </row>
    <row r="15" spans="1:12" s="27" customFormat="1" ht="19.5" customHeight="1" x14ac:dyDescent="0.3">
      <c r="A15" s="28" t="s">
        <v>4887</v>
      </c>
      <c r="B15" s="16" t="s">
        <v>1890</v>
      </c>
      <c r="C15" s="17">
        <v>28</v>
      </c>
      <c r="D15" s="18" t="s">
        <v>3001</v>
      </c>
      <c r="E15" s="41">
        <f>75-56</f>
        <v>19</v>
      </c>
      <c r="F15" s="42">
        <f>169.11-134.22</f>
        <v>34.890000000000015</v>
      </c>
      <c r="G15" s="34" t="s">
        <v>189</v>
      </c>
      <c r="H15" s="35">
        <v>1981</v>
      </c>
      <c r="I15" s="36">
        <v>3353</v>
      </c>
      <c r="J15" s="37">
        <v>5</v>
      </c>
      <c r="K15" s="85">
        <f>(H15/1000*I15/1000)*J15</f>
        <v>33.211465000000004</v>
      </c>
      <c r="L15" s="39" t="s">
        <v>5254</v>
      </c>
    </row>
    <row r="16" spans="1:12" s="27" customFormat="1" ht="19.5" customHeight="1" x14ac:dyDescent="0.3">
      <c r="A16" s="28"/>
      <c r="B16" s="16"/>
      <c r="C16" s="17">
        <v>28</v>
      </c>
      <c r="D16" s="18" t="s">
        <v>3007</v>
      </c>
      <c r="E16" s="41">
        <f>93-24</f>
        <v>69</v>
      </c>
      <c r="F16" s="42">
        <f>73.45-20.64</f>
        <v>52.81</v>
      </c>
      <c r="G16" s="34" t="s">
        <v>189</v>
      </c>
      <c r="H16" s="35">
        <v>2438</v>
      </c>
      <c r="I16" s="36">
        <v>3353</v>
      </c>
      <c r="J16" s="37">
        <v>42</v>
      </c>
      <c r="K16" s="85">
        <f t="shared" ref="K16:K17" si="1">(H16/1000*I16/1000)*J16</f>
        <v>343.33378800000003</v>
      </c>
      <c r="L16" s="39" t="s">
        <v>5255</v>
      </c>
    </row>
    <row r="17" spans="1:12" s="27" customFormat="1" ht="19.5" customHeight="1" x14ac:dyDescent="0.3">
      <c r="A17" s="28"/>
      <c r="B17" s="16"/>
      <c r="C17" s="17">
        <v>28</v>
      </c>
      <c r="D17" s="18" t="s">
        <v>3001</v>
      </c>
      <c r="E17" s="41">
        <f>124-50</f>
        <v>74</v>
      </c>
      <c r="F17" s="42">
        <f>256.02-113.5</f>
        <v>142.51999999999998</v>
      </c>
      <c r="G17" s="34"/>
      <c r="H17" s="35"/>
      <c r="I17" s="36"/>
      <c r="J17" s="37"/>
      <c r="K17" s="85">
        <f t="shared" si="1"/>
        <v>0</v>
      </c>
      <c r="L17" s="39" t="s">
        <v>5256</v>
      </c>
    </row>
    <row r="18" spans="1:12" s="27" customFormat="1" ht="19.5" customHeight="1" x14ac:dyDescent="0.3">
      <c r="A18" s="28" t="s">
        <v>5258</v>
      </c>
      <c r="B18" s="16" t="s">
        <v>1890</v>
      </c>
      <c r="C18" s="17">
        <v>28</v>
      </c>
      <c r="D18" s="18" t="s">
        <v>3001</v>
      </c>
      <c r="E18" s="41">
        <v>2</v>
      </c>
      <c r="F18" s="42">
        <v>0.77</v>
      </c>
      <c r="G18" s="34"/>
      <c r="H18" s="35"/>
      <c r="I18" s="36"/>
      <c r="J18" s="37"/>
      <c r="K18" s="85">
        <f t="shared" si="0"/>
        <v>0</v>
      </c>
      <c r="L18" s="39" t="s">
        <v>5257</v>
      </c>
    </row>
    <row r="19" spans="1:12" s="27" customFormat="1" ht="19.5" customHeight="1" x14ac:dyDescent="0.3">
      <c r="A19" s="28"/>
      <c r="B19" s="16"/>
      <c r="C19" s="17">
        <v>28</v>
      </c>
      <c r="D19" s="18" t="s">
        <v>3007</v>
      </c>
      <c r="E19" s="41">
        <v>2</v>
      </c>
      <c r="F19" s="42">
        <v>2.14</v>
      </c>
      <c r="G19" s="34"/>
      <c r="H19" s="35"/>
      <c r="I19" s="36"/>
      <c r="J19" s="37"/>
      <c r="K19" s="85">
        <f t="shared" si="0"/>
        <v>0</v>
      </c>
      <c r="L19" s="39" t="s">
        <v>5257</v>
      </c>
    </row>
    <row r="20" spans="1:12" s="27" customFormat="1" ht="19.5" customHeight="1" x14ac:dyDescent="0.3">
      <c r="A20" s="28"/>
      <c r="B20" s="16"/>
      <c r="C20" s="17">
        <v>28</v>
      </c>
      <c r="D20" s="18" t="s">
        <v>3001</v>
      </c>
      <c r="E20" s="41">
        <v>28</v>
      </c>
      <c r="F20" s="42">
        <v>55.81</v>
      </c>
      <c r="G20" s="34"/>
      <c r="H20" s="35"/>
      <c r="I20" s="36"/>
      <c r="J20" s="37"/>
      <c r="K20" s="85">
        <f t="shared" si="0"/>
        <v>0</v>
      </c>
      <c r="L20" s="39" t="s">
        <v>5257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0"/>
        <v>0</v>
      </c>
      <c r="L21" s="39"/>
    </row>
    <row r="22" spans="1:12" s="27" customFormat="1" ht="19.5" customHeight="1" x14ac:dyDescent="0.3">
      <c r="A22" s="28" t="s">
        <v>5259</v>
      </c>
      <c r="B22" s="16" t="s">
        <v>1890</v>
      </c>
      <c r="C22" s="17">
        <v>28</v>
      </c>
      <c r="D22" s="18" t="s">
        <v>3001</v>
      </c>
      <c r="E22" s="41">
        <v>100</v>
      </c>
      <c r="F22" s="42">
        <v>226.56</v>
      </c>
      <c r="G22" s="34" t="s">
        <v>189</v>
      </c>
      <c r="H22" s="35">
        <v>1981</v>
      </c>
      <c r="I22" s="36">
        <v>3353</v>
      </c>
      <c r="J22" s="37">
        <v>61</v>
      </c>
      <c r="K22" s="85">
        <f t="shared" si="0"/>
        <v>405.17987300000004</v>
      </c>
      <c r="L22" s="39" t="s">
        <v>5260</v>
      </c>
    </row>
    <row r="23" spans="1:12" s="27" customFormat="1" ht="19.5" customHeight="1" x14ac:dyDescent="0.3">
      <c r="A23" s="28"/>
      <c r="B23" s="16"/>
      <c r="C23" s="17">
        <v>28</v>
      </c>
      <c r="D23" s="18" t="s">
        <v>3007</v>
      </c>
      <c r="E23" s="41">
        <v>100</v>
      </c>
      <c r="F23" s="42">
        <v>86.5</v>
      </c>
      <c r="G23" s="34"/>
      <c r="H23" s="35"/>
      <c r="I23" s="36"/>
      <c r="J23" s="37"/>
      <c r="K23" s="25">
        <f t="shared" si="0"/>
        <v>0</v>
      </c>
      <c r="L23" s="39" t="s">
        <v>5282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 t="s">
        <v>5261</v>
      </c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 t="s">
        <v>5281</v>
      </c>
      <c r="B26" s="16" t="s">
        <v>1890</v>
      </c>
      <c r="C26" s="17">
        <v>28</v>
      </c>
      <c r="D26" s="18" t="s">
        <v>3001</v>
      </c>
      <c r="E26" s="41">
        <v>50</v>
      </c>
      <c r="F26" s="42">
        <v>113.5</v>
      </c>
      <c r="G26" s="34" t="s">
        <v>189</v>
      </c>
      <c r="H26" s="35">
        <v>1981</v>
      </c>
      <c r="I26" s="36">
        <v>3353</v>
      </c>
      <c r="J26" s="37">
        <v>7</v>
      </c>
      <c r="K26" s="25">
        <f t="shared" si="0"/>
        <v>46.496051000000001</v>
      </c>
      <c r="L26" s="39" t="s">
        <v>5283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 t="s">
        <v>189</v>
      </c>
      <c r="H27" s="35">
        <v>2438</v>
      </c>
      <c r="I27" s="36">
        <v>3353</v>
      </c>
      <c r="J27" s="37">
        <v>13</v>
      </c>
      <c r="K27" s="25">
        <f t="shared" ref="K27:K33" si="2">(H27/1000*I27/1000)*J27</f>
        <v>106.269982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2"/>
        <v>0</v>
      </c>
      <c r="L28" s="39"/>
    </row>
    <row r="29" spans="1:12" s="27" customFormat="1" ht="19.5" customHeight="1" x14ac:dyDescent="0.3">
      <c r="A29" s="28" t="s">
        <v>5284</v>
      </c>
      <c r="B29" s="16" t="s">
        <v>5285</v>
      </c>
      <c r="C29" s="17">
        <v>24</v>
      </c>
      <c r="D29" s="18" t="s">
        <v>5286</v>
      </c>
      <c r="E29" s="41">
        <v>45</v>
      </c>
      <c r="F29" s="42">
        <v>58.79</v>
      </c>
      <c r="G29" s="34" t="s">
        <v>5287</v>
      </c>
      <c r="H29" s="35">
        <v>2438</v>
      </c>
      <c r="I29" s="36">
        <v>3353</v>
      </c>
      <c r="J29" s="37">
        <v>7</v>
      </c>
      <c r="K29" s="25">
        <f t="shared" si="2"/>
        <v>57.222298000000002</v>
      </c>
      <c r="L29" s="39" t="s">
        <v>5288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2"/>
        <v>0</v>
      </c>
      <c r="L30" s="39"/>
    </row>
    <row r="31" spans="1:12" s="27" customFormat="1" ht="19.5" customHeight="1" x14ac:dyDescent="0.3">
      <c r="A31" s="28" t="s">
        <v>5289</v>
      </c>
      <c r="B31" s="16" t="s">
        <v>5285</v>
      </c>
      <c r="C31" s="17">
        <v>24</v>
      </c>
      <c r="D31" s="18" t="s">
        <v>5286</v>
      </c>
      <c r="E31" s="41">
        <v>43</v>
      </c>
      <c r="F31" s="42">
        <v>58.29</v>
      </c>
      <c r="G31" s="34" t="s">
        <v>5287</v>
      </c>
      <c r="H31" s="35">
        <v>2438</v>
      </c>
      <c r="I31" s="36">
        <v>3353</v>
      </c>
      <c r="J31" s="37">
        <v>8</v>
      </c>
      <c r="K31" s="25">
        <f t="shared" si="2"/>
        <v>65.396912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 t="s">
        <v>5290</v>
      </c>
      <c r="H32" s="35">
        <v>2438</v>
      </c>
      <c r="I32" s="36">
        <v>3353</v>
      </c>
      <c r="J32" s="37">
        <v>6</v>
      </c>
      <c r="K32" s="25">
        <f t="shared" si="2"/>
        <v>49.047684000000004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 t="s">
        <v>5290</v>
      </c>
      <c r="H33" s="35">
        <v>1981</v>
      </c>
      <c r="I33" s="36">
        <v>3353</v>
      </c>
      <c r="J33" s="37">
        <v>4</v>
      </c>
      <c r="K33" s="25">
        <f t="shared" si="2"/>
        <v>26.569172000000002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29"/>
      <c r="C36" s="30"/>
      <c r="D36" s="31"/>
      <c r="E36" s="41"/>
      <c r="F36" s="42"/>
      <c r="G36" s="43"/>
      <c r="H36" s="35"/>
      <c r="I36" s="36"/>
      <c r="J36" s="37"/>
      <c r="K36" s="25">
        <f t="shared" si="0"/>
        <v>0</v>
      </c>
      <c r="L36" s="39"/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5262</v>
      </c>
      <c r="B38" s="45" t="s">
        <v>5263</v>
      </c>
      <c r="C38" s="46">
        <v>22</v>
      </c>
      <c r="D38" s="47" t="s">
        <v>307</v>
      </c>
      <c r="E38" s="48">
        <v>64</v>
      </c>
      <c r="F38" s="49">
        <v>48.72</v>
      </c>
      <c r="G38" s="50" t="s">
        <v>5264</v>
      </c>
      <c r="H38" s="51">
        <v>1829</v>
      </c>
      <c r="I38" s="45">
        <v>3353</v>
      </c>
      <c r="J38" s="52">
        <v>8</v>
      </c>
      <c r="K38" s="53">
        <f t="shared" si="0"/>
        <v>49.061095999999999</v>
      </c>
      <c r="L38" s="54" t="s">
        <v>5267</v>
      </c>
    </row>
    <row r="39" spans="1:12" s="55" customFormat="1" ht="19.5" customHeight="1" x14ac:dyDescent="0.3">
      <c r="A39" s="44"/>
      <c r="B39" s="45"/>
      <c r="C39" s="46">
        <v>22</v>
      </c>
      <c r="D39" s="47" t="s">
        <v>320</v>
      </c>
      <c r="E39" s="48">
        <v>64</v>
      </c>
      <c r="F39" s="49">
        <v>48.72</v>
      </c>
      <c r="G39" s="50" t="s">
        <v>5265</v>
      </c>
      <c r="H39" s="51">
        <v>1829</v>
      </c>
      <c r="I39" s="45">
        <v>3353</v>
      </c>
      <c r="J39" s="52">
        <v>8</v>
      </c>
      <c r="K39" s="53">
        <f t="shared" si="0"/>
        <v>49.061095999999999</v>
      </c>
      <c r="L39" s="54" t="s">
        <v>5267</v>
      </c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 t="s">
        <v>5266</v>
      </c>
      <c r="H40" s="51">
        <v>1829</v>
      </c>
      <c r="I40" s="45">
        <v>3353</v>
      </c>
      <c r="J40" s="52">
        <v>17</v>
      </c>
      <c r="K40" s="53">
        <f t="shared" si="0"/>
        <v>104.254829</v>
      </c>
      <c r="L40" s="54" t="s">
        <v>5267</v>
      </c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5268</v>
      </c>
      <c r="B42" s="45" t="s">
        <v>5269</v>
      </c>
      <c r="C42" s="46">
        <v>24</v>
      </c>
      <c r="D42" s="47" t="s">
        <v>5270</v>
      </c>
      <c r="E42" s="48">
        <v>5</v>
      </c>
      <c r="F42" s="49">
        <v>4.2</v>
      </c>
      <c r="G42" s="50" t="s">
        <v>5271</v>
      </c>
      <c r="H42" s="51">
        <v>2438</v>
      </c>
      <c r="I42" s="45">
        <v>3353</v>
      </c>
      <c r="J42" s="52">
        <v>1</v>
      </c>
      <c r="K42" s="53">
        <f t="shared" si="0"/>
        <v>8.174614</v>
      </c>
      <c r="L42" s="54" t="s">
        <v>5249</v>
      </c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5268</v>
      </c>
      <c r="B44" s="45" t="s">
        <v>5269</v>
      </c>
      <c r="C44" s="46">
        <v>24</v>
      </c>
      <c r="D44" s="47" t="s">
        <v>5270</v>
      </c>
      <c r="E44" s="48">
        <v>1</v>
      </c>
      <c r="F44" s="49">
        <v>0.56000000000000005</v>
      </c>
      <c r="G44" s="50"/>
      <c r="H44" s="51"/>
      <c r="I44" s="45"/>
      <c r="J44" s="52"/>
      <c r="K44" s="53">
        <f t="shared" si="0"/>
        <v>0</v>
      </c>
      <c r="L44" s="54" t="s">
        <v>5272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5273</v>
      </c>
      <c r="B46" s="45" t="s">
        <v>5263</v>
      </c>
      <c r="C46" s="46">
        <v>22</v>
      </c>
      <c r="D46" s="47" t="s">
        <v>307</v>
      </c>
      <c r="E46" s="48">
        <v>164</v>
      </c>
      <c r="F46" s="49">
        <v>126.44</v>
      </c>
      <c r="G46" s="50" t="s">
        <v>5266</v>
      </c>
      <c r="H46" s="51">
        <v>1829</v>
      </c>
      <c r="I46" s="45">
        <v>3353</v>
      </c>
      <c r="J46" s="52">
        <v>19</v>
      </c>
      <c r="K46" s="53">
        <f t="shared" si="0"/>
        <v>116.52010299999999</v>
      </c>
      <c r="L46" s="54" t="s">
        <v>5274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5275</v>
      </c>
      <c r="B48" s="45" t="s">
        <v>5276</v>
      </c>
      <c r="C48" s="46">
        <v>24</v>
      </c>
      <c r="D48" s="47" t="s">
        <v>5222</v>
      </c>
      <c r="E48" s="48">
        <v>32</v>
      </c>
      <c r="F48" s="49">
        <v>57.77</v>
      </c>
      <c r="G48" s="50" t="s">
        <v>5278</v>
      </c>
      <c r="H48" s="51">
        <v>2438</v>
      </c>
      <c r="I48" s="45">
        <v>3353</v>
      </c>
      <c r="J48" s="52">
        <v>1</v>
      </c>
      <c r="K48" s="53">
        <f t="shared" si="0"/>
        <v>8.174614</v>
      </c>
      <c r="L48" s="54" t="s">
        <v>5279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5278</v>
      </c>
      <c r="H49" s="51">
        <v>2134</v>
      </c>
      <c r="I49" s="45">
        <v>3353</v>
      </c>
      <c r="J49" s="52">
        <v>5</v>
      </c>
      <c r="K49" s="53">
        <f t="shared" si="0"/>
        <v>35.776510000000002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 t="s">
        <v>5278</v>
      </c>
      <c r="H50" s="51">
        <v>1981</v>
      </c>
      <c r="I50" s="45">
        <v>3353</v>
      </c>
      <c r="J50" s="52">
        <v>5</v>
      </c>
      <c r="K50" s="53">
        <f t="shared" si="0"/>
        <v>33.211465000000004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5280</v>
      </c>
      <c r="B52" s="45" t="s">
        <v>5276</v>
      </c>
      <c r="C52" s="46">
        <v>24</v>
      </c>
      <c r="D52" s="47" t="s">
        <v>5277</v>
      </c>
      <c r="E52" s="48">
        <v>32</v>
      </c>
      <c r="F52" s="49">
        <v>57.58</v>
      </c>
      <c r="G52" s="50" t="s">
        <v>5278</v>
      </c>
      <c r="H52" s="51">
        <v>2438</v>
      </c>
      <c r="I52" s="45">
        <v>3353</v>
      </c>
      <c r="J52" s="52">
        <v>2</v>
      </c>
      <c r="K52" s="53">
        <f t="shared" si="0"/>
        <v>16.349228</v>
      </c>
      <c r="L52" s="54" t="s">
        <v>5279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 t="s">
        <v>5278</v>
      </c>
      <c r="H53" s="51">
        <v>1981</v>
      </c>
      <c r="I53" s="45">
        <v>3353</v>
      </c>
      <c r="J53" s="52">
        <v>9</v>
      </c>
      <c r="K53" s="53">
        <f t="shared" si="0"/>
        <v>59.780637000000006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5261</v>
      </c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5291</v>
      </c>
      <c r="B56" s="45" t="s">
        <v>306</v>
      </c>
      <c r="C56" s="46">
        <v>22</v>
      </c>
      <c r="D56" s="47" t="s">
        <v>307</v>
      </c>
      <c r="E56" s="48">
        <v>90</v>
      </c>
      <c r="F56" s="49">
        <v>71.040000000000006</v>
      </c>
      <c r="G56" s="50" t="s">
        <v>49</v>
      </c>
      <c r="H56" s="51">
        <v>1829</v>
      </c>
      <c r="I56" s="45">
        <v>3353</v>
      </c>
      <c r="J56" s="52">
        <v>12</v>
      </c>
      <c r="K56" s="53">
        <f t="shared" si="0"/>
        <v>73.591644000000002</v>
      </c>
      <c r="L56" s="54" t="s">
        <v>321</v>
      </c>
    </row>
    <row r="57" spans="1:12" s="55" customFormat="1" ht="19.5" customHeight="1" x14ac:dyDescent="0.3">
      <c r="A57" s="44"/>
      <c r="B57" s="45"/>
      <c r="C57" s="46">
        <v>22</v>
      </c>
      <c r="D57" s="47" t="s">
        <v>320</v>
      </c>
      <c r="E57" s="48">
        <v>90</v>
      </c>
      <c r="F57" s="49">
        <v>71.040000000000006</v>
      </c>
      <c r="G57" s="50" t="s">
        <v>18</v>
      </c>
      <c r="H57" s="51">
        <v>1829</v>
      </c>
      <c r="I57" s="45">
        <v>3353</v>
      </c>
      <c r="J57" s="52">
        <v>12</v>
      </c>
      <c r="K57" s="53">
        <f t="shared" si="0"/>
        <v>73.591644000000002</v>
      </c>
      <c r="L57" s="54" t="s">
        <v>321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 t="s">
        <v>39</v>
      </c>
      <c r="H58" s="51">
        <v>1829</v>
      </c>
      <c r="I58" s="45">
        <v>3353</v>
      </c>
      <c r="J58" s="52">
        <v>25</v>
      </c>
      <c r="K58" s="53">
        <f t="shared" si="0"/>
        <v>153.31592499999999</v>
      </c>
      <c r="L58" s="54" t="s">
        <v>321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5292</v>
      </c>
      <c r="B60" s="45" t="s">
        <v>306</v>
      </c>
      <c r="C60" s="46">
        <v>22</v>
      </c>
      <c r="D60" s="47" t="s">
        <v>307</v>
      </c>
      <c r="E60" s="48">
        <v>78</v>
      </c>
      <c r="F60" s="49">
        <v>66.959999999999994</v>
      </c>
      <c r="G60" s="50" t="s">
        <v>49</v>
      </c>
      <c r="H60" s="51">
        <v>1829</v>
      </c>
      <c r="I60" s="45">
        <v>3353</v>
      </c>
      <c r="J60" s="52">
        <v>12</v>
      </c>
      <c r="K60" s="53">
        <f t="shared" si="0"/>
        <v>73.591644000000002</v>
      </c>
      <c r="L60" s="54" t="s">
        <v>321</v>
      </c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 t="s">
        <v>39</v>
      </c>
      <c r="H61" s="51">
        <v>1829</v>
      </c>
      <c r="I61" s="45">
        <v>3353</v>
      </c>
      <c r="J61" s="52">
        <v>12</v>
      </c>
      <c r="K61" s="53">
        <f t="shared" si="0"/>
        <v>73.591644000000002</v>
      </c>
      <c r="L61" s="54" t="s">
        <v>321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9" customFormat="1" ht="20.100000000000001" customHeight="1" x14ac:dyDescent="0.3">
      <c r="A67" s="44"/>
      <c r="B67" s="45"/>
      <c r="C67" s="46"/>
      <c r="D67" s="47"/>
      <c r="E67" s="56"/>
      <c r="F67" s="57"/>
      <c r="G67" s="50"/>
      <c r="H67" s="51"/>
      <c r="I67" s="45"/>
      <c r="J67" s="52"/>
      <c r="K67" s="53">
        <f t="shared" si="0"/>
        <v>0</v>
      </c>
      <c r="L67" s="58">
        <f>SUM(J37:J68)</f>
        <v>148</v>
      </c>
    </row>
    <row r="68" spans="1:12" s="59" customFormat="1" ht="20.100000000000001" customHeight="1" x14ac:dyDescent="0.3">
      <c r="A68" s="44"/>
      <c r="B68" s="45"/>
      <c r="C68" s="46"/>
      <c r="D68" s="47"/>
      <c r="E68" s="60"/>
      <c r="F68" s="61"/>
      <c r="G68" s="62"/>
      <c r="H68" s="51"/>
      <c r="I68" s="45"/>
      <c r="J68" s="63"/>
      <c r="K68" s="53">
        <f t="shared" si="0"/>
        <v>0</v>
      </c>
      <c r="L68" s="64">
        <f>SUM(K37:K68)</f>
        <v>928.04669299999989</v>
      </c>
    </row>
    <row r="69" spans="1:12" s="59" customFormat="1" ht="20.100000000000001" customHeight="1" thickBot="1" x14ac:dyDescent="0.35">
      <c r="A69" s="114"/>
      <c r="B69" s="115"/>
      <c r="C69" s="115"/>
      <c r="D69" s="115"/>
      <c r="E69" s="115"/>
      <c r="F69" s="115"/>
      <c r="G69" s="115"/>
      <c r="H69" s="115"/>
      <c r="I69" s="115"/>
      <c r="J69" s="65">
        <f>SUM(J7:J68)</f>
        <v>303</v>
      </c>
      <c r="K69" s="66">
        <f>SUM(K7:K68)</f>
        <v>2074.0585040000001</v>
      </c>
      <c r="L69" s="67"/>
    </row>
    <row r="70" spans="1:12" s="59" customFormat="1" ht="20.100000000000001" customHeight="1" thickTop="1" thickBot="1" x14ac:dyDescent="0.35">
      <c r="A70" s="116" t="s">
        <v>52</v>
      </c>
      <c r="B70" s="117"/>
      <c r="C70" s="68"/>
      <c r="D70" s="118">
        <f>J69</f>
        <v>303</v>
      </c>
      <c r="E70" s="119"/>
      <c r="F70" s="119"/>
      <c r="G70" s="120"/>
      <c r="H70" s="121"/>
      <c r="I70" s="121"/>
      <c r="J70" s="122"/>
      <c r="K70" s="119"/>
      <c r="L70" s="123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71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72"/>
      <c r="F76" s="5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5"/>
      <c r="G77" s="73"/>
      <c r="H77" s="5"/>
      <c r="I77" s="74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72"/>
      <c r="I81" s="72"/>
      <c r="J81" s="5"/>
      <c r="K81" s="5"/>
      <c r="L81" s="5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H89" s="72"/>
      <c r="I89" s="72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5" customFormat="1" ht="19.5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ht="19.5" customHeight="1" x14ac:dyDescent="0.3"/>
    <row r="98" spans="2:12" ht="19.5" customHeight="1" x14ac:dyDescent="0.3"/>
    <row r="99" spans="2:12" ht="19.5" customHeight="1" x14ac:dyDescent="0.3"/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5:B7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9:I69"/>
    <mergeCell ref="A70:B70"/>
    <mergeCell ref="D70:G70"/>
    <mergeCell ref="H70:J70"/>
    <mergeCell ref="K70:L70"/>
    <mergeCell ref="A85:B85"/>
    <mergeCell ref="A86:B86"/>
    <mergeCell ref="A76:B76"/>
    <mergeCell ref="A77:B77"/>
    <mergeCell ref="A78:B78"/>
    <mergeCell ref="A80:B80"/>
    <mergeCell ref="A81:B81"/>
    <mergeCell ref="A82:B82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O194"/>
  <sheetViews>
    <sheetView view="pageBreakPreview" topLeftCell="A4" zoomScale="85" zoomScaleNormal="100" zoomScaleSheetLayoutView="85" workbookViewId="0">
      <selection activeCell="J14" sqref="J1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5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5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5" ht="20.100000000000001" customHeight="1" thickBot="1" x14ac:dyDescent="0.35">
      <c r="A3" s="144" t="s">
        <v>1</v>
      </c>
      <c r="B3" s="145"/>
      <c r="C3" s="146">
        <v>46193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5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5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5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5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102" si="0">(H7/1000*I7/1000)*J7</f>
        <v>0</v>
      </c>
      <c r="L7" s="26">
        <f>SUM(J7:J34)</f>
        <v>80</v>
      </c>
    </row>
    <row r="8" spans="1:15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SUM(K7:K34)</f>
        <v>588.07931700000006</v>
      </c>
    </row>
    <row r="9" spans="1:15" s="27" customFormat="1" ht="19.5" customHeight="1" x14ac:dyDescent="0.3">
      <c r="A9" s="28" t="s">
        <v>5227</v>
      </c>
      <c r="B9" s="16" t="s">
        <v>1213</v>
      </c>
      <c r="C9" s="17">
        <v>5</v>
      </c>
      <c r="D9" s="18" t="s">
        <v>699</v>
      </c>
      <c r="E9" s="41">
        <v>192</v>
      </c>
      <c r="F9" s="42">
        <v>100.8</v>
      </c>
      <c r="G9" s="34" t="s">
        <v>80</v>
      </c>
      <c r="H9" s="35">
        <v>2438</v>
      </c>
      <c r="I9" s="36">
        <v>3353</v>
      </c>
      <c r="J9" s="37">
        <v>13</v>
      </c>
      <c r="K9" s="85">
        <f t="shared" si="0"/>
        <v>106.269982</v>
      </c>
      <c r="L9" s="39"/>
      <c r="M9" s="27">
        <v>1</v>
      </c>
      <c r="N9" s="91">
        <f>F9</f>
        <v>100.8</v>
      </c>
      <c r="O9" s="27">
        <f>N9*M9</f>
        <v>100.8</v>
      </c>
    </row>
    <row r="10" spans="1:15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  <c r="N10" s="91">
        <f t="shared" ref="N10:N42" si="1">F10</f>
        <v>0</v>
      </c>
      <c r="O10" s="27">
        <f t="shared" ref="O10:O42" si="2">N10*M10</f>
        <v>0</v>
      </c>
    </row>
    <row r="11" spans="1:15" s="27" customFormat="1" ht="19.5" customHeight="1" x14ac:dyDescent="0.3">
      <c r="A11" s="28" t="s">
        <v>5237</v>
      </c>
      <c r="B11" s="16" t="s">
        <v>1213</v>
      </c>
      <c r="C11" s="17">
        <v>5</v>
      </c>
      <c r="D11" s="18" t="s">
        <v>699</v>
      </c>
      <c r="E11" s="41">
        <v>166</v>
      </c>
      <c r="F11" s="42">
        <v>87.61</v>
      </c>
      <c r="G11" s="34" t="s">
        <v>80</v>
      </c>
      <c r="H11" s="35">
        <v>2438</v>
      </c>
      <c r="I11" s="36">
        <v>3353</v>
      </c>
      <c r="J11" s="37">
        <v>11</v>
      </c>
      <c r="K11" s="85">
        <f t="shared" si="0"/>
        <v>89.920754000000002</v>
      </c>
      <c r="L11" s="39"/>
      <c r="M11" s="27">
        <v>1</v>
      </c>
      <c r="N11" s="91">
        <f t="shared" si="1"/>
        <v>87.61</v>
      </c>
      <c r="O11" s="27">
        <f t="shared" si="2"/>
        <v>87.61</v>
      </c>
    </row>
    <row r="12" spans="1:15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>
        <f t="shared" si="0"/>
        <v>0</v>
      </c>
      <c r="L12" s="39"/>
      <c r="N12" s="91">
        <f t="shared" si="1"/>
        <v>0</v>
      </c>
      <c r="O12" s="27">
        <f t="shared" si="2"/>
        <v>0</v>
      </c>
    </row>
    <row r="13" spans="1:15" s="27" customFormat="1" ht="19.5" customHeight="1" x14ac:dyDescent="0.3">
      <c r="A13" s="28" t="s">
        <v>5238</v>
      </c>
      <c r="B13" s="16" t="s">
        <v>1213</v>
      </c>
      <c r="C13" s="17">
        <v>5</v>
      </c>
      <c r="D13" s="18" t="s">
        <v>699</v>
      </c>
      <c r="E13" s="41">
        <v>208</v>
      </c>
      <c r="F13" s="42">
        <v>105.1</v>
      </c>
      <c r="G13" s="34" t="s">
        <v>80</v>
      </c>
      <c r="H13" s="35">
        <v>2438</v>
      </c>
      <c r="I13" s="36">
        <v>3353</v>
      </c>
      <c r="J13" s="37">
        <v>13</v>
      </c>
      <c r="K13" s="85">
        <f t="shared" si="0"/>
        <v>106.269982</v>
      </c>
      <c r="L13" s="39"/>
      <c r="M13" s="27">
        <v>1</v>
      </c>
      <c r="N13" s="91">
        <f t="shared" si="1"/>
        <v>105.1</v>
      </c>
      <c r="O13" s="27">
        <f t="shared" si="2"/>
        <v>105.1</v>
      </c>
    </row>
    <row r="14" spans="1:15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>(H14/1000*I14/1000)*J14</f>
        <v>0</v>
      </c>
      <c r="L14" s="39"/>
      <c r="N14" s="91">
        <f t="shared" si="1"/>
        <v>0</v>
      </c>
      <c r="O14" s="27">
        <f t="shared" si="2"/>
        <v>0</v>
      </c>
    </row>
    <row r="15" spans="1:15" s="27" customFormat="1" ht="19.5" customHeight="1" x14ac:dyDescent="0.3">
      <c r="A15" s="28" t="s">
        <v>4887</v>
      </c>
      <c r="B15" s="16" t="s">
        <v>1890</v>
      </c>
      <c r="C15" s="17">
        <v>28</v>
      </c>
      <c r="D15" s="18" t="s">
        <v>3001</v>
      </c>
      <c r="E15" s="41">
        <f>19+37</f>
        <v>56</v>
      </c>
      <c r="F15" s="42">
        <f>45.79+88.43</f>
        <v>134.22</v>
      </c>
      <c r="G15" s="34" t="s">
        <v>540</v>
      </c>
      <c r="H15" s="35">
        <v>1981</v>
      </c>
      <c r="I15" s="36">
        <v>3353</v>
      </c>
      <c r="J15" s="37">
        <v>43</v>
      </c>
      <c r="K15" s="85">
        <f>(H15/1000*I15/1000)*J15</f>
        <v>285.61859900000002</v>
      </c>
      <c r="L15" s="39" t="s">
        <v>5241</v>
      </c>
      <c r="M15" s="27">
        <v>1</v>
      </c>
      <c r="N15" s="91">
        <f t="shared" si="1"/>
        <v>134.22</v>
      </c>
      <c r="O15" s="27">
        <f t="shared" si="2"/>
        <v>134.22</v>
      </c>
    </row>
    <row r="16" spans="1:15" s="27" customFormat="1" ht="19.5" customHeight="1" x14ac:dyDescent="0.3">
      <c r="A16" s="28"/>
      <c r="B16" s="16"/>
      <c r="C16" s="17">
        <v>28</v>
      </c>
      <c r="D16" s="18" t="s">
        <v>3007</v>
      </c>
      <c r="E16" s="41">
        <v>24</v>
      </c>
      <c r="F16" s="42">
        <v>20.64</v>
      </c>
      <c r="G16" s="34"/>
      <c r="H16" s="35"/>
      <c r="I16" s="36"/>
      <c r="J16" s="37"/>
      <c r="K16" s="85">
        <f t="shared" si="0"/>
        <v>0</v>
      </c>
      <c r="L16" s="39"/>
      <c r="M16" s="27">
        <v>1</v>
      </c>
      <c r="N16" s="91">
        <f t="shared" si="1"/>
        <v>20.64</v>
      </c>
      <c r="O16" s="27">
        <f t="shared" si="2"/>
        <v>20.64</v>
      </c>
    </row>
    <row r="17" spans="1:15" s="27" customFormat="1" ht="19.5" customHeight="1" x14ac:dyDescent="0.3">
      <c r="A17" s="28"/>
      <c r="B17" s="16"/>
      <c r="C17" s="17">
        <v>28</v>
      </c>
      <c r="D17" s="18" t="s">
        <v>3001</v>
      </c>
      <c r="E17" s="41">
        <v>50</v>
      </c>
      <c r="F17" s="42">
        <v>113.5</v>
      </c>
      <c r="G17" s="34"/>
      <c r="H17" s="35"/>
      <c r="I17" s="36"/>
      <c r="J17" s="37"/>
      <c r="K17" s="85">
        <f t="shared" si="0"/>
        <v>0</v>
      </c>
      <c r="L17" s="39"/>
      <c r="M17" s="27">
        <v>1</v>
      </c>
      <c r="N17" s="91">
        <f t="shared" si="1"/>
        <v>113.5</v>
      </c>
      <c r="O17" s="27">
        <f t="shared" si="2"/>
        <v>113.5</v>
      </c>
    </row>
    <row r="18" spans="1:15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  <c r="N18" s="91"/>
      <c r="O18" s="27">
        <f>SUM(O9:O17)</f>
        <v>561.87</v>
      </c>
    </row>
    <row r="19" spans="1:15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85">
        <f t="shared" si="0"/>
        <v>0</v>
      </c>
      <c r="L19" s="39"/>
      <c r="N19" s="91"/>
      <c r="O19" s="92">
        <f>1-(O18/L8)</f>
        <v>4.4567656508824438E-2</v>
      </c>
    </row>
    <row r="20" spans="1:15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  <c r="N20" s="91"/>
    </row>
    <row r="21" spans="1:15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0"/>
        <v>0</v>
      </c>
      <c r="L21" s="39"/>
      <c r="N21" s="91"/>
    </row>
    <row r="22" spans="1:15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  <c r="N22" s="91"/>
    </row>
    <row r="23" spans="1:15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0"/>
        <v>0</v>
      </c>
      <c r="L23" s="39"/>
      <c r="N23" s="91"/>
    </row>
    <row r="24" spans="1:15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  <c r="N24" s="91"/>
    </row>
    <row r="25" spans="1:15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  <c r="N25" s="91"/>
    </row>
    <row r="26" spans="1:15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  <c r="N26" s="91"/>
    </row>
    <row r="27" spans="1:15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  <c r="N27" s="91"/>
    </row>
    <row r="28" spans="1:15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  <c r="N28" s="91"/>
    </row>
    <row r="29" spans="1:15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  <c r="N29" s="91"/>
    </row>
    <row r="30" spans="1:15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  <c r="N30" s="91"/>
    </row>
    <row r="31" spans="1:15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  <c r="N31" s="91"/>
    </row>
    <row r="32" spans="1:15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  <c r="N32" s="91"/>
    </row>
    <row r="33" spans="1:15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  <c r="N33" s="91"/>
    </row>
    <row r="34" spans="1:15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25">
        <f t="shared" si="0"/>
        <v>0</v>
      </c>
      <c r="L34" s="39"/>
      <c r="N34" s="91"/>
    </row>
    <row r="35" spans="1:15" s="55" customFormat="1" ht="19.5" customHeight="1" x14ac:dyDescent="0.3">
      <c r="A35" s="44" t="s">
        <v>5230</v>
      </c>
      <c r="B35" s="45" t="s">
        <v>5231</v>
      </c>
      <c r="C35" s="46">
        <v>24</v>
      </c>
      <c r="D35" s="47" t="s">
        <v>5232</v>
      </c>
      <c r="E35" s="48">
        <v>10</v>
      </c>
      <c r="F35" s="49">
        <v>31.4</v>
      </c>
      <c r="G35" s="50" t="s">
        <v>5234</v>
      </c>
      <c r="H35" s="51">
        <v>1981</v>
      </c>
      <c r="I35" s="45">
        <v>3353</v>
      </c>
      <c r="J35" s="52">
        <v>18</v>
      </c>
      <c r="K35" s="53">
        <f t="shared" si="0"/>
        <v>119.56127400000001</v>
      </c>
      <c r="L35" s="54"/>
      <c r="M35" s="55">
        <v>2</v>
      </c>
      <c r="N35" s="91">
        <f t="shared" ref="N35" si="3">F35</f>
        <v>31.4</v>
      </c>
      <c r="O35" s="27">
        <f t="shared" ref="O35" si="4">N35*M35</f>
        <v>62.8</v>
      </c>
    </row>
    <row r="36" spans="1:15" s="55" customFormat="1" ht="19.5" customHeight="1" x14ac:dyDescent="0.3">
      <c r="A36" s="44"/>
      <c r="B36" s="45"/>
      <c r="C36" s="46">
        <v>24</v>
      </c>
      <c r="D36" s="47" t="s">
        <v>5233</v>
      </c>
      <c r="E36" s="48">
        <v>80</v>
      </c>
      <c r="F36" s="49">
        <v>71.3</v>
      </c>
      <c r="G36" s="50" t="s">
        <v>5235</v>
      </c>
      <c r="H36" s="51">
        <v>1981</v>
      </c>
      <c r="I36" s="45">
        <v>3353</v>
      </c>
      <c r="J36" s="52">
        <v>18</v>
      </c>
      <c r="K36" s="53">
        <f t="shared" si="0"/>
        <v>119.56127400000001</v>
      </c>
      <c r="L36" s="54"/>
      <c r="M36" s="55">
        <v>2</v>
      </c>
      <c r="N36" s="91">
        <f t="shared" si="1"/>
        <v>71.3</v>
      </c>
      <c r="O36" s="27">
        <f t="shared" si="2"/>
        <v>142.6</v>
      </c>
    </row>
    <row r="37" spans="1:15" s="55" customFormat="1" ht="19.5" customHeight="1" x14ac:dyDescent="0.3">
      <c r="A37" s="44"/>
      <c r="B37" s="45"/>
      <c r="C37" s="46">
        <v>22</v>
      </c>
      <c r="D37" s="47" t="s">
        <v>5233</v>
      </c>
      <c r="E37" s="48">
        <v>10</v>
      </c>
      <c r="F37" s="49">
        <v>11.7</v>
      </c>
      <c r="G37" s="50"/>
      <c r="H37" s="51"/>
      <c r="I37" s="45"/>
      <c r="J37" s="52"/>
      <c r="K37" s="53">
        <f t="shared" si="0"/>
        <v>0</v>
      </c>
      <c r="L37" s="54"/>
      <c r="M37" s="55">
        <v>2</v>
      </c>
      <c r="N37" s="91">
        <f t="shared" si="1"/>
        <v>11.7</v>
      </c>
      <c r="O37" s="27">
        <f t="shared" si="2"/>
        <v>23.4</v>
      </c>
    </row>
    <row r="38" spans="1:15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ref="K38:K98" si="5">(H38/1000*I38/1000)*J38</f>
        <v>0</v>
      </c>
      <c r="L38" s="54"/>
      <c r="N38" s="91">
        <f t="shared" si="1"/>
        <v>0</v>
      </c>
      <c r="O38" s="27">
        <f t="shared" si="2"/>
        <v>0</v>
      </c>
    </row>
    <row r="39" spans="1:15" s="55" customFormat="1" ht="19.5" customHeight="1" x14ac:dyDescent="0.3">
      <c r="A39" s="44"/>
      <c r="B39" s="45"/>
      <c r="C39" s="46">
        <v>24</v>
      </c>
      <c r="D39" s="47" t="s">
        <v>5239</v>
      </c>
      <c r="E39" s="48">
        <v>90</v>
      </c>
      <c r="F39" s="49">
        <v>102.7</v>
      </c>
      <c r="G39" s="50" t="s">
        <v>5240</v>
      </c>
      <c r="H39" s="51">
        <v>1981</v>
      </c>
      <c r="I39" s="45">
        <v>3353</v>
      </c>
      <c r="J39" s="52">
        <v>16</v>
      </c>
      <c r="K39" s="53">
        <f t="shared" si="5"/>
        <v>106.27668800000001</v>
      </c>
      <c r="L39" s="54"/>
      <c r="M39" s="55">
        <v>2</v>
      </c>
      <c r="N39" s="91">
        <f t="shared" si="1"/>
        <v>102.7</v>
      </c>
      <c r="O39" s="27">
        <f t="shared" si="2"/>
        <v>205.4</v>
      </c>
    </row>
    <row r="40" spans="1:15" s="55" customFormat="1" ht="19.5" customHeight="1" x14ac:dyDescent="0.3">
      <c r="A40" s="44"/>
      <c r="B40" s="45"/>
      <c r="C40" s="46"/>
      <c r="D40" s="47"/>
      <c r="E40" s="48"/>
      <c r="F40" s="49"/>
      <c r="G40" s="50" t="s">
        <v>317</v>
      </c>
      <c r="H40" s="51">
        <v>1981</v>
      </c>
      <c r="I40" s="45">
        <v>3353</v>
      </c>
      <c r="J40" s="52">
        <v>16</v>
      </c>
      <c r="K40" s="53">
        <f t="shared" si="5"/>
        <v>106.27668800000001</v>
      </c>
      <c r="L40" s="54"/>
      <c r="N40" s="91">
        <f t="shared" si="1"/>
        <v>0</v>
      </c>
      <c r="O40" s="27">
        <f t="shared" si="2"/>
        <v>0</v>
      </c>
    </row>
    <row r="41" spans="1:15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5"/>
        <v>0</v>
      </c>
      <c r="L41" s="54"/>
      <c r="N41" s="91">
        <f t="shared" si="1"/>
        <v>0</v>
      </c>
      <c r="O41" s="27">
        <f t="shared" si="2"/>
        <v>0</v>
      </c>
    </row>
    <row r="42" spans="1:15" s="55" customFormat="1" ht="19.5" customHeight="1" x14ac:dyDescent="0.3">
      <c r="A42" s="44" t="s">
        <v>5242</v>
      </c>
      <c r="B42" s="45" t="s">
        <v>5231</v>
      </c>
      <c r="C42" s="46">
        <v>24</v>
      </c>
      <c r="D42" s="47" t="s">
        <v>5239</v>
      </c>
      <c r="E42" s="48">
        <v>130</v>
      </c>
      <c r="F42" s="49">
        <v>151.9</v>
      </c>
      <c r="G42" s="50" t="s">
        <v>5240</v>
      </c>
      <c r="H42" s="51">
        <v>1981</v>
      </c>
      <c r="I42" s="45">
        <v>3353</v>
      </c>
      <c r="J42" s="52">
        <v>24</v>
      </c>
      <c r="K42" s="53">
        <f t="shared" si="5"/>
        <v>159.415032</v>
      </c>
      <c r="L42" s="54"/>
      <c r="M42" s="55">
        <v>2</v>
      </c>
      <c r="N42" s="91">
        <f t="shared" si="1"/>
        <v>151.9</v>
      </c>
      <c r="O42" s="27">
        <f t="shared" si="2"/>
        <v>303.8</v>
      </c>
    </row>
    <row r="43" spans="1:15" s="55" customFormat="1" ht="19.5" customHeight="1" x14ac:dyDescent="0.3">
      <c r="A43" s="44"/>
      <c r="B43" s="45"/>
      <c r="C43" s="46"/>
      <c r="D43" s="47"/>
      <c r="E43" s="48"/>
      <c r="F43" s="49"/>
      <c r="G43" s="50" t="s">
        <v>317</v>
      </c>
      <c r="H43" s="51">
        <v>1981</v>
      </c>
      <c r="I43" s="45">
        <v>3353</v>
      </c>
      <c r="J43" s="52">
        <v>24</v>
      </c>
      <c r="K43" s="53">
        <f t="shared" si="5"/>
        <v>159.415032</v>
      </c>
      <c r="L43" s="54"/>
      <c r="N43" s="91"/>
      <c r="O43" s="27">
        <f>SUM(O35:O42)</f>
        <v>738</v>
      </c>
    </row>
    <row r="44" spans="1:15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5"/>
        <v>0</v>
      </c>
      <c r="L44" s="54"/>
      <c r="N44" s="91"/>
      <c r="O44" s="92">
        <f>1-(O43/L102)</f>
        <v>4.2187846046953803E-2</v>
      </c>
    </row>
    <row r="45" spans="1:15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5"/>
        <v>0</v>
      </c>
      <c r="L45" s="54"/>
      <c r="N45" s="91"/>
      <c r="O45" s="27"/>
    </row>
    <row r="46" spans="1:15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5"/>
        <v>0</v>
      </c>
      <c r="L46" s="54"/>
      <c r="N46" s="91"/>
      <c r="O46" s="27"/>
    </row>
    <row r="47" spans="1:15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5"/>
        <v>0</v>
      </c>
      <c r="L47" s="54"/>
      <c r="N47" s="91"/>
      <c r="O47" s="27"/>
    </row>
    <row r="48" spans="1:15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5"/>
        <v>0</v>
      </c>
      <c r="L48" s="54"/>
      <c r="N48" s="91"/>
      <c r="O48" s="27"/>
    </row>
    <row r="49" spans="1:15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5"/>
        <v>0</v>
      </c>
      <c r="L49" s="54"/>
      <c r="N49" s="91"/>
      <c r="O49" s="27"/>
    </row>
    <row r="50" spans="1:15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5"/>
        <v>0</v>
      </c>
      <c r="L50" s="54"/>
      <c r="N50" s="91"/>
      <c r="O50" s="27"/>
    </row>
    <row r="51" spans="1:15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5"/>
        <v>0</v>
      </c>
      <c r="L51" s="54"/>
      <c r="N51" s="91"/>
      <c r="O51" s="27"/>
    </row>
    <row r="52" spans="1:15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5"/>
        <v>0</v>
      </c>
      <c r="L52" s="54"/>
      <c r="N52" s="91"/>
      <c r="O52" s="27"/>
    </row>
    <row r="53" spans="1:15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5"/>
        <v>0</v>
      </c>
      <c r="L53" s="54"/>
      <c r="N53" s="91"/>
      <c r="O53" s="27"/>
    </row>
    <row r="54" spans="1:15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5"/>
        <v>0</v>
      </c>
      <c r="L54" s="54"/>
      <c r="N54" s="91"/>
      <c r="O54" s="27"/>
    </row>
    <row r="55" spans="1:15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5"/>
        <v>0</v>
      </c>
      <c r="L55" s="54"/>
      <c r="N55" s="91"/>
      <c r="O55" s="27"/>
    </row>
    <row r="56" spans="1:15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5"/>
        <v>0</v>
      </c>
      <c r="L56" s="54"/>
      <c r="N56" s="91"/>
      <c r="O56" s="27"/>
    </row>
    <row r="57" spans="1:15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5"/>
        <v>0</v>
      </c>
      <c r="L57" s="54"/>
      <c r="N57" s="91"/>
      <c r="O57" s="27"/>
    </row>
    <row r="58" spans="1:15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5"/>
        <v>0</v>
      </c>
      <c r="L58" s="54"/>
      <c r="N58" s="91"/>
      <c r="O58" s="27"/>
    </row>
    <row r="59" spans="1:15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5"/>
        <v>0</v>
      </c>
      <c r="L59" s="54"/>
      <c r="N59" s="91"/>
      <c r="O59" s="27"/>
    </row>
    <row r="60" spans="1:15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5"/>
        <v>0</v>
      </c>
      <c r="L60" s="54"/>
      <c r="N60" s="91"/>
      <c r="O60" s="27"/>
    </row>
    <row r="61" spans="1:15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5"/>
        <v>0</v>
      </c>
      <c r="L61" s="54"/>
      <c r="N61" s="91"/>
      <c r="O61" s="27"/>
    </row>
    <row r="62" spans="1:15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5"/>
        <v>0</v>
      </c>
      <c r="L62" s="54"/>
      <c r="N62" s="91"/>
      <c r="O62" s="27"/>
    </row>
    <row r="63" spans="1:15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5"/>
        <v>0</v>
      </c>
      <c r="L63" s="54"/>
      <c r="N63" s="91"/>
      <c r="O63" s="27"/>
    </row>
    <row r="64" spans="1:15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5"/>
        <v>0</v>
      </c>
      <c r="L64" s="54"/>
      <c r="N64" s="91"/>
      <c r="O64" s="27"/>
    </row>
    <row r="65" spans="1:15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5"/>
        <v>0</v>
      </c>
      <c r="L65" s="54"/>
      <c r="N65" s="91"/>
      <c r="O65" s="27"/>
    </row>
    <row r="66" spans="1:15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5"/>
        <v>0</v>
      </c>
      <c r="L66" s="54"/>
      <c r="N66" s="91"/>
      <c r="O66" s="27"/>
    </row>
    <row r="67" spans="1:15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5"/>
        <v>0</v>
      </c>
      <c r="L67" s="54"/>
      <c r="N67" s="91"/>
      <c r="O67" s="27"/>
    </row>
    <row r="68" spans="1:15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5"/>
        <v>0</v>
      </c>
      <c r="L68" s="54"/>
      <c r="N68" s="91"/>
      <c r="O68" s="27"/>
    </row>
    <row r="69" spans="1:15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5"/>
        <v>0</v>
      </c>
      <c r="L69" s="54"/>
      <c r="N69" s="91"/>
      <c r="O69" s="27"/>
    </row>
    <row r="70" spans="1:15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5"/>
        <v>0</v>
      </c>
      <c r="L70" s="54"/>
      <c r="N70" s="91"/>
      <c r="O70" s="27"/>
    </row>
    <row r="71" spans="1:15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5"/>
        <v>0</v>
      </c>
      <c r="L71" s="54"/>
      <c r="N71" s="91"/>
      <c r="O71" s="27"/>
    </row>
    <row r="72" spans="1:15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5"/>
        <v>0</v>
      </c>
      <c r="L72" s="54"/>
      <c r="N72" s="91"/>
      <c r="O72" s="27"/>
    </row>
    <row r="73" spans="1:15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5"/>
        <v>0</v>
      </c>
      <c r="L73" s="54"/>
      <c r="N73" s="91"/>
      <c r="O73" s="27"/>
    </row>
    <row r="74" spans="1:15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5"/>
        <v>0</v>
      </c>
      <c r="L74" s="54"/>
      <c r="N74" s="91"/>
      <c r="O74" s="27"/>
    </row>
    <row r="75" spans="1:15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5"/>
        <v>0</v>
      </c>
      <c r="L75" s="54"/>
      <c r="N75" s="91"/>
      <c r="O75" s="27"/>
    </row>
    <row r="76" spans="1:15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5"/>
        <v>0</v>
      </c>
      <c r="L76" s="54"/>
      <c r="N76" s="91"/>
      <c r="O76" s="27"/>
    </row>
    <row r="77" spans="1:15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5"/>
        <v>0</v>
      </c>
      <c r="L77" s="54"/>
      <c r="N77" s="91"/>
      <c r="O77" s="27"/>
    </row>
    <row r="78" spans="1:15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5"/>
        <v>0</v>
      </c>
      <c r="L78" s="54"/>
      <c r="N78" s="91"/>
      <c r="O78" s="27"/>
    </row>
    <row r="79" spans="1:15" s="55" customFormat="1" ht="19.5" customHeight="1" x14ac:dyDescent="0.3">
      <c r="A79" s="44"/>
      <c r="B79" s="45"/>
      <c r="C79" s="46"/>
      <c r="D79" s="47"/>
      <c r="E79" s="48"/>
      <c r="F79" s="49"/>
      <c r="G79" s="50"/>
      <c r="H79" s="51"/>
      <c r="I79" s="45"/>
      <c r="J79" s="52"/>
      <c r="K79" s="53">
        <f t="shared" si="5"/>
        <v>0</v>
      </c>
      <c r="L79" s="54"/>
      <c r="N79" s="91"/>
      <c r="O79" s="27"/>
    </row>
    <row r="80" spans="1:15" s="55" customFormat="1" ht="19.5" customHeight="1" x14ac:dyDescent="0.3">
      <c r="A80" s="44"/>
      <c r="B80" s="45"/>
      <c r="C80" s="46"/>
      <c r="D80" s="47"/>
      <c r="E80" s="48"/>
      <c r="F80" s="49"/>
      <c r="G80" s="50"/>
      <c r="H80" s="51"/>
      <c r="I80" s="45"/>
      <c r="J80" s="52"/>
      <c r="K80" s="53">
        <f t="shared" si="5"/>
        <v>0</v>
      </c>
      <c r="L80" s="54"/>
      <c r="N80" s="91"/>
      <c r="O80" s="27"/>
    </row>
    <row r="81" spans="1:15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5"/>
        <v>0</v>
      </c>
      <c r="L81" s="54"/>
      <c r="N81" s="91"/>
      <c r="O81" s="27"/>
    </row>
    <row r="82" spans="1:15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5"/>
        <v>0</v>
      </c>
      <c r="L82" s="54"/>
      <c r="N82" s="91"/>
      <c r="O82" s="27"/>
    </row>
    <row r="83" spans="1:15" s="55" customFormat="1" ht="19.5" customHeight="1" x14ac:dyDescent="0.3">
      <c r="A83" s="44"/>
      <c r="B83" s="45"/>
      <c r="C83" s="46"/>
      <c r="D83" s="47"/>
      <c r="E83" s="48"/>
      <c r="F83" s="49"/>
      <c r="G83" s="50"/>
      <c r="H83" s="51"/>
      <c r="I83" s="45"/>
      <c r="J83" s="52"/>
      <c r="K83" s="53">
        <f t="shared" si="5"/>
        <v>0</v>
      </c>
      <c r="L83" s="54"/>
      <c r="N83" s="91"/>
      <c r="O83" s="27"/>
    </row>
    <row r="84" spans="1:15" s="55" customFormat="1" ht="19.5" customHeight="1" x14ac:dyDescent="0.3">
      <c r="A84" s="44"/>
      <c r="B84" s="45"/>
      <c r="C84" s="46"/>
      <c r="D84" s="47"/>
      <c r="E84" s="48"/>
      <c r="F84" s="49"/>
      <c r="G84" s="50"/>
      <c r="H84" s="51"/>
      <c r="I84" s="45"/>
      <c r="J84" s="52"/>
      <c r="K84" s="53">
        <f t="shared" si="5"/>
        <v>0</v>
      </c>
      <c r="L84" s="54"/>
      <c r="N84" s="91"/>
      <c r="O84" s="27"/>
    </row>
    <row r="85" spans="1:15" s="55" customFormat="1" ht="19.5" customHeight="1" x14ac:dyDescent="0.3">
      <c r="A85" s="44"/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si="5"/>
        <v>0</v>
      </c>
      <c r="L85" s="54"/>
      <c r="N85" s="91"/>
      <c r="O85" s="27"/>
    </row>
    <row r="86" spans="1:15" s="55" customFormat="1" ht="19.5" customHeight="1" x14ac:dyDescent="0.3">
      <c r="A86" s="44"/>
      <c r="B86" s="45"/>
      <c r="C86" s="46"/>
      <c r="D86" s="47"/>
      <c r="E86" s="48"/>
      <c r="F86" s="49"/>
      <c r="G86" s="50"/>
      <c r="H86" s="51"/>
      <c r="I86" s="45"/>
      <c r="J86" s="52"/>
      <c r="K86" s="53">
        <f t="shared" si="5"/>
        <v>0</v>
      </c>
      <c r="L86" s="54"/>
      <c r="N86" s="91"/>
      <c r="O86" s="27"/>
    </row>
    <row r="87" spans="1:15" s="55" customFormat="1" ht="19.5" customHeight="1" x14ac:dyDescent="0.3">
      <c r="A87" s="44"/>
      <c r="B87" s="45"/>
      <c r="C87" s="46"/>
      <c r="D87" s="47"/>
      <c r="E87" s="48"/>
      <c r="F87" s="49"/>
      <c r="G87" s="50"/>
      <c r="H87" s="51"/>
      <c r="I87" s="45"/>
      <c r="J87" s="52"/>
      <c r="K87" s="53">
        <f t="shared" si="5"/>
        <v>0</v>
      </c>
      <c r="L87" s="54"/>
      <c r="N87" s="91"/>
      <c r="O87" s="27"/>
    </row>
    <row r="88" spans="1:15" s="55" customFormat="1" ht="19.5" customHeight="1" x14ac:dyDescent="0.3">
      <c r="A88" s="44"/>
      <c r="B88" s="45"/>
      <c r="C88" s="46"/>
      <c r="D88" s="47"/>
      <c r="E88" s="48"/>
      <c r="F88" s="49"/>
      <c r="G88" s="50"/>
      <c r="H88" s="51"/>
      <c r="I88" s="45"/>
      <c r="J88" s="52"/>
      <c r="K88" s="53">
        <f t="shared" si="5"/>
        <v>0</v>
      </c>
      <c r="L88" s="54"/>
      <c r="N88" s="91"/>
      <c r="O88" s="27"/>
    </row>
    <row r="89" spans="1:15" s="55" customFormat="1" ht="19.5" customHeight="1" x14ac:dyDescent="0.3">
      <c r="A89" s="44"/>
      <c r="B89" s="45"/>
      <c r="C89" s="46"/>
      <c r="D89" s="47"/>
      <c r="E89" s="48"/>
      <c r="F89" s="49"/>
      <c r="G89" s="50"/>
      <c r="H89" s="51"/>
      <c r="I89" s="45"/>
      <c r="J89" s="52"/>
      <c r="K89" s="53">
        <f t="shared" si="5"/>
        <v>0</v>
      </c>
      <c r="L89" s="54"/>
      <c r="N89" s="91"/>
      <c r="O89" s="27"/>
    </row>
    <row r="90" spans="1:15" s="55" customFormat="1" ht="19.5" customHeight="1" x14ac:dyDescent="0.3">
      <c r="A90" s="44"/>
      <c r="B90" s="45"/>
      <c r="C90" s="46"/>
      <c r="D90" s="47"/>
      <c r="E90" s="48"/>
      <c r="F90" s="49"/>
      <c r="G90" s="50"/>
      <c r="H90" s="51"/>
      <c r="I90" s="45"/>
      <c r="J90" s="52"/>
      <c r="K90" s="53">
        <f t="shared" si="5"/>
        <v>0</v>
      </c>
      <c r="L90" s="54"/>
      <c r="N90" s="91"/>
      <c r="O90" s="27"/>
    </row>
    <row r="91" spans="1:15" s="55" customFormat="1" ht="19.5" customHeight="1" x14ac:dyDescent="0.3">
      <c r="A91" s="44"/>
      <c r="B91" s="45"/>
      <c r="C91" s="46"/>
      <c r="D91" s="47"/>
      <c r="E91" s="48"/>
      <c r="F91" s="49"/>
      <c r="G91" s="50"/>
      <c r="H91" s="51"/>
      <c r="I91" s="45"/>
      <c r="J91" s="52"/>
      <c r="K91" s="53">
        <f t="shared" si="5"/>
        <v>0</v>
      </c>
      <c r="L91" s="54"/>
      <c r="N91" s="91"/>
      <c r="O91" s="27"/>
    </row>
    <row r="92" spans="1:15" s="55" customFormat="1" ht="19.5" customHeight="1" x14ac:dyDescent="0.3">
      <c r="A92" s="44"/>
      <c r="B92" s="45"/>
      <c r="C92" s="46"/>
      <c r="D92" s="47"/>
      <c r="E92" s="48"/>
      <c r="F92" s="49"/>
      <c r="G92" s="50"/>
      <c r="H92" s="51"/>
      <c r="I92" s="45"/>
      <c r="J92" s="52"/>
      <c r="K92" s="53">
        <f t="shared" si="5"/>
        <v>0</v>
      </c>
      <c r="L92" s="54"/>
      <c r="N92" s="91"/>
      <c r="O92" s="27"/>
    </row>
    <row r="93" spans="1:15" s="55" customFormat="1" ht="19.5" customHeight="1" x14ac:dyDescent="0.3">
      <c r="A93" s="44"/>
      <c r="B93" s="45"/>
      <c r="C93" s="46"/>
      <c r="D93" s="47"/>
      <c r="E93" s="48"/>
      <c r="F93" s="49"/>
      <c r="G93" s="50"/>
      <c r="H93" s="51"/>
      <c r="I93" s="45"/>
      <c r="J93" s="52"/>
      <c r="K93" s="53">
        <f t="shared" si="5"/>
        <v>0</v>
      </c>
      <c r="L93" s="54"/>
      <c r="N93" s="91"/>
      <c r="O93" s="27"/>
    </row>
    <row r="94" spans="1:15" s="55" customFormat="1" ht="19.5" customHeight="1" x14ac:dyDescent="0.3">
      <c r="A94" s="44"/>
      <c r="B94" s="45"/>
      <c r="C94" s="46"/>
      <c r="D94" s="47"/>
      <c r="E94" s="48"/>
      <c r="F94" s="49"/>
      <c r="G94" s="50"/>
      <c r="H94" s="51"/>
      <c r="I94" s="45"/>
      <c r="J94" s="52"/>
      <c r="K94" s="53">
        <f t="shared" si="5"/>
        <v>0</v>
      </c>
      <c r="L94" s="54"/>
      <c r="N94" s="91"/>
      <c r="O94" s="27"/>
    </row>
    <row r="95" spans="1:15" s="55" customFormat="1" ht="19.5" customHeight="1" x14ac:dyDescent="0.3">
      <c r="A95" s="44"/>
      <c r="B95" s="45"/>
      <c r="C95" s="46"/>
      <c r="D95" s="47"/>
      <c r="E95" s="48"/>
      <c r="F95" s="49"/>
      <c r="G95" s="50"/>
      <c r="H95" s="51"/>
      <c r="I95" s="45"/>
      <c r="J95" s="52"/>
      <c r="K95" s="53">
        <f t="shared" si="5"/>
        <v>0</v>
      </c>
      <c r="L95" s="54"/>
      <c r="N95" s="91"/>
      <c r="O95" s="27"/>
    </row>
    <row r="96" spans="1:15" s="55" customFormat="1" ht="19.5" customHeight="1" x14ac:dyDescent="0.3">
      <c r="A96" s="44"/>
      <c r="B96" s="45"/>
      <c r="C96" s="46"/>
      <c r="D96" s="47"/>
      <c r="E96" s="48"/>
      <c r="F96" s="49"/>
      <c r="G96" s="50"/>
      <c r="H96" s="51"/>
      <c r="I96" s="45"/>
      <c r="J96" s="52"/>
      <c r="K96" s="53">
        <f t="shared" si="5"/>
        <v>0</v>
      </c>
      <c r="L96" s="54"/>
      <c r="N96" s="91"/>
      <c r="O96" s="27"/>
    </row>
    <row r="97" spans="1:15" s="55" customFormat="1" ht="19.5" customHeight="1" x14ac:dyDescent="0.3">
      <c r="A97" s="44"/>
      <c r="B97" s="45"/>
      <c r="C97" s="46"/>
      <c r="D97" s="47"/>
      <c r="E97" s="48"/>
      <c r="F97" s="49"/>
      <c r="G97" s="50"/>
      <c r="H97" s="51"/>
      <c r="I97" s="45"/>
      <c r="J97" s="52"/>
      <c r="K97" s="53">
        <f t="shared" si="5"/>
        <v>0</v>
      </c>
      <c r="L97" s="54"/>
      <c r="N97" s="91"/>
      <c r="O97" s="27"/>
    </row>
    <row r="98" spans="1:15" s="55" customFormat="1" ht="19.5" customHeight="1" x14ac:dyDescent="0.3">
      <c r="A98" s="44"/>
      <c r="B98" s="45"/>
      <c r="C98" s="46"/>
      <c r="D98" s="47"/>
      <c r="E98" s="48"/>
      <c r="F98" s="49"/>
      <c r="G98" s="50"/>
      <c r="H98" s="51"/>
      <c r="I98" s="45"/>
      <c r="J98" s="52"/>
      <c r="K98" s="53">
        <f t="shared" si="5"/>
        <v>0</v>
      </c>
      <c r="L98" s="54"/>
      <c r="N98" s="91"/>
      <c r="O98" s="27"/>
    </row>
    <row r="99" spans="1:15" s="55" customFormat="1" ht="19.5" customHeight="1" x14ac:dyDescent="0.3">
      <c r="A99" s="44"/>
      <c r="B99" s="45"/>
      <c r="C99" s="46"/>
      <c r="D99" s="47"/>
      <c r="E99" s="48"/>
      <c r="F99" s="49"/>
      <c r="G99" s="50"/>
      <c r="H99" s="51"/>
      <c r="I99" s="45"/>
      <c r="J99" s="52"/>
      <c r="K99" s="53">
        <f t="shared" si="0"/>
        <v>0</v>
      </c>
      <c r="L99" s="54" t="s">
        <v>5243</v>
      </c>
      <c r="N99" s="91"/>
      <c r="O99" s="27"/>
    </row>
    <row r="100" spans="1:15" s="55" customFormat="1" ht="19.5" customHeight="1" x14ac:dyDescent="0.3">
      <c r="A100" s="44"/>
      <c r="B100" s="45"/>
      <c r="C100" s="46"/>
      <c r="D100" s="47"/>
      <c r="E100" s="48"/>
      <c r="F100" s="49"/>
      <c r="G100" s="50"/>
      <c r="H100" s="51"/>
      <c r="I100" s="45"/>
      <c r="J100" s="52"/>
      <c r="K100" s="53">
        <f t="shared" si="0"/>
        <v>0</v>
      </c>
      <c r="L100" s="54" t="s">
        <v>5244</v>
      </c>
      <c r="N100" s="91"/>
      <c r="O100" s="27"/>
    </row>
    <row r="101" spans="1:15" s="59" customFormat="1" ht="20.100000000000001" customHeight="1" x14ac:dyDescent="0.3">
      <c r="A101" s="44"/>
      <c r="B101" s="45"/>
      <c r="C101" s="46"/>
      <c r="D101" s="47"/>
      <c r="E101" s="56"/>
      <c r="F101" s="57"/>
      <c r="G101" s="50"/>
      <c r="H101" s="51"/>
      <c r="I101" s="45"/>
      <c r="J101" s="52"/>
      <c r="K101" s="53">
        <f t="shared" si="0"/>
        <v>0</v>
      </c>
      <c r="L101" s="58">
        <f>SUM(J35:J102)</f>
        <v>116</v>
      </c>
    </row>
    <row r="102" spans="1:15" s="59" customFormat="1" ht="20.100000000000001" customHeight="1" x14ac:dyDescent="0.3">
      <c r="A102" s="44"/>
      <c r="B102" s="45"/>
      <c r="C102" s="46"/>
      <c r="D102" s="47"/>
      <c r="E102" s="60"/>
      <c r="F102" s="61"/>
      <c r="G102" s="62"/>
      <c r="H102" s="51"/>
      <c r="I102" s="45"/>
      <c r="J102" s="63"/>
      <c r="K102" s="53">
        <f t="shared" si="0"/>
        <v>0</v>
      </c>
      <c r="L102" s="64">
        <f>SUM(K35:K102)</f>
        <v>770.505988</v>
      </c>
    </row>
    <row r="103" spans="1:15" s="59" customFormat="1" ht="20.100000000000001" customHeight="1" thickBot="1" x14ac:dyDescent="0.35">
      <c r="A103" s="114"/>
      <c r="B103" s="115"/>
      <c r="C103" s="115"/>
      <c r="D103" s="115"/>
      <c r="E103" s="115"/>
      <c r="F103" s="115"/>
      <c r="G103" s="115"/>
      <c r="H103" s="115"/>
      <c r="I103" s="115"/>
      <c r="J103" s="65">
        <f>SUM(J7:J102)</f>
        <v>196</v>
      </c>
      <c r="K103" s="66">
        <f>SUM(K7:K102)</f>
        <v>1358.5853050000001</v>
      </c>
      <c r="L103" s="67"/>
    </row>
    <row r="104" spans="1:15" s="59" customFormat="1" ht="20.100000000000001" customHeight="1" thickTop="1" thickBot="1" x14ac:dyDescent="0.35">
      <c r="A104" s="116" t="s">
        <v>52</v>
      </c>
      <c r="B104" s="117"/>
      <c r="C104" s="68"/>
      <c r="D104" s="118">
        <f>J103</f>
        <v>196</v>
      </c>
      <c r="E104" s="119"/>
      <c r="F104" s="119"/>
      <c r="G104" s="120"/>
      <c r="H104" s="121"/>
      <c r="I104" s="121"/>
      <c r="J104" s="122"/>
      <c r="K104" s="119"/>
      <c r="L104" s="123"/>
    </row>
    <row r="105" spans="1:15" s="59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71"/>
    </row>
    <row r="106" spans="1:15" s="59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5" s="59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5" s="59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5" s="59" customFormat="1" ht="20.100000000000001" customHeight="1" x14ac:dyDescent="0.3">
      <c r="A109" s="113"/>
      <c r="B109" s="113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5" s="59" customFormat="1" ht="20.100000000000001" customHeight="1" x14ac:dyDescent="0.3">
      <c r="A110" s="113"/>
      <c r="B110" s="113"/>
      <c r="C110" s="5"/>
      <c r="D110" s="5"/>
      <c r="E110" s="72"/>
      <c r="F110" s="5"/>
      <c r="G110" s="5"/>
      <c r="H110" s="5"/>
      <c r="I110" s="5"/>
      <c r="J110" s="5"/>
      <c r="K110" s="5"/>
      <c r="L110" s="5"/>
    </row>
    <row r="111" spans="1:15" s="59" customFormat="1" ht="20.100000000000001" customHeight="1" x14ac:dyDescent="0.3">
      <c r="A111" s="113"/>
      <c r="B111" s="113"/>
      <c r="C111" s="5"/>
      <c r="D111" s="5"/>
      <c r="E111" s="5"/>
      <c r="F111" s="5"/>
      <c r="G111" s="73"/>
      <c r="H111" s="5"/>
      <c r="I111" s="74"/>
      <c r="J111" s="5"/>
      <c r="K111" s="5"/>
      <c r="L111" s="5"/>
    </row>
    <row r="112" spans="1:15" s="59" customFormat="1" ht="20.100000000000001" customHeight="1" x14ac:dyDescent="0.3">
      <c r="A112" s="113"/>
      <c r="B112" s="113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59" customFormat="1" ht="20.100000000000001" customHeight="1" x14ac:dyDescent="0.3">
      <c r="A113" s="69"/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59" customFormat="1" ht="20.100000000000001" customHeight="1" x14ac:dyDescent="0.3">
      <c r="A114" s="113"/>
      <c r="B114" s="113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1:12" s="59" customFormat="1" ht="20.100000000000001" customHeight="1" x14ac:dyDescent="0.3">
      <c r="A115" s="113"/>
      <c r="B115" s="113"/>
      <c r="C115" s="5"/>
      <c r="D115" s="5"/>
      <c r="E115" s="5"/>
      <c r="F115" s="70"/>
      <c r="G115" s="5"/>
      <c r="H115" s="72"/>
      <c r="I115" s="72"/>
      <c r="J115" s="5"/>
      <c r="K115" s="5"/>
      <c r="L115" s="5"/>
    </row>
    <row r="116" spans="1:12" ht="20.100000000000001" customHeight="1" x14ac:dyDescent="0.3">
      <c r="A116" s="113"/>
      <c r="B116" s="113"/>
      <c r="H116" s="72"/>
      <c r="I116" s="72"/>
    </row>
    <row r="117" spans="1:12" ht="20.100000000000001" customHeight="1" x14ac:dyDescent="0.3">
      <c r="H117" s="72"/>
      <c r="I117" s="72"/>
    </row>
    <row r="118" spans="1:12" ht="20.100000000000001" customHeight="1" x14ac:dyDescent="0.3">
      <c r="H118" s="72"/>
      <c r="I118" s="72"/>
    </row>
    <row r="119" spans="1:12" ht="20.100000000000001" customHeight="1" x14ac:dyDescent="0.3">
      <c r="A119" s="113"/>
      <c r="B119" s="113"/>
      <c r="H119" s="72"/>
      <c r="I119" s="72"/>
    </row>
    <row r="120" spans="1:12" ht="20.100000000000001" customHeight="1" x14ac:dyDescent="0.3">
      <c r="A120" s="113"/>
      <c r="B120" s="113"/>
      <c r="H120" s="72"/>
      <c r="I120" s="72"/>
    </row>
    <row r="121" spans="1:12" ht="20.100000000000001" customHeight="1" x14ac:dyDescent="0.3">
      <c r="H121" s="72"/>
      <c r="I121" s="72"/>
    </row>
    <row r="122" spans="1:12" ht="20.100000000000001" customHeight="1" x14ac:dyDescent="0.3">
      <c r="H122" s="72"/>
      <c r="I122" s="72"/>
    </row>
    <row r="123" spans="1:12" ht="20.100000000000001" customHeight="1" x14ac:dyDescent="0.3">
      <c r="H123" s="72"/>
      <c r="I123" s="72"/>
    </row>
    <row r="124" spans="1:12" s="72" customFormat="1" ht="20.100000000000001" customHeight="1" x14ac:dyDescent="0.3">
      <c r="A124" s="69"/>
      <c r="B124" s="5"/>
      <c r="C124" s="5"/>
      <c r="D124" s="5"/>
      <c r="E124" s="5"/>
      <c r="F124" s="70"/>
      <c r="G124" s="5"/>
      <c r="J124" s="5"/>
      <c r="K124" s="5"/>
      <c r="L124" s="5"/>
    </row>
    <row r="125" spans="1:12" s="72" customFormat="1" ht="20.100000000000001" customHeight="1" x14ac:dyDescent="0.3">
      <c r="A125" s="69"/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75" customFormat="1" ht="20.100000000000001" customHeight="1" x14ac:dyDescent="0.3">
      <c r="A126" s="69"/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75" customFormat="1" ht="20.100000000000001" customHeight="1" x14ac:dyDescent="0.3">
      <c r="A127" s="69"/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75" customFormat="1" ht="19.5" customHeight="1" x14ac:dyDescent="0.3">
      <c r="A128" s="69"/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1:12" s="72" customFormat="1" ht="20.100000000000001" customHeight="1" x14ac:dyDescent="0.3">
      <c r="A129" s="69"/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1:12" s="72" customFormat="1" ht="20.100000000000001" customHeight="1" x14ac:dyDescent="0.3">
      <c r="A130" s="69"/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1:12" ht="19.5" customHeight="1" x14ac:dyDescent="0.3"/>
    <row r="132" spans="1:12" ht="19.5" customHeight="1" x14ac:dyDescent="0.3"/>
    <row r="133" spans="1:12" ht="19.5" customHeight="1" x14ac:dyDescent="0.3"/>
    <row r="134" spans="1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1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1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1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1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1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1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1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1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1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1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ht="19.5" customHeight="1" x14ac:dyDescent="0.3"/>
    <row r="151" spans="2:12" ht="19.5" customHeight="1" x14ac:dyDescent="0.3"/>
    <row r="152" spans="2:12" ht="19.5" customHeight="1" x14ac:dyDescent="0.3"/>
    <row r="153" spans="2:12" ht="19.5" customHeight="1" x14ac:dyDescent="0.3"/>
    <row r="154" spans="2:12" ht="19.5" customHeight="1" x14ac:dyDescent="0.3"/>
    <row r="155" spans="2:12" ht="19.5" customHeight="1" x14ac:dyDescent="0.3"/>
    <row r="156" spans="2:12" ht="19.5" customHeight="1" x14ac:dyDescent="0.3"/>
    <row r="157" spans="2:12" ht="19.5" customHeight="1" x14ac:dyDescent="0.3"/>
    <row r="158" spans="2:12" ht="19.5" customHeight="1" x14ac:dyDescent="0.3"/>
    <row r="159" spans="2:12" ht="19.5" customHeight="1" x14ac:dyDescent="0.3"/>
    <row r="160" spans="2:12" ht="19.5" customHeight="1" x14ac:dyDescent="0.3"/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  <row r="185" spans="2:12" s="69" customFormat="1" ht="19.5" customHeight="1" x14ac:dyDescent="0.3">
      <c r="B185" s="5"/>
      <c r="C185" s="5"/>
      <c r="D185" s="5"/>
      <c r="E185" s="5"/>
      <c r="F185" s="70"/>
      <c r="G185" s="5"/>
      <c r="H185" s="5"/>
      <c r="I185" s="5"/>
      <c r="J185" s="5"/>
      <c r="K185" s="5"/>
      <c r="L185" s="5"/>
    </row>
    <row r="186" spans="2:12" s="69" customFormat="1" ht="19.5" customHeight="1" x14ac:dyDescent="0.3">
      <c r="B186" s="5"/>
      <c r="C186" s="5"/>
      <c r="D186" s="5"/>
      <c r="E186" s="5"/>
      <c r="F186" s="70"/>
      <c r="G186" s="5"/>
      <c r="H186" s="5"/>
      <c r="I186" s="5"/>
      <c r="J186" s="5"/>
      <c r="K186" s="5"/>
      <c r="L186" s="5"/>
    </row>
    <row r="187" spans="2:12" s="69" customFormat="1" ht="19.5" customHeight="1" x14ac:dyDescent="0.3">
      <c r="B187" s="5"/>
      <c r="C187" s="5"/>
      <c r="D187" s="5"/>
      <c r="E187" s="5"/>
      <c r="F187" s="70"/>
      <c r="G187" s="5"/>
      <c r="H187" s="5"/>
      <c r="I187" s="5"/>
      <c r="J187" s="5"/>
      <c r="K187" s="5"/>
      <c r="L187" s="5"/>
    </row>
    <row r="188" spans="2:12" s="69" customFormat="1" ht="19.5" customHeight="1" x14ac:dyDescent="0.3">
      <c r="B188" s="5"/>
      <c r="C188" s="5"/>
      <c r="D188" s="5"/>
      <c r="E188" s="5"/>
      <c r="F188" s="70"/>
      <c r="G188" s="5"/>
      <c r="H188" s="5"/>
      <c r="I188" s="5"/>
      <c r="J188" s="5"/>
      <c r="K188" s="5"/>
      <c r="L188" s="5"/>
    </row>
    <row r="189" spans="2:12" s="69" customFormat="1" ht="19.5" customHeight="1" x14ac:dyDescent="0.3">
      <c r="B189" s="5"/>
      <c r="C189" s="5"/>
      <c r="D189" s="5"/>
      <c r="E189" s="5"/>
      <c r="F189" s="70"/>
      <c r="G189" s="5"/>
      <c r="H189" s="5"/>
      <c r="I189" s="5"/>
      <c r="J189" s="5"/>
      <c r="K189" s="5"/>
      <c r="L189" s="5"/>
    </row>
    <row r="190" spans="2:12" s="69" customFormat="1" ht="19.5" customHeight="1" x14ac:dyDescent="0.3">
      <c r="B190" s="5"/>
      <c r="C190" s="5"/>
      <c r="D190" s="5"/>
      <c r="E190" s="5"/>
      <c r="F190" s="70"/>
      <c r="G190" s="5"/>
      <c r="H190" s="5"/>
      <c r="I190" s="5"/>
      <c r="J190" s="5"/>
      <c r="K190" s="5"/>
      <c r="L190" s="5"/>
    </row>
    <row r="191" spans="2:12" s="69" customFormat="1" ht="19.5" customHeight="1" x14ac:dyDescent="0.3">
      <c r="B191" s="5"/>
      <c r="C191" s="5"/>
      <c r="D191" s="5"/>
      <c r="E191" s="5"/>
      <c r="F191" s="70"/>
      <c r="G191" s="5"/>
      <c r="H191" s="5"/>
      <c r="I191" s="5"/>
      <c r="J191" s="5"/>
      <c r="K191" s="5"/>
      <c r="L191" s="5"/>
    </row>
    <row r="192" spans="2:12" s="69" customFormat="1" ht="19.5" customHeight="1" x14ac:dyDescent="0.3">
      <c r="B192" s="5"/>
      <c r="C192" s="5"/>
      <c r="D192" s="5"/>
      <c r="E192" s="5"/>
      <c r="F192" s="70"/>
      <c r="G192" s="5"/>
      <c r="H192" s="5"/>
      <c r="I192" s="5"/>
      <c r="J192" s="5"/>
      <c r="K192" s="5"/>
      <c r="L192" s="5"/>
    </row>
    <row r="193" spans="2:12" s="69" customFormat="1" ht="19.5" customHeight="1" x14ac:dyDescent="0.3">
      <c r="B193" s="5"/>
      <c r="C193" s="5"/>
      <c r="D193" s="5"/>
      <c r="E193" s="5"/>
      <c r="F193" s="70"/>
      <c r="G193" s="5"/>
      <c r="H193" s="5"/>
      <c r="I193" s="5"/>
      <c r="J193" s="5"/>
      <c r="K193" s="5"/>
      <c r="L193" s="5"/>
    </row>
    <row r="194" spans="2:12" s="69" customFormat="1" ht="19.5" customHeight="1" x14ac:dyDescent="0.3">
      <c r="B194" s="5"/>
      <c r="C194" s="5"/>
      <c r="D194" s="5"/>
      <c r="E194" s="5"/>
      <c r="F194" s="70"/>
      <c r="G194" s="5"/>
      <c r="H194" s="5"/>
      <c r="I194" s="5"/>
      <c r="J194" s="5"/>
      <c r="K194" s="5"/>
      <c r="L194" s="5"/>
    </row>
  </sheetData>
  <mergeCells count="30">
    <mergeCell ref="A119:B119"/>
    <mergeCell ref="A120:B120"/>
    <mergeCell ref="A110:B110"/>
    <mergeCell ref="A111:B111"/>
    <mergeCell ref="A112:B112"/>
    <mergeCell ref="A114:B114"/>
    <mergeCell ref="A115:B115"/>
    <mergeCell ref="A116:B116"/>
    <mergeCell ref="A109:B10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103:I103"/>
    <mergeCell ref="A104:B104"/>
    <mergeCell ref="D104:G104"/>
    <mergeCell ref="H104:J104"/>
    <mergeCell ref="K104:L104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37" orientation="portrait" verticalDpi="30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L166"/>
  <sheetViews>
    <sheetView view="pageBreakPreview" topLeftCell="A2" zoomScale="85" zoomScaleNormal="100" zoomScaleSheetLayoutView="85" workbookViewId="0">
      <selection activeCell="A11" sqref="A1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46192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4" si="0">(H7/1000*I7/1000)*J7</f>
        <v>0</v>
      </c>
      <c r="L7" s="26">
        <f>SUM(J7:J34)</f>
        <v>89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SUM(K7:K34)</f>
        <v>701.36061599999994</v>
      </c>
    </row>
    <row r="9" spans="1:12" s="27" customFormat="1" ht="19.5" customHeight="1" x14ac:dyDescent="0.3">
      <c r="A9" s="28" t="s">
        <v>5184</v>
      </c>
      <c r="B9" s="16" t="s">
        <v>5185</v>
      </c>
      <c r="C9" s="17">
        <v>24</v>
      </c>
      <c r="D9" s="18" t="s">
        <v>5186</v>
      </c>
      <c r="E9" s="41">
        <v>1</v>
      </c>
      <c r="F9" s="42">
        <v>1.91</v>
      </c>
      <c r="G9" s="34"/>
      <c r="H9" s="35"/>
      <c r="I9" s="36"/>
      <c r="J9" s="37"/>
      <c r="K9" s="85">
        <f t="shared" si="0"/>
        <v>0</v>
      </c>
      <c r="L9" s="39" t="s">
        <v>5187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5188</v>
      </c>
      <c r="B11" s="16" t="s">
        <v>5189</v>
      </c>
      <c r="C11" s="17">
        <v>5</v>
      </c>
      <c r="D11" s="18" t="s">
        <v>5190</v>
      </c>
      <c r="E11" s="41">
        <v>208</v>
      </c>
      <c r="F11" s="42">
        <v>115.6</v>
      </c>
      <c r="G11" s="34" t="s">
        <v>5191</v>
      </c>
      <c r="H11" s="35">
        <v>2438</v>
      </c>
      <c r="I11" s="36">
        <v>3353</v>
      </c>
      <c r="J11" s="37">
        <v>15</v>
      </c>
      <c r="K11" s="85">
        <f t="shared" si="0"/>
        <v>122.61921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>
        <f t="shared" si="0"/>
        <v>0</v>
      </c>
      <c r="L12" s="39"/>
    </row>
    <row r="13" spans="1:12" s="27" customFormat="1" ht="19.5" customHeight="1" x14ac:dyDescent="0.3">
      <c r="A13" s="28" t="s">
        <v>5192</v>
      </c>
      <c r="B13" s="16" t="s">
        <v>5193</v>
      </c>
      <c r="C13" s="17">
        <v>24</v>
      </c>
      <c r="D13" s="18" t="s">
        <v>5194</v>
      </c>
      <c r="E13" s="41">
        <v>28</v>
      </c>
      <c r="F13" s="42">
        <v>27.12</v>
      </c>
      <c r="G13" s="34" t="s">
        <v>5191</v>
      </c>
      <c r="H13" s="35">
        <v>2438</v>
      </c>
      <c r="I13" s="36">
        <v>3353</v>
      </c>
      <c r="J13" s="37">
        <v>3</v>
      </c>
      <c r="K13" s="85">
        <f t="shared" si="0"/>
        <v>24.523842000000002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5191</v>
      </c>
      <c r="H14" s="35">
        <v>2286</v>
      </c>
      <c r="I14" s="36">
        <v>3048</v>
      </c>
      <c r="J14" s="37">
        <v>1</v>
      </c>
      <c r="K14" s="85">
        <f>(H14/1000*I14/1000)*J14</f>
        <v>6.9677280000000001</v>
      </c>
      <c r="L14" s="39"/>
    </row>
    <row r="15" spans="1:12" s="27" customFormat="1" ht="19.5" customHeight="1" x14ac:dyDescent="0.3">
      <c r="B15" s="16"/>
      <c r="C15" s="17"/>
      <c r="D15" s="18"/>
      <c r="E15" s="41"/>
      <c r="F15" s="42"/>
      <c r="G15" s="34" t="s">
        <v>5195</v>
      </c>
      <c r="H15" s="35">
        <v>2438</v>
      </c>
      <c r="I15" s="36">
        <v>3353</v>
      </c>
      <c r="J15" s="37">
        <v>4</v>
      </c>
      <c r="K15" s="85">
        <f>(H15/1000*I15/1000)*J15</f>
        <v>32.698456</v>
      </c>
      <c r="L15" s="39"/>
    </row>
    <row r="16" spans="1:12" s="27" customFormat="1" ht="19.5" customHeight="1" x14ac:dyDescent="0.3">
      <c r="A16" s="99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 t="s">
        <v>5196</v>
      </c>
      <c r="B17" s="16" t="s">
        <v>5193</v>
      </c>
      <c r="C17" s="17">
        <v>24</v>
      </c>
      <c r="D17" s="18" t="s">
        <v>5194</v>
      </c>
      <c r="E17" s="41">
        <v>90</v>
      </c>
      <c r="F17" s="42">
        <v>75.13</v>
      </c>
      <c r="G17" s="34" t="s">
        <v>5191</v>
      </c>
      <c r="H17" s="35">
        <v>2438</v>
      </c>
      <c r="I17" s="36">
        <v>3353</v>
      </c>
      <c r="J17" s="37">
        <v>9</v>
      </c>
      <c r="K17" s="85">
        <f t="shared" si="0"/>
        <v>73.571526000000006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5195</v>
      </c>
      <c r="H18" s="35">
        <v>2438</v>
      </c>
      <c r="I18" s="36">
        <v>3353</v>
      </c>
      <c r="J18" s="37">
        <v>9</v>
      </c>
      <c r="K18" s="85">
        <f t="shared" si="0"/>
        <v>73.571526000000006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85">
        <f t="shared" si="0"/>
        <v>0</v>
      </c>
      <c r="L19" s="39"/>
    </row>
    <row r="20" spans="1:12" s="27" customFormat="1" ht="19.5" customHeight="1" x14ac:dyDescent="0.3">
      <c r="A20" s="28" t="s">
        <v>5197</v>
      </c>
      <c r="B20" s="16" t="s">
        <v>5198</v>
      </c>
      <c r="C20" s="17">
        <v>8</v>
      </c>
      <c r="D20" s="18" t="s">
        <v>5199</v>
      </c>
      <c r="E20" s="41">
        <v>52</v>
      </c>
      <c r="F20" s="42">
        <v>64.94</v>
      </c>
      <c r="G20" s="34" t="s">
        <v>5200</v>
      </c>
      <c r="H20" s="35">
        <v>2438</v>
      </c>
      <c r="I20" s="36">
        <v>3353</v>
      </c>
      <c r="J20" s="37">
        <v>8</v>
      </c>
      <c r="K20" s="85">
        <f t="shared" si="0"/>
        <v>65.396912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 t="s">
        <v>5200</v>
      </c>
      <c r="H21" s="35">
        <v>2286</v>
      </c>
      <c r="I21" s="36">
        <v>3353</v>
      </c>
      <c r="J21" s="37">
        <v>1</v>
      </c>
      <c r="K21" s="85">
        <f t="shared" si="0"/>
        <v>7.6649580000000004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5201</v>
      </c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0"/>
        <v>0</v>
      </c>
      <c r="L23" s="39"/>
    </row>
    <row r="24" spans="1:12" s="27" customFormat="1" ht="19.5" customHeight="1" x14ac:dyDescent="0.3">
      <c r="A24" s="28" t="s">
        <v>5220</v>
      </c>
      <c r="B24" s="16" t="s">
        <v>5221</v>
      </c>
      <c r="C24" s="17">
        <v>24</v>
      </c>
      <c r="D24" s="18" t="s">
        <v>5222</v>
      </c>
      <c r="E24" s="41">
        <v>2</v>
      </c>
      <c r="F24" s="42">
        <v>4.38</v>
      </c>
      <c r="G24" s="34" t="s">
        <v>5224</v>
      </c>
      <c r="H24" s="35">
        <v>2134</v>
      </c>
      <c r="I24" s="36">
        <v>3353</v>
      </c>
      <c r="J24" s="37">
        <v>12</v>
      </c>
      <c r="K24" s="25">
        <f t="shared" ref="K24:K34" si="1">(H24/1000*I24/1000)*J24</f>
        <v>85.863624000000002</v>
      </c>
      <c r="L24" s="39"/>
    </row>
    <row r="25" spans="1:12" s="27" customFormat="1" ht="19.5" customHeight="1" x14ac:dyDescent="0.3">
      <c r="A25" s="28"/>
      <c r="B25" s="16"/>
      <c r="C25" s="17">
        <v>24</v>
      </c>
      <c r="D25" s="18" t="s">
        <v>5223</v>
      </c>
      <c r="E25" s="41">
        <v>89</v>
      </c>
      <c r="F25" s="42">
        <v>72.430000000000007</v>
      </c>
      <c r="G25" s="34" t="s">
        <v>5225</v>
      </c>
      <c r="H25" s="35">
        <v>2134</v>
      </c>
      <c r="I25" s="36">
        <v>3353</v>
      </c>
      <c r="J25" s="37">
        <v>12</v>
      </c>
      <c r="K25" s="25">
        <f t="shared" si="1"/>
        <v>85.863624000000002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1"/>
        <v>0</v>
      </c>
      <c r="L26" s="39"/>
    </row>
    <row r="27" spans="1:12" s="27" customFormat="1" ht="19.5" customHeight="1" x14ac:dyDescent="0.3">
      <c r="A27" s="28"/>
      <c r="B27" s="16"/>
      <c r="C27" s="17">
        <v>43</v>
      </c>
      <c r="D27" s="18" t="s">
        <v>5226</v>
      </c>
      <c r="E27" s="41">
        <v>32</v>
      </c>
      <c r="F27" s="42">
        <v>36.9</v>
      </c>
      <c r="G27" s="34" t="s">
        <v>5224</v>
      </c>
      <c r="H27" s="35">
        <v>2438</v>
      </c>
      <c r="I27" s="36">
        <v>3353</v>
      </c>
      <c r="J27" s="37">
        <v>10</v>
      </c>
      <c r="K27" s="25">
        <f t="shared" si="1"/>
        <v>81.746139999999997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 t="s">
        <v>5225</v>
      </c>
      <c r="H28" s="35">
        <v>2438</v>
      </c>
      <c r="I28" s="36">
        <v>3353</v>
      </c>
      <c r="J28" s="37">
        <v>5</v>
      </c>
      <c r="K28" s="25">
        <f t="shared" si="1"/>
        <v>40.873069999999998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1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1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1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1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1"/>
        <v>0</v>
      </c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25">
        <f t="shared" si="1"/>
        <v>0</v>
      </c>
      <c r="L34" s="39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/>
      <c r="L35" s="54"/>
    </row>
    <row r="36" spans="1:12" s="55" customFormat="1" ht="19.5" customHeight="1" x14ac:dyDescent="0.3">
      <c r="A36" s="44" t="s">
        <v>5202</v>
      </c>
      <c r="B36" s="45" t="s">
        <v>5203</v>
      </c>
      <c r="C36" s="46">
        <v>46.76</v>
      </c>
      <c r="D36" s="47" t="s">
        <v>5204</v>
      </c>
      <c r="E36" s="48">
        <v>8</v>
      </c>
      <c r="F36" s="49">
        <v>3.2</v>
      </c>
      <c r="G36" s="50" t="s">
        <v>5205</v>
      </c>
      <c r="H36" s="51">
        <v>1829</v>
      </c>
      <c r="I36" s="45">
        <v>3353</v>
      </c>
      <c r="J36" s="52">
        <v>1</v>
      </c>
      <c r="K36" s="53">
        <f t="shared" ref="K36:K70" si="2">(H36/1000*I36/1000)*J36</f>
        <v>6.1326369999999999</v>
      </c>
      <c r="L36" s="54" t="s">
        <v>5206</v>
      </c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2"/>
        <v>0</v>
      </c>
      <c r="L37" s="54"/>
    </row>
    <row r="38" spans="1:12" s="55" customFormat="1" ht="19.5" customHeight="1" x14ac:dyDescent="0.3">
      <c r="A38" s="44" t="s">
        <v>5207</v>
      </c>
      <c r="B38" s="45" t="s">
        <v>5208</v>
      </c>
      <c r="C38" s="46">
        <v>24</v>
      </c>
      <c r="D38" s="47" t="s">
        <v>5209</v>
      </c>
      <c r="E38" s="48">
        <v>10</v>
      </c>
      <c r="F38" s="49">
        <v>14.86</v>
      </c>
      <c r="G38" s="50" t="s">
        <v>5191</v>
      </c>
      <c r="H38" s="51">
        <v>2438</v>
      </c>
      <c r="I38" s="45">
        <v>3353</v>
      </c>
      <c r="J38" s="52">
        <v>4</v>
      </c>
      <c r="K38" s="53">
        <f t="shared" si="2"/>
        <v>32.698456</v>
      </c>
      <c r="L38" s="54"/>
    </row>
    <row r="39" spans="1:12" s="55" customFormat="1" ht="19.5" customHeight="1" x14ac:dyDescent="0.3">
      <c r="A39" s="44"/>
      <c r="B39" s="45"/>
      <c r="C39" s="46">
        <v>22</v>
      </c>
      <c r="D39" s="47" t="s">
        <v>5210</v>
      </c>
      <c r="E39" s="48">
        <v>14</v>
      </c>
      <c r="F39" s="49">
        <v>23.52</v>
      </c>
      <c r="G39" s="50" t="s">
        <v>5191</v>
      </c>
      <c r="H39" s="51">
        <v>2134</v>
      </c>
      <c r="I39" s="45">
        <v>348</v>
      </c>
      <c r="J39" s="52">
        <v>2</v>
      </c>
      <c r="K39" s="53">
        <f t="shared" si="2"/>
        <v>1.4852639999999999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 t="s">
        <v>5211</v>
      </c>
      <c r="H40" s="51">
        <v>1981</v>
      </c>
      <c r="I40" s="45">
        <v>3353</v>
      </c>
      <c r="J40" s="52">
        <v>2</v>
      </c>
      <c r="K40" s="53">
        <f t="shared" si="2"/>
        <v>13.284586000000001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 t="s">
        <v>5211</v>
      </c>
      <c r="H41" s="51">
        <v>2134</v>
      </c>
      <c r="I41" s="45">
        <v>3353</v>
      </c>
      <c r="J41" s="52">
        <v>5</v>
      </c>
      <c r="K41" s="53">
        <f t="shared" si="2"/>
        <v>35.776510000000002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2"/>
        <v>0</v>
      </c>
      <c r="L42" s="54"/>
    </row>
    <row r="43" spans="1:12" s="55" customFormat="1" ht="19.5" customHeight="1" x14ac:dyDescent="0.3">
      <c r="A43" s="44" t="s">
        <v>5212</v>
      </c>
      <c r="B43" s="45" t="s">
        <v>5213</v>
      </c>
      <c r="C43" s="46">
        <v>22</v>
      </c>
      <c r="D43" s="47" t="s">
        <v>5210</v>
      </c>
      <c r="E43" s="48">
        <v>6</v>
      </c>
      <c r="F43" s="49">
        <v>4.88</v>
      </c>
      <c r="G43" s="50" t="s">
        <v>5191</v>
      </c>
      <c r="H43" s="51">
        <v>1981</v>
      </c>
      <c r="I43" s="45">
        <v>3353</v>
      </c>
      <c r="J43" s="52">
        <v>1</v>
      </c>
      <c r="K43" s="53">
        <f t="shared" si="2"/>
        <v>6.6422930000000004</v>
      </c>
      <c r="L43" s="54"/>
    </row>
    <row r="44" spans="1:12" s="55" customFormat="1" ht="19.5" customHeight="1" x14ac:dyDescent="0.3">
      <c r="A44" s="44"/>
      <c r="B44" s="45"/>
      <c r="C44" s="46">
        <v>22</v>
      </c>
      <c r="D44" s="47" t="s">
        <v>5214</v>
      </c>
      <c r="E44" s="48">
        <v>4</v>
      </c>
      <c r="F44" s="49">
        <v>1.87</v>
      </c>
      <c r="G44" s="50" t="s">
        <v>5216</v>
      </c>
      <c r="H44" s="51">
        <v>1981</v>
      </c>
      <c r="I44" s="45">
        <v>3353</v>
      </c>
      <c r="J44" s="52">
        <v>1</v>
      </c>
      <c r="K44" s="53">
        <f t="shared" si="2"/>
        <v>6.6422930000000004</v>
      </c>
      <c r="L44" s="54"/>
    </row>
    <row r="45" spans="1:12" s="55" customFormat="1" ht="19.5" customHeight="1" x14ac:dyDescent="0.3">
      <c r="A45" s="44"/>
      <c r="B45" s="45"/>
      <c r="C45" s="46">
        <v>28</v>
      </c>
      <c r="D45" s="47" t="s">
        <v>5215</v>
      </c>
      <c r="E45" s="48">
        <v>2</v>
      </c>
      <c r="F45" s="49">
        <v>2.86</v>
      </c>
      <c r="G45" s="50"/>
      <c r="H45" s="51"/>
      <c r="I45" s="45"/>
      <c r="J45" s="52"/>
      <c r="K45" s="53">
        <f t="shared" si="2"/>
        <v>0</v>
      </c>
      <c r="L45" s="54" t="s">
        <v>5187</v>
      </c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2"/>
        <v>0</v>
      </c>
      <c r="L46" s="54"/>
    </row>
    <row r="47" spans="1:12" s="55" customFormat="1" ht="19.5" customHeight="1" x14ac:dyDescent="0.3">
      <c r="A47" s="44" t="s">
        <v>5217</v>
      </c>
      <c r="B47" s="45" t="s">
        <v>5203</v>
      </c>
      <c r="C47" s="46">
        <v>22</v>
      </c>
      <c r="D47" s="47" t="s">
        <v>5210</v>
      </c>
      <c r="E47" s="48">
        <v>84</v>
      </c>
      <c r="F47" s="49">
        <v>76.16</v>
      </c>
      <c r="G47" s="50" t="s">
        <v>5191</v>
      </c>
      <c r="H47" s="51">
        <v>1981</v>
      </c>
      <c r="I47" s="45">
        <v>3353</v>
      </c>
      <c r="J47" s="52">
        <v>12</v>
      </c>
      <c r="K47" s="53">
        <f t="shared" si="2"/>
        <v>79.707515999999998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 t="s">
        <v>5211</v>
      </c>
      <c r="H48" s="51">
        <v>1981</v>
      </c>
      <c r="I48" s="45">
        <v>3353</v>
      </c>
      <c r="J48" s="52">
        <v>12</v>
      </c>
      <c r="K48" s="53">
        <f t="shared" si="2"/>
        <v>79.707515999999998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2"/>
        <v>0</v>
      </c>
      <c r="L49" s="54"/>
    </row>
    <row r="50" spans="1:12" s="55" customFormat="1" ht="19.5" customHeight="1" x14ac:dyDescent="0.3">
      <c r="A50" s="44" t="s">
        <v>5218</v>
      </c>
      <c r="B50" s="45" t="s">
        <v>5203</v>
      </c>
      <c r="C50" s="46">
        <v>22</v>
      </c>
      <c r="D50" s="47" t="s">
        <v>5210</v>
      </c>
      <c r="E50" s="48">
        <v>152</v>
      </c>
      <c r="F50" s="49">
        <v>128.47999999999999</v>
      </c>
      <c r="G50" s="50" t="s">
        <v>5191</v>
      </c>
      <c r="H50" s="51">
        <v>1981</v>
      </c>
      <c r="I50" s="45">
        <v>3353</v>
      </c>
      <c r="J50" s="52">
        <v>21</v>
      </c>
      <c r="K50" s="53">
        <f t="shared" si="2"/>
        <v>139.48815300000001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 t="s">
        <v>5211</v>
      </c>
      <c r="H51" s="51">
        <v>1981</v>
      </c>
      <c r="I51" s="45">
        <v>3353</v>
      </c>
      <c r="J51" s="52">
        <v>21</v>
      </c>
      <c r="K51" s="53">
        <f t="shared" si="2"/>
        <v>139.48815300000001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2"/>
        <v>0</v>
      </c>
      <c r="L52" s="54"/>
    </row>
    <row r="53" spans="1:12" s="55" customFormat="1" ht="19.5" customHeight="1" x14ac:dyDescent="0.3">
      <c r="A53" s="44" t="s">
        <v>5219</v>
      </c>
      <c r="B53" s="45" t="s">
        <v>5203</v>
      </c>
      <c r="C53" s="46">
        <v>22</v>
      </c>
      <c r="D53" s="47" t="s">
        <v>5210</v>
      </c>
      <c r="E53" s="48">
        <v>96</v>
      </c>
      <c r="F53" s="49">
        <v>77.400000000000006</v>
      </c>
      <c r="G53" s="50" t="s">
        <v>5191</v>
      </c>
      <c r="H53" s="51">
        <v>1981</v>
      </c>
      <c r="I53" s="45">
        <v>3353</v>
      </c>
      <c r="J53" s="52">
        <v>13</v>
      </c>
      <c r="K53" s="53">
        <f t="shared" si="2"/>
        <v>86.349809000000008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 t="s">
        <v>5211</v>
      </c>
      <c r="H54" s="51">
        <v>1981</v>
      </c>
      <c r="I54" s="45">
        <v>3353</v>
      </c>
      <c r="J54" s="52">
        <v>13</v>
      </c>
      <c r="K54" s="53">
        <f t="shared" si="2"/>
        <v>86.349809000000008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2"/>
        <v>0</v>
      </c>
      <c r="L55" s="54"/>
    </row>
    <row r="56" spans="1:12" s="55" customFormat="1" ht="19.5" customHeight="1" x14ac:dyDescent="0.3">
      <c r="A56" s="44" t="s">
        <v>5201</v>
      </c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2"/>
        <v>0</v>
      </c>
      <c r="L56" s="54"/>
    </row>
    <row r="57" spans="1:12" s="55" customFormat="1" ht="19.5" customHeight="1" x14ac:dyDescent="0.3">
      <c r="A57" s="44" t="s">
        <v>5229</v>
      </c>
      <c r="B57" s="45" t="s">
        <v>639</v>
      </c>
      <c r="C57" s="46">
        <v>22</v>
      </c>
      <c r="D57" s="47" t="s">
        <v>5228</v>
      </c>
      <c r="E57" s="48">
        <v>108</v>
      </c>
      <c r="F57" s="49">
        <v>88.68</v>
      </c>
      <c r="G57" s="50" t="s">
        <v>5225</v>
      </c>
      <c r="H57" s="51">
        <v>1981</v>
      </c>
      <c r="I57" s="45">
        <v>3353</v>
      </c>
      <c r="J57" s="52">
        <v>15</v>
      </c>
      <c r="K57" s="53">
        <f t="shared" si="2"/>
        <v>99.634395000000012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 t="s">
        <v>317</v>
      </c>
      <c r="H58" s="51">
        <v>1981</v>
      </c>
      <c r="I58" s="45">
        <v>3353</v>
      </c>
      <c r="J58" s="52">
        <v>15</v>
      </c>
      <c r="K58" s="53">
        <f t="shared" si="2"/>
        <v>99.634395000000012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2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2"/>
        <v>0</v>
      </c>
      <c r="L60" s="54"/>
    </row>
    <row r="61" spans="1:12" s="55" customFormat="1" ht="19.5" customHeight="1" x14ac:dyDescent="0.3">
      <c r="A61" s="44" t="s">
        <v>5236</v>
      </c>
      <c r="B61" s="45" t="s">
        <v>5231</v>
      </c>
      <c r="C61" s="46">
        <v>24</v>
      </c>
      <c r="D61" s="47" t="s">
        <v>5232</v>
      </c>
      <c r="E61" s="48">
        <v>15</v>
      </c>
      <c r="F61" s="49">
        <v>47.1</v>
      </c>
      <c r="G61" s="50" t="s">
        <v>5234</v>
      </c>
      <c r="H61" s="51">
        <v>1981</v>
      </c>
      <c r="I61" s="45">
        <v>3353</v>
      </c>
      <c r="J61" s="52">
        <f>7+21</f>
        <v>28</v>
      </c>
      <c r="K61" s="53">
        <f t="shared" si="2"/>
        <v>185.98420400000001</v>
      </c>
      <c r="L61" s="54"/>
    </row>
    <row r="62" spans="1:12" s="55" customFormat="1" ht="19.5" customHeight="1" x14ac:dyDescent="0.3">
      <c r="A62" s="44"/>
      <c r="B62" s="45"/>
      <c r="C62" s="46">
        <v>24</v>
      </c>
      <c r="D62" s="47" t="s">
        <v>5233</v>
      </c>
      <c r="E62" s="48">
        <v>115</v>
      </c>
      <c r="F62" s="49">
        <v>104.8</v>
      </c>
      <c r="G62" s="50" t="s">
        <v>5235</v>
      </c>
      <c r="H62" s="51">
        <v>1981</v>
      </c>
      <c r="I62" s="45">
        <v>3353</v>
      </c>
      <c r="J62" s="52">
        <f>7+21</f>
        <v>28</v>
      </c>
      <c r="K62" s="53">
        <f t="shared" si="2"/>
        <v>185.98420400000001</v>
      </c>
      <c r="L62" s="54"/>
    </row>
    <row r="63" spans="1:12" s="55" customFormat="1" ht="19.5" customHeight="1" x14ac:dyDescent="0.3">
      <c r="A63" s="44"/>
      <c r="B63" s="45"/>
      <c r="C63" s="46">
        <v>22</v>
      </c>
      <c r="D63" s="47" t="s">
        <v>5233</v>
      </c>
      <c r="E63" s="48">
        <v>20</v>
      </c>
      <c r="F63" s="49">
        <v>23.4</v>
      </c>
      <c r="G63" s="50"/>
      <c r="H63" s="51"/>
      <c r="I63" s="45"/>
      <c r="J63" s="52"/>
      <c r="K63" s="53">
        <f t="shared" si="2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2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2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2"/>
        <v>0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2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2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2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2"/>
        <v>0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9" customFormat="1" ht="20.100000000000001" customHeight="1" x14ac:dyDescent="0.3">
      <c r="A73" s="44"/>
      <c r="B73" s="45"/>
      <c r="C73" s="46"/>
      <c r="D73" s="47"/>
      <c r="E73" s="56"/>
      <c r="F73" s="57"/>
      <c r="G73" s="50"/>
      <c r="H73" s="51"/>
      <c r="I73" s="45"/>
      <c r="J73" s="52"/>
      <c r="K73" s="53">
        <f t="shared" si="0"/>
        <v>0</v>
      </c>
      <c r="L73" s="58">
        <f>SUM(J35:J74)</f>
        <v>194</v>
      </c>
    </row>
    <row r="74" spans="1:12" s="59" customFormat="1" ht="20.100000000000001" customHeight="1" x14ac:dyDescent="0.3">
      <c r="A74" s="44"/>
      <c r="B74" s="45"/>
      <c r="C74" s="46"/>
      <c r="D74" s="47"/>
      <c r="E74" s="60"/>
      <c r="F74" s="61"/>
      <c r="G74" s="62"/>
      <c r="H74" s="51"/>
      <c r="I74" s="45"/>
      <c r="J74" s="63"/>
      <c r="K74" s="53">
        <f t="shared" si="0"/>
        <v>0</v>
      </c>
      <c r="L74" s="64">
        <f>SUM(K35:K74)</f>
        <v>1284.9901930000003</v>
      </c>
    </row>
    <row r="75" spans="1:12" s="59" customFormat="1" ht="20.100000000000001" customHeight="1" thickBot="1" x14ac:dyDescent="0.35">
      <c r="A75" s="114"/>
      <c r="B75" s="115"/>
      <c r="C75" s="115"/>
      <c r="D75" s="115"/>
      <c r="E75" s="115"/>
      <c r="F75" s="115"/>
      <c r="G75" s="115"/>
      <c r="H75" s="115"/>
      <c r="I75" s="115"/>
      <c r="J75" s="65">
        <f>SUM(J7:J74)</f>
        <v>283</v>
      </c>
      <c r="K75" s="66">
        <f>SUM(K7:K74)</f>
        <v>1986.3508090000003</v>
      </c>
      <c r="L75" s="67"/>
    </row>
    <row r="76" spans="1:12" s="59" customFormat="1" ht="20.100000000000001" customHeight="1" thickTop="1" thickBot="1" x14ac:dyDescent="0.35">
      <c r="A76" s="116" t="s">
        <v>52</v>
      </c>
      <c r="B76" s="117"/>
      <c r="C76" s="68"/>
      <c r="D76" s="118">
        <f>J75</f>
        <v>283</v>
      </c>
      <c r="E76" s="119"/>
      <c r="F76" s="119"/>
      <c r="G76" s="120"/>
      <c r="H76" s="121"/>
      <c r="I76" s="121"/>
      <c r="J76" s="122"/>
      <c r="K76" s="119"/>
      <c r="L76" s="123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71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72"/>
      <c r="F82" s="5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5"/>
      <c r="G83" s="73"/>
      <c r="H83" s="5"/>
      <c r="I83" s="74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72"/>
      <c r="I87" s="72"/>
      <c r="J87" s="5"/>
      <c r="K87" s="5"/>
      <c r="L87" s="5"/>
    </row>
    <row r="88" spans="1:12" ht="20.100000000000001" customHeight="1" x14ac:dyDescent="0.3">
      <c r="A88" s="113"/>
      <c r="B88" s="113"/>
      <c r="H88" s="72"/>
      <c r="I88" s="72"/>
    </row>
    <row r="89" spans="1:12" ht="20.100000000000001" customHeight="1" x14ac:dyDescent="0.3"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A91" s="113"/>
      <c r="B91" s="113"/>
      <c r="H91" s="72"/>
      <c r="I91" s="72"/>
    </row>
    <row r="92" spans="1:12" ht="20.100000000000001" customHeight="1" x14ac:dyDescent="0.3">
      <c r="A92" s="113"/>
      <c r="B92" s="113"/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H95" s="72"/>
      <c r="I95" s="72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J96" s="5"/>
      <c r="K96" s="5"/>
      <c r="L96" s="5"/>
    </row>
    <row r="97" spans="1:12" s="72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5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5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5" customFormat="1" ht="19.5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2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ht="19.5" customHeight="1" x14ac:dyDescent="0.3"/>
    <row r="104" spans="1:12" ht="19.5" customHeight="1" x14ac:dyDescent="0.3"/>
    <row r="105" spans="1:12" ht="19.5" customHeight="1" x14ac:dyDescent="0.3"/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1:B8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5:I75"/>
    <mergeCell ref="A76:B76"/>
    <mergeCell ref="D76:G76"/>
    <mergeCell ref="H76:J76"/>
    <mergeCell ref="K76:L76"/>
    <mergeCell ref="A91:B91"/>
    <mergeCell ref="A92:B92"/>
    <mergeCell ref="A82:B82"/>
    <mergeCell ref="A83:B83"/>
    <mergeCell ref="A84:B84"/>
    <mergeCell ref="A86:B86"/>
    <mergeCell ref="A87:B87"/>
    <mergeCell ref="A88:B8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L189"/>
  <sheetViews>
    <sheetView view="pageBreakPreview" topLeftCell="A32" zoomScale="85" zoomScaleNormal="100" zoomScaleSheetLayoutView="85" workbookViewId="0">
      <selection activeCell="A61" sqref="A6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46191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97" si="0">(H7/1000*I7/1000)*J7</f>
        <v>0</v>
      </c>
      <c r="L7" s="26">
        <f>SUM(J7:J29)</f>
        <v>120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SUM(K7:K29)</f>
        <v>879.27027800000008</v>
      </c>
    </row>
    <row r="9" spans="1:12" s="27" customFormat="1" ht="19.5" customHeight="1" x14ac:dyDescent="0.3">
      <c r="A9" s="28" t="s">
        <v>5093</v>
      </c>
      <c r="B9" s="16" t="s">
        <v>5094</v>
      </c>
      <c r="C9" s="17">
        <v>10</v>
      </c>
      <c r="D9" s="18" t="s">
        <v>5095</v>
      </c>
      <c r="E9" s="41">
        <v>32</v>
      </c>
      <c r="F9" s="42">
        <v>42.6</v>
      </c>
      <c r="G9" s="34" t="s">
        <v>5096</v>
      </c>
      <c r="H9" s="35">
        <v>2438</v>
      </c>
      <c r="I9" s="36">
        <v>3048</v>
      </c>
      <c r="J9" s="37">
        <v>7</v>
      </c>
      <c r="K9" s="85">
        <f t="shared" si="0"/>
        <v>52.017168000000005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5097</v>
      </c>
      <c r="B11" s="16" t="s">
        <v>1890</v>
      </c>
      <c r="C11" s="17">
        <v>28</v>
      </c>
      <c r="D11" s="18" t="s">
        <v>3007</v>
      </c>
      <c r="E11" s="41">
        <v>124</v>
      </c>
      <c r="F11" s="42">
        <v>98.26</v>
      </c>
      <c r="G11" s="34" t="s">
        <v>5098</v>
      </c>
      <c r="H11" s="35">
        <v>2438</v>
      </c>
      <c r="I11" s="36">
        <v>3048</v>
      </c>
      <c r="J11" s="37">
        <v>70</v>
      </c>
      <c r="K11" s="85">
        <f t="shared" si="0"/>
        <v>520.17168000000004</v>
      </c>
      <c r="L11" s="39" t="s">
        <v>5099</v>
      </c>
    </row>
    <row r="12" spans="1:12" s="27" customFormat="1" ht="19.5" customHeight="1" x14ac:dyDescent="0.3">
      <c r="A12" s="28"/>
      <c r="B12" s="16"/>
      <c r="C12" s="17">
        <v>28</v>
      </c>
      <c r="D12" s="18" t="s">
        <v>3001</v>
      </c>
      <c r="E12" s="41">
        <v>100</v>
      </c>
      <c r="F12" s="42">
        <f>149+71</f>
        <v>220</v>
      </c>
      <c r="G12" s="34"/>
      <c r="H12" s="35"/>
      <c r="I12" s="36"/>
      <c r="J12" s="37"/>
      <c r="K12" s="85">
        <f t="shared" si="0"/>
        <v>0</v>
      </c>
      <c r="L12" s="39" t="s">
        <v>5294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 t="s">
        <v>5100</v>
      </c>
      <c r="B14" s="16"/>
      <c r="C14" s="17"/>
      <c r="D14" s="18"/>
      <c r="E14" s="41"/>
      <c r="F14" s="42"/>
      <c r="G14" s="34"/>
      <c r="H14" s="35"/>
      <c r="I14" s="36"/>
      <c r="J14" s="37"/>
      <c r="K14" s="85">
        <f>(H14/1000*I14/1000)*J14</f>
        <v>0</v>
      </c>
      <c r="L14" s="39"/>
    </row>
    <row r="15" spans="1:12" s="27" customFormat="1" ht="19.5" customHeight="1" x14ac:dyDescent="0.3">
      <c r="A15" s="27" t="s">
        <v>5150</v>
      </c>
      <c r="B15" s="16" t="s">
        <v>5151</v>
      </c>
      <c r="C15" s="17">
        <v>10</v>
      </c>
      <c r="D15" s="18" t="s">
        <v>5152</v>
      </c>
      <c r="E15" s="41">
        <v>25</v>
      </c>
      <c r="F15" s="42">
        <v>49.36</v>
      </c>
      <c r="G15" s="34" t="s">
        <v>5153</v>
      </c>
      <c r="H15" s="35">
        <v>2134</v>
      </c>
      <c r="I15" s="36">
        <v>3353</v>
      </c>
      <c r="J15" s="37">
        <v>8</v>
      </c>
      <c r="K15" s="85">
        <f>(H15/1000*I15/1000)*J15</f>
        <v>57.242415999999999</v>
      </c>
      <c r="L15" s="39" t="s">
        <v>5156</v>
      </c>
    </row>
    <row r="16" spans="1:12" s="27" customFormat="1" ht="19.5" customHeight="1" x14ac:dyDescent="0.3">
      <c r="A16" s="99" t="s">
        <v>5154</v>
      </c>
      <c r="B16" s="16" t="s">
        <v>5155</v>
      </c>
      <c r="C16" s="17">
        <v>10</v>
      </c>
      <c r="D16" s="18" t="s">
        <v>5152</v>
      </c>
      <c r="E16" s="41">
        <v>36</v>
      </c>
      <c r="F16" s="42">
        <v>52.83</v>
      </c>
      <c r="G16" s="34" t="s">
        <v>5153</v>
      </c>
      <c r="H16" s="35">
        <v>2438</v>
      </c>
      <c r="I16" s="36">
        <v>3048</v>
      </c>
      <c r="J16" s="37">
        <v>8</v>
      </c>
      <c r="K16" s="85">
        <f t="shared" si="0"/>
        <v>59.448192000000006</v>
      </c>
      <c r="L16" s="39" t="s">
        <v>5156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0"/>
        <v>0</v>
      </c>
      <c r="L17" s="39"/>
    </row>
    <row r="18" spans="1:12" s="27" customFormat="1" ht="19.5" customHeight="1" x14ac:dyDescent="0.3">
      <c r="A18" s="28" t="s">
        <v>5157</v>
      </c>
      <c r="B18" s="16" t="s">
        <v>5158</v>
      </c>
      <c r="C18" s="17">
        <v>10</v>
      </c>
      <c r="D18" s="18" t="s">
        <v>5152</v>
      </c>
      <c r="E18" s="41">
        <v>88</v>
      </c>
      <c r="F18" s="42">
        <v>130.29</v>
      </c>
      <c r="G18" s="34" t="s">
        <v>5153</v>
      </c>
      <c r="H18" s="35">
        <v>2134</v>
      </c>
      <c r="I18" s="36">
        <v>3353</v>
      </c>
      <c r="J18" s="37">
        <v>20</v>
      </c>
      <c r="K18" s="85">
        <f t="shared" si="0"/>
        <v>143.10604000000001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 t="s">
        <v>5153</v>
      </c>
      <c r="H19" s="35">
        <v>2438</v>
      </c>
      <c r="I19" s="36">
        <v>3048</v>
      </c>
      <c r="J19" s="37">
        <v>1</v>
      </c>
      <c r="K19" s="85">
        <f t="shared" si="0"/>
        <v>7.4310240000000007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5176</v>
      </c>
      <c r="B21" s="16" t="s">
        <v>5175</v>
      </c>
      <c r="C21" s="17">
        <v>22</v>
      </c>
      <c r="D21" s="18" t="s">
        <v>5177</v>
      </c>
      <c r="E21" s="41">
        <v>10</v>
      </c>
      <c r="F21" s="42">
        <v>20.239999999999998</v>
      </c>
      <c r="G21" s="34" t="s">
        <v>5178</v>
      </c>
      <c r="H21" s="35">
        <v>1981</v>
      </c>
      <c r="I21" s="36">
        <v>3353</v>
      </c>
      <c r="J21" s="37">
        <v>3</v>
      </c>
      <c r="K21" s="85">
        <f t="shared" si="0"/>
        <v>19.926879</v>
      </c>
      <c r="L21" s="39" t="s">
        <v>5181</v>
      </c>
    </row>
    <row r="22" spans="1:12" s="27" customFormat="1" ht="19.5" customHeight="1" x14ac:dyDescent="0.3">
      <c r="A22" s="28"/>
      <c r="B22" s="16"/>
      <c r="C22" s="17">
        <v>22</v>
      </c>
      <c r="D22" s="18" t="s">
        <v>5182</v>
      </c>
      <c r="E22" s="41">
        <v>1</v>
      </c>
      <c r="F22" s="42">
        <v>0.77</v>
      </c>
      <c r="G22" s="34" t="s">
        <v>5179</v>
      </c>
      <c r="H22" s="35">
        <v>1981</v>
      </c>
      <c r="I22" s="36">
        <v>3353</v>
      </c>
      <c r="J22" s="37">
        <v>3</v>
      </c>
      <c r="K22" s="85">
        <f t="shared" si="0"/>
        <v>19.926879</v>
      </c>
      <c r="L22" s="39" t="s">
        <v>5181</v>
      </c>
    </row>
    <row r="23" spans="1:12" s="27" customFormat="1" ht="19.5" customHeight="1" x14ac:dyDescent="0.3">
      <c r="A23" s="28"/>
      <c r="B23" s="16"/>
      <c r="C23" s="17">
        <v>22</v>
      </c>
      <c r="D23" s="18" t="s">
        <v>5180</v>
      </c>
      <c r="E23" s="41">
        <v>1</v>
      </c>
      <c r="F23" s="42"/>
      <c r="G23" s="34"/>
      <c r="H23" s="35"/>
      <c r="I23" s="36"/>
      <c r="J23" s="37"/>
      <c r="K23" s="25">
        <f t="shared" si="0"/>
        <v>0</v>
      </c>
      <c r="L23" s="39" t="s">
        <v>5183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/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/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/>
      <c r="B29" s="29"/>
      <c r="C29" s="30"/>
      <c r="D29" s="31"/>
      <c r="E29" s="41"/>
      <c r="F29" s="42"/>
      <c r="G29" s="43"/>
      <c r="H29" s="35"/>
      <c r="I29" s="36"/>
      <c r="J29" s="37"/>
      <c r="K29" s="85">
        <f t="shared" si="0"/>
        <v>0</v>
      </c>
      <c r="L29" s="39"/>
    </row>
    <row r="30" spans="1:12" s="55" customFormat="1" ht="19.5" customHeight="1" x14ac:dyDescent="0.3">
      <c r="A30" s="44"/>
      <c r="B30" s="45"/>
      <c r="C30" s="46"/>
      <c r="D30" s="47"/>
      <c r="E30" s="48"/>
      <c r="F30" s="49"/>
      <c r="G30" s="50"/>
      <c r="H30" s="51"/>
      <c r="I30" s="45"/>
      <c r="J30" s="52"/>
      <c r="K30" s="53"/>
      <c r="L30" s="54"/>
    </row>
    <row r="31" spans="1:12" s="55" customFormat="1" ht="19.5" customHeight="1" x14ac:dyDescent="0.3">
      <c r="A31" s="44" t="s">
        <v>5101</v>
      </c>
      <c r="B31" s="45" t="s">
        <v>5102</v>
      </c>
      <c r="C31" s="46">
        <v>24</v>
      </c>
      <c r="D31" s="47" t="s">
        <v>5103</v>
      </c>
      <c r="E31" s="48">
        <v>1</v>
      </c>
      <c r="F31" s="49">
        <v>3.33</v>
      </c>
      <c r="G31" s="50" t="s">
        <v>5105</v>
      </c>
      <c r="H31" s="51">
        <v>1981</v>
      </c>
      <c r="I31" s="45">
        <v>3353</v>
      </c>
      <c r="J31" s="52">
        <v>1</v>
      </c>
      <c r="K31" s="53">
        <f t="shared" ref="K31:K69" si="1">(H31/1000*I31/1000)*J31</f>
        <v>6.6422930000000004</v>
      </c>
      <c r="L31" s="54" t="s">
        <v>5107</v>
      </c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 t="s">
        <v>5106</v>
      </c>
      <c r="H32" s="51">
        <v>1981</v>
      </c>
      <c r="I32" s="45">
        <v>3353</v>
      </c>
      <c r="J32" s="52">
        <v>1</v>
      </c>
      <c r="K32" s="53">
        <f t="shared" si="1"/>
        <v>6.6422930000000004</v>
      </c>
      <c r="L32" s="54"/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/>
      <c r="H33" s="51"/>
      <c r="I33" s="45"/>
      <c r="J33" s="52"/>
      <c r="K33" s="53">
        <f t="shared" si="1"/>
        <v>0</v>
      </c>
      <c r="L33" s="54"/>
    </row>
    <row r="34" spans="1:12" s="55" customFormat="1" ht="19.5" customHeight="1" x14ac:dyDescent="0.3">
      <c r="A34" s="44" t="s">
        <v>5108</v>
      </c>
      <c r="B34" s="45" t="s">
        <v>5102</v>
      </c>
      <c r="C34" s="46">
        <v>24</v>
      </c>
      <c r="D34" s="47" t="s">
        <v>5103</v>
      </c>
      <c r="E34" s="48">
        <v>1</v>
      </c>
      <c r="F34" s="49">
        <v>3.14</v>
      </c>
      <c r="G34" s="50" t="s">
        <v>5105</v>
      </c>
      <c r="H34" s="51">
        <v>1981</v>
      </c>
      <c r="I34" s="45">
        <v>3353</v>
      </c>
      <c r="J34" s="52">
        <v>1</v>
      </c>
      <c r="K34" s="53">
        <f t="shared" si="1"/>
        <v>6.6422930000000004</v>
      </c>
      <c r="L34" s="54" t="s">
        <v>5107</v>
      </c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 t="s">
        <v>5106</v>
      </c>
      <c r="H35" s="51">
        <v>1981</v>
      </c>
      <c r="I35" s="45">
        <v>3353</v>
      </c>
      <c r="J35" s="52">
        <v>1</v>
      </c>
      <c r="K35" s="53">
        <f t="shared" si="1"/>
        <v>6.6422930000000004</v>
      </c>
      <c r="L35" s="54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1"/>
        <v>0</v>
      </c>
      <c r="L36" s="54"/>
    </row>
    <row r="37" spans="1:12" s="55" customFormat="1" ht="19.5" customHeight="1" x14ac:dyDescent="0.3">
      <c r="A37" s="44" t="s">
        <v>5109</v>
      </c>
      <c r="B37" s="45" t="s">
        <v>5110</v>
      </c>
      <c r="C37" s="46">
        <v>22</v>
      </c>
      <c r="D37" s="47" t="s">
        <v>320</v>
      </c>
      <c r="E37" s="48">
        <v>217</v>
      </c>
      <c r="F37" s="49">
        <v>172</v>
      </c>
      <c r="G37" s="50" t="s">
        <v>5106</v>
      </c>
      <c r="H37" s="51">
        <v>1829</v>
      </c>
      <c r="I37" s="45">
        <v>3353</v>
      </c>
      <c r="J37" s="52">
        <v>30</v>
      </c>
      <c r="K37" s="53">
        <f t="shared" si="1"/>
        <v>183.97910999999999</v>
      </c>
      <c r="L37" s="54" t="s">
        <v>5111</v>
      </c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1"/>
        <v>0</v>
      </c>
      <c r="L38" s="54"/>
    </row>
    <row r="39" spans="1:12" s="55" customFormat="1" ht="19.5" customHeight="1" x14ac:dyDescent="0.3">
      <c r="A39" s="44" t="s">
        <v>5112</v>
      </c>
      <c r="B39" s="45" t="s">
        <v>5113</v>
      </c>
      <c r="C39" s="46">
        <v>28</v>
      </c>
      <c r="D39" s="47" t="s">
        <v>5114</v>
      </c>
      <c r="E39" s="48">
        <v>2</v>
      </c>
      <c r="F39" s="49">
        <v>2.1800000000000002</v>
      </c>
      <c r="G39" s="50" t="s">
        <v>5118</v>
      </c>
      <c r="H39" s="51">
        <v>2134</v>
      </c>
      <c r="I39" s="45">
        <v>3048</v>
      </c>
      <c r="J39" s="52">
        <v>1</v>
      </c>
      <c r="K39" s="53">
        <f t="shared" si="1"/>
        <v>6.5044319999999995</v>
      </c>
      <c r="L39" s="54" t="s">
        <v>5117</v>
      </c>
    </row>
    <row r="40" spans="1:12" s="55" customFormat="1" ht="19.5" customHeight="1" x14ac:dyDescent="0.3">
      <c r="A40" s="44"/>
      <c r="B40" s="45"/>
      <c r="C40" s="46">
        <v>28</v>
      </c>
      <c r="D40" s="47" t="s">
        <v>5115</v>
      </c>
      <c r="E40" s="48">
        <v>1</v>
      </c>
      <c r="F40" s="49">
        <v>1.41</v>
      </c>
      <c r="G40" s="50"/>
      <c r="H40" s="51"/>
      <c r="I40" s="45"/>
      <c r="J40" s="52"/>
      <c r="K40" s="53">
        <f t="shared" si="1"/>
        <v>0</v>
      </c>
      <c r="L40" s="54" t="s">
        <v>5117</v>
      </c>
    </row>
    <row r="41" spans="1:12" s="55" customFormat="1" ht="19.5" customHeight="1" x14ac:dyDescent="0.3">
      <c r="A41" s="44" t="s">
        <v>5116</v>
      </c>
      <c r="B41" s="45" t="s">
        <v>5113</v>
      </c>
      <c r="C41" s="46">
        <v>28</v>
      </c>
      <c r="D41" s="47" t="s">
        <v>5114</v>
      </c>
      <c r="E41" s="48">
        <v>2</v>
      </c>
      <c r="F41" s="49">
        <v>3.09</v>
      </c>
      <c r="G41" s="50"/>
      <c r="H41" s="51"/>
      <c r="I41" s="45"/>
      <c r="J41" s="52"/>
      <c r="K41" s="53">
        <f t="shared" si="1"/>
        <v>0</v>
      </c>
      <c r="L41" s="54" t="s">
        <v>5117</v>
      </c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1"/>
        <v>0</v>
      </c>
      <c r="L42" s="54"/>
    </row>
    <row r="43" spans="1:12" s="55" customFormat="1" ht="19.5" customHeight="1" x14ac:dyDescent="0.3">
      <c r="A43" s="44" t="s">
        <v>5112</v>
      </c>
      <c r="B43" s="45" t="s">
        <v>5113</v>
      </c>
      <c r="C43" s="46">
        <v>28</v>
      </c>
      <c r="D43" s="47" t="s">
        <v>5115</v>
      </c>
      <c r="E43" s="48">
        <v>1</v>
      </c>
      <c r="F43" s="49">
        <v>1.41</v>
      </c>
      <c r="G43" s="50"/>
      <c r="H43" s="51"/>
      <c r="I43" s="45"/>
      <c r="J43" s="52"/>
      <c r="K43" s="53">
        <f t="shared" si="1"/>
        <v>0</v>
      </c>
      <c r="L43" s="54" t="s">
        <v>5123</v>
      </c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1"/>
        <v>0</v>
      </c>
      <c r="L44" s="54"/>
    </row>
    <row r="45" spans="1:12" s="55" customFormat="1" ht="19.5" customHeight="1" x14ac:dyDescent="0.3">
      <c r="A45" s="44" t="s">
        <v>5119</v>
      </c>
      <c r="B45" s="45" t="s">
        <v>5120</v>
      </c>
      <c r="C45" s="46">
        <v>39</v>
      </c>
      <c r="D45" s="47" t="s">
        <v>5121</v>
      </c>
      <c r="E45" s="48">
        <v>1</v>
      </c>
      <c r="F45" s="49">
        <f>2.72</f>
        <v>2.72</v>
      </c>
      <c r="G45" s="50"/>
      <c r="H45" s="51"/>
      <c r="I45" s="45"/>
      <c r="J45" s="52"/>
      <c r="K45" s="53">
        <f t="shared" si="1"/>
        <v>0</v>
      </c>
      <c r="L45" s="54" t="s">
        <v>5122</v>
      </c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1"/>
        <v>0</v>
      </c>
      <c r="L46" s="54"/>
    </row>
    <row r="47" spans="1:12" s="55" customFormat="1" ht="19.5" customHeight="1" x14ac:dyDescent="0.3">
      <c r="A47" s="44" t="s">
        <v>5124</v>
      </c>
      <c r="B47" s="45" t="s">
        <v>5127</v>
      </c>
      <c r="C47" s="46">
        <v>28</v>
      </c>
      <c r="D47" s="47" t="s">
        <v>5129</v>
      </c>
      <c r="E47" s="48">
        <v>3</v>
      </c>
      <c r="F47" s="49">
        <v>4.3899999999999997</v>
      </c>
      <c r="G47" s="50" t="s">
        <v>5098</v>
      </c>
      <c r="H47" s="51">
        <v>2438</v>
      </c>
      <c r="I47" s="45">
        <v>3048</v>
      </c>
      <c r="J47" s="52">
        <v>2</v>
      </c>
      <c r="K47" s="53">
        <f t="shared" si="1"/>
        <v>14.862048000000001</v>
      </c>
      <c r="L47" s="54" t="s">
        <v>5128</v>
      </c>
    </row>
    <row r="48" spans="1:12" s="55" customFormat="1" ht="19.5" customHeight="1" x14ac:dyDescent="0.3">
      <c r="A48" s="44" t="s">
        <v>5125</v>
      </c>
      <c r="B48" s="45" t="s">
        <v>5127</v>
      </c>
      <c r="C48" s="46">
        <v>28</v>
      </c>
      <c r="D48" s="47" t="s">
        <v>5130</v>
      </c>
      <c r="E48" s="48">
        <v>2</v>
      </c>
      <c r="F48" s="49">
        <v>4.76</v>
      </c>
      <c r="G48" s="50"/>
      <c r="H48" s="51"/>
      <c r="I48" s="45"/>
      <c r="J48" s="52"/>
      <c r="K48" s="53">
        <f t="shared" si="1"/>
        <v>0</v>
      </c>
      <c r="L48" s="54" t="s">
        <v>5128</v>
      </c>
    </row>
    <row r="49" spans="1:12" s="55" customFormat="1" ht="19.5" customHeight="1" x14ac:dyDescent="0.3">
      <c r="A49" s="44" t="s">
        <v>5126</v>
      </c>
      <c r="B49" s="45" t="s">
        <v>5127</v>
      </c>
      <c r="C49" s="46">
        <v>28</v>
      </c>
      <c r="D49" s="47" t="s">
        <v>5130</v>
      </c>
      <c r="E49" s="48">
        <v>2</v>
      </c>
      <c r="F49" s="49">
        <v>2.02</v>
      </c>
      <c r="G49" s="50"/>
      <c r="H49" s="51"/>
      <c r="I49" s="45"/>
      <c r="J49" s="52"/>
      <c r="K49" s="53">
        <f t="shared" si="1"/>
        <v>0</v>
      </c>
      <c r="L49" s="54" t="s">
        <v>5128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ref="K50:K68" si="2">(H50/1000*I50/1000)*J50</f>
        <v>0</v>
      </c>
      <c r="L50" s="54"/>
    </row>
    <row r="51" spans="1:12" s="55" customFormat="1" ht="19.5" customHeight="1" x14ac:dyDescent="0.3">
      <c r="A51" s="44" t="s">
        <v>5124</v>
      </c>
      <c r="B51" s="45" t="s">
        <v>5127</v>
      </c>
      <c r="C51" s="46">
        <v>28</v>
      </c>
      <c r="D51" s="47" t="s">
        <v>5129</v>
      </c>
      <c r="E51" s="48">
        <v>1</v>
      </c>
      <c r="F51" s="49">
        <f>3.38/2</f>
        <v>1.69</v>
      </c>
      <c r="G51" s="50" t="s">
        <v>5137</v>
      </c>
      <c r="H51" s="51">
        <v>1829</v>
      </c>
      <c r="I51" s="45">
        <v>3353</v>
      </c>
      <c r="J51" s="52">
        <v>6</v>
      </c>
      <c r="K51" s="53">
        <f t="shared" si="2"/>
        <v>36.795822000000001</v>
      </c>
      <c r="L51" s="54" t="s">
        <v>5143</v>
      </c>
    </row>
    <row r="52" spans="1:12" s="55" customFormat="1" ht="19.5" customHeight="1" x14ac:dyDescent="0.3">
      <c r="A52" s="44" t="s">
        <v>5131</v>
      </c>
      <c r="B52" s="45" t="s">
        <v>5127</v>
      </c>
      <c r="C52" s="46">
        <v>28</v>
      </c>
      <c r="D52" s="47" t="s">
        <v>5144</v>
      </c>
      <c r="E52" s="48">
        <v>4</v>
      </c>
      <c r="F52" s="49">
        <v>8.57</v>
      </c>
      <c r="G52" s="50"/>
      <c r="H52" s="51"/>
      <c r="I52" s="45"/>
      <c r="J52" s="52"/>
      <c r="K52" s="53">
        <f t="shared" ref="K52:K62" si="3">(H52/1000*I52/1000)*J52</f>
        <v>0</v>
      </c>
      <c r="L52" s="54" t="s">
        <v>5136</v>
      </c>
    </row>
    <row r="53" spans="1:12" s="55" customFormat="1" ht="19.5" customHeight="1" x14ac:dyDescent="0.3">
      <c r="A53" s="44" t="s">
        <v>5126</v>
      </c>
      <c r="B53" s="45" t="s">
        <v>5127</v>
      </c>
      <c r="C53" s="46">
        <v>28</v>
      </c>
      <c r="D53" s="47" t="s">
        <v>5130</v>
      </c>
      <c r="E53" s="48">
        <v>4</v>
      </c>
      <c r="F53" s="49">
        <v>7.19</v>
      </c>
      <c r="G53" s="50"/>
      <c r="H53" s="51"/>
      <c r="I53" s="45"/>
      <c r="J53" s="52"/>
      <c r="K53" s="53">
        <f t="shared" si="3"/>
        <v>0</v>
      </c>
      <c r="L53" s="54" t="s">
        <v>5136</v>
      </c>
    </row>
    <row r="54" spans="1:12" s="55" customFormat="1" ht="19.5" customHeight="1" x14ac:dyDescent="0.3">
      <c r="A54" s="44" t="s">
        <v>5132</v>
      </c>
      <c r="B54" s="45" t="s">
        <v>5127</v>
      </c>
      <c r="C54" s="46">
        <v>28</v>
      </c>
      <c r="D54" s="47" t="s">
        <v>5130</v>
      </c>
      <c r="E54" s="48">
        <v>3</v>
      </c>
      <c r="F54" s="49">
        <v>6.99</v>
      </c>
      <c r="G54" s="50"/>
      <c r="H54" s="51"/>
      <c r="I54" s="45"/>
      <c r="J54" s="52"/>
      <c r="K54" s="53">
        <f t="shared" si="3"/>
        <v>0</v>
      </c>
      <c r="L54" s="54" t="s">
        <v>5136</v>
      </c>
    </row>
    <row r="55" spans="1:12" s="55" customFormat="1" ht="19.5" customHeight="1" x14ac:dyDescent="0.3">
      <c r="A55" s="44" t="s">
        <v>5133</v>
      </c>
      <c r="B55" s="45" t="s">
        <v>5127</v>
      </c>
      <c r="C55" s="46">
        <v>28</v>
      </c>
      <c r="D55" s="47" t="s">
        <v>5144</v>
      </c>
      <c r="E55" s="48">
        <v>1</v>
      </c>
      <c r="F55" s="49">
        <v>0.8</v>
      </c>
      <c r="G55" s="50"/>
      <c r="H55" s="51"/>
      <c r="I55" s="45"/>
      <c r="J55" s="52"/>
      <c r="K55" s="53">
        <f t="shared" si="3"/>
        <v>0</v>
      </c>
      <c r="L55" s="54" t="s">
        <v>5136</v>
      </c>
    </row>
    <row r="56" spans="1:12" s="55" customFormat="1" ht="19.5" customHeight="1" x14ac:dyDescent="0.3">
      <c r="A56" s="44" t="s">
        <v>5134</v>
      </c>
      <c r="B56" s="45" t="s">
        <v>5127</v>
      </c>
      <c r="C56" s="46">
        <v>28</v>
      </c>
      <c r="D56" s="47" t="s">
        <v>5129</v>
      </c>
      <c r="E56" s="48">
        <v>1</v>
      </c>
      <c r="F56" s="49">
        <v>0.75</v>
      </c>
      <c r="G56" s="50"/>
      <c r="H56" s="51"/>
      <c r="I56" s="45"/>
      <c r="J56" s="52"/>
      <c r="K56" s="53">
        <f t="shared" si="3"/>
        <v>0</v>
      </c>
      <c r="L56" s="54" t="s">
        <v>5136</v>
      </c>
    </row>
    <row r="57" spans="1:12" s="55" customFormat="1" ht="19.5" customHeight="1" x14ac:dyDescent="0.3">
      <c r="A57" s="44" t="s">
        <v>5135</v>
      </c>
      <c r="B57" s="45" t="s">
        <v>5127</v>
      </c>
      <c r="C57" s="46">
        <v>28</v>
      </c>
      <c r="D57" s="47" t="s">
        <v>5144</v>
      </c>
      <c r="E57" s="48">
        <v>1</v>
      </c>
      <c r="F57" s="49">
        <v>2.33</v>
      </c>
      <c r="G57" s="50"/>
      <c r="H57" s="51"/>
      <c r="I57" s="45"/>
      <c r="J57" s="52"/>
      <c r="K57" s="53">
        <f t="shared" si="3"/>
        <v>0</v>
      </c>
      <c r="L57" s="54" t="s">
        <v>5136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3"/>
        <v>0</v>
      </c>
      <c r="L58" s="54"/>
    </row>
    <row r="59" spans="1:12" s="55" customFormat="1" ht="19.5" customHeight="1" x14ac:dyDescent="0.3">
      <c r="A59" s="44" t="s">
        <v>5131</v>
      </c>
      <c r="B59" s="45" t="s">
        <v>5127</v>
      </c>
      <c r="C59" s="46">
        <v>28</v>
      </c>
      <c r="D59" s="47" t="s">
        <v>5144</v>
      </c>
      <c r="E59" s="48">
        <v>13</v>
      </c>
      <c r="F59" s="49">
        <v>19.149999999999999</v>
      </c>
      <c r="G59" s="50" t="s">
        <v>5142</v>
      </c>
      <c r="H59" s="51">
        <v>2438</v>
      </c>
      <c r="I59" s="45">
        <v>3353</v>
      </c>
      <c r="J59" s="52">
        <v>8</v>
      </c>
      <c r="K59" s="53">
        <f t="shared" si="3"/>
        <v>65.396912</v>
      </c>
      <c r="L59" s="54" t="s">
        <v>5141</v>
      </c>
    </row>
    <row r="60" spans="1:12" s="55" customFormat="1" ht="19.5" customHeight="1" x14ac:dyDescent="0.3">
      <c r="A60" s="44"/>
      <c r="B60" s="45"/>
      <c r="C60" s="46">
        <v>28</v>
      </c>
      <c r="D60" s="47" t="s">
        <v>5145</v>
      </c>
      <c r="E60" s="48">
        <v>2</v>
      </c>
      <c r="F60" s="49">
        <v>2.46</v>
      </c>
      <c r="G60" s="50"/>
      <c r="H60" s="51"/>
      <c r="I60" s="45"/>
      <c r="J60" s="52"/>
      <c r="K60" s="53">
        <f t="shared" si="3"/>
        <v>0</v>
      </c>
      <c r="L60" s="54" t="s">
        <v>5141</v>
      </c>
    </row>
    <row r="61" spans="1:12" s="55" customFormat="1" ht="19.5" customHeight="1" x14ac:dyDescent="0.3">
      <c r="A61" s="44" t="s">
        <v>5138</v>
      </c>
      <c r="B61" s="45" t="s">
        <v>5127</v>
      </c>
      <c r="C61" s="46">
        <v>28</v>
      </c>
      <c r="D61" s="47" t="s">
        <v>5145</v>
      </c>
      <c r="E61" s="48">
        <v>1</v>
      </c>
      <c r="F61" s="49">
        <v>0.46</v>
      </c>
      <c r="G61" s="50"/>
      <c r="H61" s="51"/>
      <c r="I61" s="45"/>
      <c r="J61" s="52"/>
      <c r="K61" s="53">
        <f t="shared" si="3"/>
        <v>0</v>
      </c>
      <c r="L61" s="54" t="s">
        <v>5141</v>
      </c>
    </row>
    <row r="62" spans="1:12" s="55" customFormat="1" ht="19.5" customHeight="1" x14ac:dyDescent="0.3">
      <c r="A62" s="44" t="s">
        <v>5139</v>
      </c>
      <c r="B62" s="45" t="s">
        <v>5127</v>
      </c>
      <c r="C62" s="46">
        <v>28</v>
      </c>
      <c r="D62" s="47" t="s">
        <v>5145</v>
      </c>
      <c r="E62" s="48">
        <f>2+4+2</f>
        <v>8</v>
      </c>
      <c r="F62" s="49">
        <v>9.06</v>
      </c>
      <c r="G62" s="50"/>
      <c r="H62" s="51"/>
      <c r="I62" s="45"/>
      <c r="J62" s="52"/>
      <c r="K62" s="53">
        <f t="shared" si="3"/>
        <v>0</v>
      </c>
      <c r="L62" s="54" t="s">
        <v>5141</v>
      </c>
    </row>
    <row r="63" spans="1:12" s="55" customFormat="1" ht="19.5" customHeight="1" x14ac:dyDescent="0.3">
      <c r="A63" s="44" t="s">
        <v>5133</v>
      </c>
      <c r="B63" s="45" t="s">
        <v>5127</v>
      </c>
      <c r="C63" s="46">
        <v>28</v>
      </c>
      <c r="D63" s="47" t="s">
        <v>5144</v>
      </c>
      <c r="E63" s="48">
        <f>2+2+1</f>
        <v>5</v>
      </c>
      <c r="F63" s="49">
        <v>9.4</v>
      </c>
      <c r="G63" s="50"/>
      <c r="H63" s="51"/>
      <c r="I63" s="45"/>
      <c r="J63" s="52"/>
      <c r="K63" s="53">
        <f t="shared" si="2"/>
        <v>0</v>
      </c>
      <c r="L63" s="54" t="s">
        <v>5141</v>
      </c>
    </row>
    <row r="64" spans="1:12" s="55" customFormat="1" ht="19.5" customHeight="1" x14ac:dyDescent="0.3">
      <c r="A64" s="44" t="s">
        <v>5140</v>
      </c>
      <c r="B64" s="45" t="s">
        <v>5127</v>
      </c>
      <c r="C64" s="46">
        <v>28</v>
      </c>
      <c r="D64" s="47" t="s">
        <v>5144</v>
      </c>
      <c r="E64" s="48">
        <v>1</v>
      </c>
      <c r="F64" s="49">
        <v>1.43</v>
      </c>
      <c r="G64" s="50"/>
      <c r="H64" s="51"/>
      <c r="I64" s="45"/>
      <c r="J64" s="52"/>
      <c r="K64" s="53">
        <f t="shared" si="2"/>
        <v>0</v>
      </c>
      <c r="L64" s="54" t="s">
        <v>5141</v>
      </c>
    </row>
    <row r="65" spans="1:12" s="55" customFormat="1" ht="19.5" customHeight="1" x14ac:dyDescent="0.3">
      <c r="A65" s="44" t="s">
        <v>5135</v>
      </c>
      <c r="B65" s="45" t="s">
        <v>5127</v>
      </c>
      <c r="C65" s="46">
        <v>28</v>
      </c>
      <c r="D65" s="47" t="s">
        <v>5144</v>
      </c>
      <c r="E65" s="48">
        <v>7</v>
      </c>
      <c r="F65" s="49">
        <v>12.53</v>
      </c>
      <c r="G65" s="50"/>
      <c r="H65" s="51"/>
      <c r="I65" s="45"/>
      <c r="J65" s="52"/>
      <c r="K65" s="53">
        <f t="shared" si="2"/>
        <v>0</v>
      </c>
      <c r="L65" s="54" t="s">
        <v>5141</v>
      </c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2"/>
        <v>0</v>
      </c>
      <c r="L66" s="54"/>
    </row>
    <row r="67" spans="1:12" s="55" customFormat="1" ht="19.5" customHeight="1" x14ac:dyDescent="0.3">
      <c r="A67" s="44" t="s">
        <v>5146</v>
      </c>
      <c r="B67" s="45" t="s">
        <v>5110</v>
      </c>
      <c r="C67" s="46">
        <v>22</v>
      </c>
      <c r="D67" s="47" t="s">
        <v>307</v>
      </c>
      <c r="E67" s="48">
        <v>164</v>
      </c>
      <c r="F67" s="49">
        <v>126.44</v>
      </c>
      <c r="G67" s="50" t="s">
        <v>5147</v>
      </c>
      <c r="H67" s="51">
        <v>1829</v>
      </c>
      <c r="I67" s="45">
        <v>3353</v>
      </c>
      <c r="J67" s="52">
        <v>19</v>
      </c>
      <c r="K67" s="53">
        <f t="shared" si="2"/>
        <v>116.52010299999999</v>
      </c>
      <c r="L67" s="54" t="s">
        <v>5148</v>
      </c>
    </row>
    <row r="68" spans="1:12" s="55" customFormat="1" ht="19.5" customHeight="1" x14ac:dyDescent="0.3">
      <c r="A68" s="44"/>
      <c r="B68" s="45"/>
      <c r="C68" s="46">
        <v>22</v>
      </c>
      <c r="D68" s="47" t="s">
        <v>320</v>
      </c>
      <c r="E68" s="48">
        <v>160</v>
      </c>
      <c r="F68" s="49">
        <v>121.8</v>
      </c>
      <c r="G68" s="50" t="s">
        <v>5106</v>
      </c>
      <c r="H68" s="51">
        <v>1829</v>
      </c>
      <c r="I68" s="45">
        <v>3353</v>
      </c>
      <c r="J68" s="52">
        <v>20</v>
      </c>
      <c r="K68" s="53">
        <f t="shared" si="2"/>
        <v>122.65273999999999</v>
      </c>
      <c r="L68" s="54" t="s">
        <v>5149</v>
      </c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 t="s">
        <v>5104</v>
      </c>
      <c r="H69" s="51">
        <v>1829</v>
      </c>
      <c r="I69" s="45">
        <v>3353</v>
      </c>
      <c r="J69" s="52">
        <v>20</v>
      </c>
      <c r="K69" s="53">
        <f t="shared" si="1"/>
        <v>122.65273999999999</v>
      </c>
      <c r="L69" s="54" t="s">
        <v>5149</v>
      </c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ref="K70:K93" si="4">(H70/1000*I70/1000)*J70</f>
        <v>0</v>
      </c>
      <c r="L70" s="54"/>
    </row>
    <row r="71" spans="1:12" s="55" customFormat="1" ht="19.5" customHeight="1" x14ac:dyDescent="0.3">
      <c r="A71" s="44" t="s">
        <v>5100</v>
      </c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4"/>
        <v>0</v>
      </c>
      <c r="L71" s="54"/>
    </row>
    <row r="72" spans="1:12" s="55" customFormat="1" ht="19.5" customHeight="1" x14ac:dyDescent="0.3">
      <c r="A72" s="44" t="s">
        <v>5159</v>
      </c>
      <c r="B72" s="45" t="s">
        <v>5160</v>
      </c>
      <c r="C72" s="46">
        <v>24</v>
      </c>
      <c r="D72" s="47" t="s">
        <v>5161</v>
      </c>
      <c r="E72" s="48">
        <v>2</v>
      </c>
      <c r="F72" s="49">
        <v>0.56000000000000005</v>
      </c>
      <c r="G72" s="50"/>
      <c r="H72" s="51"/>
      <c r="I72" s="45"/>
      <c r="J72" s="52"/>
      <c r="K72" s="53">
        <f t="shared" si="4"/>
        <v>0</v>
      </c>
      <c r="L72" s="54" t="s">
        <v>5163</v>
      </c>
    </row>
    <row r="73" spans="1:12" s="55" customFormat="1" ht="19.5" customHeight="1" x14ac:dyDescent="0.3">
      <c r="A73" s="44"/>
      <c r="B73" s="45"/>
      <c r="C73" s="46">
        <v>24</v>
      </c>
      <c r="D73" s="47" t="s">
        <v>5162</v>
      </c>
      <c r="E73" s="48">
        <v>2</v>
      </c>
      <c r="F73" s="49">
        <v>0.56000000000000005</v>
      </c>
      <c r="G73" s="50"/>
      <c r="H73" s="51"/>
      <c r="I73" s="45"/>
      <c r="J73" s="52"/>
      <c r="K73" s="53">
        <f t="shared" si="4"/>
        <v>0</v>
      </c>
      <c r="L73" s="54" t="s">
        <v>5163</v>
      </c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4"/>
        <v>0</v>
      </c>
      <c r="L74" s="54"/>
    </row>
    <row r="75" spans="1:12" s="55" customFormat="1" ht="19.5" customHeight="1" x14ac:dyDescent="0.3">
      <c r="A75" s="44" t="s">
        <v>5164</v>
      </c>
      <c r="B75" s="45" t="s">
        <v>5155</v>
      </c>
      <c r="C75" s="46">
        <v>22</v>
      </c>
      <c r="D75" s="47" t="s">
        <v>5165</v>
      </c>
      <c r="E75" s="48">
        <v>12</v>
      </c>
      <c r="F75" s="49">
        <v>13.2</v>
      </c>
      <c r="G75" s="50" t="s">
        <v>5170</v>
      </c>
      <c r="H75" s="51">
        <v>1981</v>
      </c>
      <c r="I75" s="45">
        <v>3353</v>
      </c>
      <c r="J75" s="52">
        <v>10</v>
      </c>
      <c r="K75" s="53">
        <f t="shared" si="4"/>
        <v>66.422930000000008</v>
      </c>
      <c r="L75" s="54" t="s">
        <v>5173</v>
      </c>
    </row>
    <row r="76" spans="1:12" s="55" customFormat="1" ht="19.5" customHeight="1" x14ac:dyDescent="0.3">
      <c r="A76" s="44"/>
      <c r="B76" s="45"/>
      <c r="C76" s="46">
        <v>46.76</v>
      </c>
      <c r="D76" s="47" t="s">
        <v>5166</v>
      </c>
      <c r="E76" s="48">
        <v>4</v>
      </c>
      <c r="F76" s="49">
        <v>1.8</v>
      </c>
      <c r="G76" s="50" t="s">
        <v>5172</v>
      </c>
      <c r="H76" s="51">
        <v>1981</v>
      </c>
      <c r="I76" s="45">
        <v>3353</v>
      </c>
      <c r="J76" s="52">
        <v>11</v>
      </c>
      <c r="K76" s="53">
        <f t="shared" si="4"/>
        <v>73.065223000000003</v>
      </c>
      <c r="L76" s="54" t="s">
        <v>5173</v>
      </c>
    </row>
    <row r="77" spans="1:12" s="55" customFormat="1" ht="19.5" customHeight="1" x14ac:dyDescent="0.3">
      <c r="A77" s="44" t="s">
        <v>5167</v>
      </c>
      <c r="B77" s="45" t="s">
        <v>5155</v>
      </c>
      <c r="C77" s="46">
        <v>22</v>
      </c>
      <c r="D77" s="47" t="s">
        <v>5165</v>
      </c>
      <c r="E77" s="48">
        <v>16</v>
      </c>
      <c r="F77" s="49">
        <v>22.56</v>
      </c>
      <c r="G77" s="50" t="s">
        <v>5171</v>
      </c>
      <c r="H77" s="51">
        <v>1829</v>
      </c>
      <c r="I77" s="45">
        <v>3353</v>
      </c>
      <c r="J77" s="52">
        <v>2</v>
      </c>
      <c r="K77" s="53">
        <f t="shared" si="4"/>
        <v>12.265274</v>
      </c>
      <c r="L77" s="54" t="s">
        <v>5173</v>
      </c>
    </row>
    <row r="78" spans="1:12" s="55" customFormat="1" ht="19.5" customHeight="1" x14ac:dyDescent="0.3">
      <c r="A78" s="44"/>
      <c r="B78" s="45"/>
      <c r="C78" s="46">
        <v>46.76</v>
      </c>
      <c r="D78" s="47" t="s">
        <v>5166</v>
      </c>
      <c r="E78" s="48">
        <v>8</v>
      </c>
      <c r="F78" s="49">
        <v>3.2</v>
      </c>
      <c r="G78" s="50"/>
      <c r="H78" s="51"/>
      <c r="I78" s="45"/>
      <c r="J78" s="52"/>
      <c r="K78" s="53">
        <f t="shared" si="4"/>
        <v>0</v>
      </c>
      <c r="L78" s="54" t="s">
        <v>5173</v>
      </c>
    </row>
    <row r="79" spans="1:12" s="55" customFormat="1" ht="19.5" customHeight="1" x14ac:dyDescent="0.3">
      <c r="A79" s="44" t="s">
        <v>5168</v>
      </c>
      <c r="B79" s="45" t="s">
        <v>5155</v>
      </c>
      <c r="C79" s="46">
        <v>22</v>
      </c>
      <c r="D79" s="47" t="s">
        <v>5165</v>
      </c>
      <c r="E79" s="48">
        <v>8</v>
      </c>
      <c r="F79" s="49">
        <v>11.28</v>
      </c>
      <c r="G79" s="50"/>
      <c r="H79" s="51"/>
      <c r="I79" s="45"/>
      <c r="J79" s="52"/>
      <c r="K79" s="53">
        <f t="shared" si="4"/>
        <v>0</v>
      </c>
      <c r="L79" s="54" t="s">
        <v>5173</v>
      </c>
    </row>
    <row r="80" spans="1:12" s="55" customFormat="1" ht="19.5" customHeight="1" x14ac:dyDescent="0.3">
      <c r="A80" s="44"/>
      <c r="B80" s="45"/>
      <c r="C80" s="46">
        <v>46.76</v>
      </c>
      <c r="D80" s="47" t="s">
        <v>5166</v>
      </c>
      <c r="E80" s="48">
        <v>4</v>
      </c>
      <c r="F80" s="49">
        <v>1.8</v>
      </c>
      <c r="G80" s="50"/>
      <c r="H80" s="51"/>
      <c r="I80" s="45"/>
      <c r="J80" s="52"/>
      <c r="K80" s="53">
        <f t="shared" si="4"/>
        <v>0</v>
      </c>
      <c r="L80" s="54" t="s">
        <v>5173</v>
      </c>
    </row>
    <row r="81" spans="1:12" s="55" customFormat="1" ht="19.5" customHeight="1" x14ac:dyDescent="0.3">
      <c r="A81" s="44" t="s">
        <v>5169</v>
      </c>
      <c r="B81" s="45" t="s">
        <v>5155</v>
      </c>
      <c r="C81" s="46">
        <v>22</v>
      </c>
      <c r="D81" s="47" t="s">
        <v>5165</v>
      </c>
      <c r="E81" s="48">
        <v>12</v>
      </c>
      <c r="F81" s="49">
        <v>13.2</v>
      </c>
      <c r="G81" s="50"/>
      <c r="H81" s="51"/>
      <c r="I81" s="45"/>
      <c r="J81" s="52"/>
      <c r="K81" s="53">
        <f t="shared" si="4"/>
        <v>0</v>
      </c>
      <c r="L81" s="54" t="s">
        <v>5173</v>
      </c>
    </row>
    <row r="82" spans="1:12" s="55" customFormat="1" ht="19.5" customHeight="1" x14ac:dyDescent="0.3">
      <c r="A82" s="44"/>
      <c r="B82" s="45"/>
      <c r="C82" s="46">
        <v>46.76</v>
      </c>
      <c r="D82" s="47" t="s">
        <v>5166</v>
      </c>
      <c r="E82" s="48">
        <v>4</v>
      </c>
      <c r="F82" s="49">
        <v>1.8</v>
      </c>
      <c r="G82" s="50"/>
      <c r="H82" s="51"/>
      <c r="I82" s="45"/>
      <c r="J82" s="52"/>
      <c r="K82" s="53">
        <f t="shared" si="4"/>
        <v>0</v>
      </c>
      <c r="L82" s="54" t="s">
        <v>5173</v>
      </c>
    </row>
    <row r="83" spans="1:12" s="55" customFormat="1" ht="19.5" customHeight="1" x14ac:dyDescent="0.3">
      <c r="A83" s="44"/>
      <c r="B83" s="45"/>
      <c r="C83" s="46"/>
      <c r="D83" s="47"/>
      <c r="E83" s="48"/>
      <c r="F83" s="49"/>
      <c r="G83" s="50"/>
      <c r="H83" s="51"/>
      <c r="I83" s="45"/>
      <c r="J83" s="52"/>
      <c r="K83" s="53">
        <f t="shared" si="4"/>
        <v>0</v>
      </c>
      <c r="L83" s="54"/>
    </row>
    <row r="84" spans="1:12" s="55" customFormat="1" ht="19.5" customHeight="1" x14ac:dyDescent="0.3">
      <c r="A84" s="44" t="s">
        <v>5169</v>
      </c>
      <c r="B84" s="45" t="s">
        <v>5155</v>
      </c>
      <c r="C84" s="46">
        <v>25.76</v>
      </c>
      <c r="D84" s="47" t="s">
        <v>5174</v>
      </c>
      <c r="E84" s="48">
        <v>28</v>
      </c>
      <c r="F84" s="49">
        <v>16.64</v>
      </c>
      <c r="G84" s="50" t="s">
        <v>5172</v>
      </c>
      <c r="H84" s="51">
        <v>2134</v>
      </c>
      <c r="I84" s="45">
        <v>3353</v>
      </c>
      <c r="J84" s="52">
        <v>3</v>
      </c>
      <c r="K84" s="53">
        <f t="shared" ref="K84:K92" si="5">(H84/1000*I84/1000)*J84</f>
        <v>21.465906</v>
      </c>
      <c r="L84" s="54"/>
    </row>
    <row r="85" spans="1:12" s="55" customFormat="1" ht="19.5" customHeight="1" x14ac:dyDescent="0.3">
      <c r="A85" s="44"/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si="5"/>
        <v>0</v>
      </c>
      <c r="L85" s="54"/>
    </row>
    <row r="86" spans="1:12" s="55" customFormat="1" ht="19.5" customHeight="1" x14ac:dyDescent="0.3">
      <c r="A86" s="44" t="s">
        <v>5168</v>
      </c>
      <c r="B86" s="45" t="s">
        <v>5155</v>
      </c>
      <c r="C86" s="46">
        <v>25.76</v>
      </c>
      <c r="D86" s="47" t="s">
        <v>5174</v>
      </c>
      <c r="E86" s="48">
        <v>28</v>
      </c>
      <c r="F86" s="49">
        <v>13.36</v>
      </c>
      <c r="G86" s="50" t="s">
        <v>5172</v>
      </c>
      <c r="H86" s="51">
        <v>2134</v>
      </c>
      <c r="I86" s="45">
        <v>3353</v>
      </c>
      <c r="J86" s="52">
        <v>2</v>
      </c>
      <c r="K86" s="53">
        <f t="shared" si="5"/>
        <v>14.310604</v>
      </c>
      <c r="L86" s="54"/>
    </row>
    <row r="87" spans="1:12" s="55" customFormat="1" ht="19.5" customHeight="1" x14ac:dyDescent="0.3">
      <c r="A87" s="44"/>
      <c r="B87" s="45"/>
      <c r="C87" s="46"/>
      <c r="D87" s="47"/>
      <c r="E87" s="48"/>
      <c r="F87" s="49"/>
      <c r="G87" s="50"/>
      <c r="H87" s="51"/>
      <c r="I87" s="45"/>
      <c r="J87" s="52"/>
      <c r="K87" s="53">
        <f t="shared" si="5"/>
        <v>0</v>
      </c>
      <c r="L87" s="54"/>
    </row>
    <row r="88" spans="1:12" s="55" customFormat="1" ht="19.5" customHeight="1" x14ac:dyDescent="0.3">
      <c r="A88" s="44" t="s">
        <v>5167</v>
      </c>
      <c r="B88" s="45" t="s">
        <v>5155</v>
      </c>
      <c r="C88" s="46">
        <v>25.76</v>
      </c>
      <c r="D88" s="47" t="s">
        <v>5174</v>
      </c>
      <c r="E88" s="48">
        <v>64</v>
      </c>
      <c r="F88" s="49">
        <v>31.76</v>
      </c>
      <c r="G88" s="50" t="s">
        <v>5172</v>
      </c>
      <c r="H88" s="51">
        <v>2134</v>
      </c>
      <c r="I88" s="45">
        <v>3353</v>
      </c>
      <c r="J88" s="52">
        <v>5</v>
      </c>
      <c r="K88" s="53">
        <f t="shared" si="5"/>
        <v>35.776510000000002</v>
      </c>
      <c r="L88" s="54"/>
    </row>
    <row r="89" spans="1:12" s="55" customFormat="1" ht="19.5" customHeight="1" x14ac:dyDescent="0.3">
      <c r="A89" s="44"/>
      <c r="B89" s="45"/>
      <c r="C89" s="46"/>
      <c r="D89" s="47"/>
      <c r="E89" s="48"/>
      <c r="F89" s="49"/>
      <c r="G89" s="50"/>
      <c r="H89" s="51"/>
      <c r="I89" s="45"/>
      <c r="J89" s="52"/>
      <c r="K89" s="53">
        <f t="shared" si="5"/>
        <v>0</v>
      </c>
      <c r="L89" s="54"/>
    </row>
    <row r="90" spans="1:12" s="55" customFormat="1" ht="19.5" customHeight="1" x14ac:dyDescent="0.3">
      <c r="A90" s="44" t="s">
        <v>5164</v>
      </c>
      <c r="B90" s="45" t="s">
        <v>5155</v>
      </c>
      <c r="C90" s="46">
        <v>25.76</v>
      </c>
      <c r="D90" s="47" t="s">
        <v>5174</v>
      </c>
      <c r="E90" s="48">
        <v>36</v>
      </c>
      <c r="F90" s="49">
        <v>20.88</v>
      </c>
      <c r="G90" s="50" t="s">
        <v>5172</v>
      </c>
      <c r="H90" s="51">
        <v>2134</v>
      </c>
      <c r="I90" s="45">
        <v>3353</v>
      </c>
      <c r="J90" s="52">
        <v>3</v>
      </c>
      <c r="K90" s="53">
        <f t="shared" si="5"/>
        <v>21.465906</v>
      </c>
      <c r="L90" s="54"/>
    </row>
    <row r="91" spans="1:12" s="55" customFormat="1" ht="19.5" customHeight="1" x14ac:dyDescent="0.3">
      <c r="A91" s="44"/>
      <c r="B91" s="45"/>
      <c r="C91" s="46"/>
      <c r="D91" s="47"/>
      <c r="E91" s="48"/>
      <c r="F91" s="49"/>
      <c r="G91" s="50"/>
      <c r="H91" s="51"/>
      <c r="I91" s="45"/>
      <c r="J91" s="52"/>
      <c r="K91" s="53">
        <f t="shared" si="5"/>
        <v>0</v>
      </c>
      <c r="L91" s="54"/>
    </row>
    <row r="92" spans="1:12" s="55" customFormat="1" ht="19.5" customHeight="1" x14ac:dyDescent="0.3">
      <c r="A92" s="44"/>
      <c r="B92" s="45"/>
      <c r="C92" s="46"/>
      <c r="D92" s="47"/>
      <c r="E92" s="48"/>
      <c r="F92" s="49"/>
      <c r="G92" s="50"/>
      <c r="H92" s="51"/>
      <c r="I92" s="45"/>
      <c r="J92" s="52"/>
      <c r="K92" s="53">
        <f t="shared" si="5"/>
        <v>0</v>
      </c>
      <c r="L92" s="54"/>
    </row>
    <row r="93" spans="1:12" s="55" customFormat="1" ht="19.5" customHeight="1" x14ac:dyDescent="0.3">
      <c r="A93" s="44"/>
      <c r="B93" s="45"/>
      <c r="C93" s="46"/>
      <c r="D93" s="47"/>
      <c r="E93" s="48"/>
      <c r="F93" s="49"/>
      <c r="G93" s="50"/>
      <c r="H93" s="51"/>
      <c r="I93" s="45"/>
      <c r="J93" s="52"/>
      <c r="K93" s="53">
        <f t="shared" si="4"/>
        <v>0</v>
      </c>
      <c r="L93" s="54"/>
    </row>
    <row r="94" spans="1:12" s="55" customFormat="1" ht="19.5" customHeight="1" x14ac:dyDescent="0.3">
      <c r="A94" s="44"/>
      <c r="B94" s="45"/>
      <c r="C94" s="46"/>
      <c r="D94" s="47"/>
      <c r="E94" s="48"/>
      <c r="F94" s="49"/>
      <c r="G94" s="50"/>
      <c r="H94" s="51"/>
      <c r="I94" s="45"/>
      <c r="J94" s="52"/>
      <c r="K94" s="53">
        <f t="shared" si="0"/>
        <v>0</v>
      </c>
      <c r="L94" s="54"/>
    </row>
    <row r="95" spans="1:12" s="55" customFormat="1" ht="19.5" customHeight="1" x14ac:dyDescent="0.3">
      <c r="A95" s="44"/>
      <c r="B95" s="45"/>
      <c r="C95" s="46"/>
      <c r="D95" s="47"/>
      <c r="E95" s="48"/>
      <c r="F95" s="49"/>
      <c r="G95" s="50"/>
      <c r="H95" s="51"/>
      <c r="I95" s="45"/>
      <c r="J95" s="52"/>
      <c r="K95" s="53">
        <f t="shared" si="0"/>
        <v>0</v>
      </c>
      <c r="L95" s="54"/>
    </row>
    <row r="96" spans="1:12" s="59" customFormat="1" ht="20.100000000000001" customHeight="1" x14ac:dyDescent="0.3">
      <c r="A96" s="44"/>
      <c r="B96" s="45"/>
      <c r="C96" s="46"/>
      <c r="D96" s="47"/>
      <c r="E96" s="56"/>
      <c r="F96" s="57"/>
      <c r="G96" s="50"/>
      <c r="H96" s="51"/>
      <c r="I96" s="45"/>
      <c r="J96" s="52"/>
      <c r="K96" s="53">
        <f t="shared" si="0"/>
        <v>0</v>
      </c>
      <c r="L96" s="58">
        <f>SUM(J30:J97)</f>
        <v>146</v>
      </c>
    </row>
    <row r="97" spans="1:12" s="59" customFormat="1" ht="20.100000000000001" customHeight="1" x14ac:dyDescent="0.3">
      <c r="A97" s="44"/>
      <c r="B97" s="45"/>
      <c r="C97" s="46"/>
      <c r="D97" s="47"/>
      <c r="E97" s="60"/>
      <c r="F97" s="61"/>
      <c r="G97" s="62"/>
      <c r="H97" s="51"/>
      <c r="I97" s="45"/>
      <c r="J97" s="63"/>
      <c r="K97" s="53">
        <f t="shared" si="0"/>
        <v>0</v>
      </c>
      <c r="L97" s="64">
        <f>SUM(K30:K97)</f>
        <v>940.70543199999997</v>
      </c>
    </row>
    <row r="98" spans="1:12" s="59" customFormat="1" ht="20.100000000000001" customHeight="1" thickBot="1" x14ac:dyDescent="0.35">
      <c r="A98" s="114"/>
      <c r="B98" s="115"/>
      <c r="C98" s="115"/>
      <c r="D98" s="115"/>
      <c r="E98" s="115"/>
      <c r="F98" s="115"/>
      <c r="G98" s="115"/>
      <c r="H98" s="115"/>
      <c r="I98" s="115"/>
      <c r="J98" s="65">
        <f>SUM(J7:J97)</f>
        <v>266</v>
      </c>
      <c r="K98" s="66">
        <f>SUM(K7:K97)</f>
        <v>1819.9757099999999</v>
      </c>
      <c r="L98" s="67"/>
    </row>
    <row r="99" spans="1:12" s="59" customFormat="1" ht="20.100000000000001" customHeight="1" thickTop="1" thickBot="1" x14ac:dyDescent="0.35">
      <c r="A99" s="116" t="s">
        <v>52</v>
      </c>
      <c r="B99" s="117"/>
      <c r="C99" s="68"/>
      <c r="D99" s="118">
        <f>J98</f>
        <v>266</v>
      </c>
      <c r="E99" s="119"/>
      <c r="F99" s="119"/>
      <c r="G99" s="120"/>
      <c r="H99" s="121"/>
      <c r="I99" s="121"/>
      <c r="J99" s="122"/>
      <c r="K99" s="119"/>
      <c r="L99" s="123"/>
    </row>
    <row r="100" spans="1:12" s="59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71"/>
    </row>
    <row r="101" spans="1:12" s="59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59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59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59" customFormat="1" ht="20.100000000000001" customHeight="1" x14ac:dyDescent="0.3">
      <c r="A104" s="113"/>
      <c r="B104" s="113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59" customFormat="1" ht="20.100000000000001" customHeight="1" x14ac:dyDescent="0.3">
      <c r="A105" s="113"/>
      <c r="B105" s="113"/>
      <c r="C105" s="5"/>
      <c r="D105" s="5"/>
      <c r="E105" s="72"/>
      <c r="F105" s="5"/>
      <c r="G105" s="5"/>
      <c r="H105" s="5"/>
      <c r="I105" s="5"/>
      <c r="J105" s="5"/>
      <c r="K105" s="5"/>
      <c r="L105" s="5"/>
    </row>
    <row r="106" spans="1:12" s="59" customFormat="1" ht="20.100000000000001" customHeight="1" x14ac:dyDescent="0.3">
      <c r="A106" s="113"/>
      <c r="B106" s="113"/>
      <c r="C106" s="5"/>
      <c r="D106" s="5"/>
      <c r="E106" s="5"/>
      <c r="F106" s="5"/>
      <c r="G106" s="73"/>
      <c r="H106" s="5"/>
      <c r="I106" s="74"/>
      <c r="J106" s="5"/>
      <c r="K106" s="5"/>
      <c r="L106" s="5"/>
    </row>
    <row r="107" spans="1:12" s="59" customFormat="1" ht="20.100000000000001" customHeight="1" x14ac:dyDescent="0.3">
      <c r="A107" s="113"/>
      <c r="B107" s="113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59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59" customFormat="1" ht="20.100000000000001" customHeight="1" x14ac:dyDescent="0.3">
      <c r="A109" s="113"/>
      <c r="B109" s="113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59" customFormat="1" ht="20.100000000000001" customHeight="1" x14ac:dyDescent="0.3">
      <c r="A110" s="113"/>
      <c r="B110" s="113"/>
      <c r="C110" s="5"/>
      <c r="D110" s="5"/>
      <c r="E110" s="5"/>
      <c r="F110" s="70"/>
      <c r="G110" s="5"/>
      <c r="H110" s="72"/>
      <c r="I110" s="72"/>
      <c r="J110" s="5"/>
      <c r="K110" s="5"/>
      <c r="L110" s="5"/>
    </row>
    <row r="111" spans="1:12" ht="20.100000000000001" customHeight="1" x14ac:dyDescent="0.3">
      <c r="A111" s="113"/>
      <c r="B111" s="113"/>
      <c r="H111" s="72"/>
      <c r="I111" s="72"/>
    </row>
    <row r="112" spans="1:12" ht="20.100000000000001" customHeight="1" x14ac:dyDescent="0.3">
      <c r="H112" s="72"/>
      <c r="I112" s="72"/>
    </row>
    <row r="113" spans="1:12" ht="20.100000000000001" customHeight="1" x14ac:dyDescent="0.3">
      <c r="H113" s="72"/>
      <c r="I113" s="72"/>
    </row>
    <row r="114" spans="1:12" ht="20.100000000000001" customHeight="1" x14ac:dyDescent="0.3">
      <c r="A114" s="113"/>
      <c r="B114" s="113"/>
      <c r="H114" s="72"/>
      <c r="I114" s="72"/>
    </row>
    <row r="115" spans="1:12" ht="20.100000000000001" customHeight="1" x14ac:dyDescent="0.3">
      <c r="A115" s="113"/>
      <c r="B115" s="113"/>
      <c r="H115" s="72"/>
      <c r="I115" s="72"/>
    </row>
    <row r="116" spans="1:12" ht="20.100000000000001" customHeight="1" x14ac:dyDescent="0.3">
      <c r="H116" s="72"/>
      <c r="I116" s="72"/>
    </row>
    <row r="117" spans="1:12" ht="20.100000000000001" customHeight="1" x14ac:dyDescent="0.3">
      <c r="H117" s="72"/>
      <c r="I117" s="72"/>
    </row>
    <row r="118" spans="1:12" ht="20.100000000000001" customHeight="1" x14ac:dyDescent="0.3">
      <c r="H118" s="72"/>
      <c r="I118" s="72"/>
    </row>
    <row r="119" spans="1:12" s="72" customFormat="1" ht="20.100000000000001" customHeight="1" x14ac:dyDescent="0.3">
      <c r="A119" s="69"/>
      <c r="B119" s="5"/>
      <c r="C119" s="5"/>
      <c r="D119" s="5"/>
      <c r="E119" s="5"/>
      <c r="F119" s="70"/>
      <c r="G119" s="5"/>
      <c r="J119" s="5"/>
      <c r="K119" s="5"/>
      <c r="L119" s="5"/>
    </row>
    <row r="120" spans="1:12" s="72" customFormat="1" ht="20.100000000000001" customHeight="1" x14ac:dyDescent="0.3">
      <c r="A120" s="69"/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s="75" customFormat="1" ht="20.100000000000001" customHeight="1" x14ac:dyDescent="0.3">
      <c r="A121" s="69"/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75" customFormat="1" ht="20.100000000000001" customHeight="1" x14ac:dyDescent="0.3">
      <c r="A122" s="69"/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75" customFormat="1" ht="19.5" customHeight="1" x14ac:dyDescent="0.3">
      <c r="A123" s="69"/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72" customFormat="1" ht="20.100000000000001" customHeight="1" x14ac:dyDescent="0.3">
      <c r="A124" s="69"/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72" customFormat="1" ht="20.100000000000001" customHeight="1" x14ac:dyDescent="0.3">
      <c r="A125" s="69"/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ht="19.5" customHeight="1" x14ac:dyDescent="0.3"/>
    <row r="127" spans="1:12" ht="19.5" customHeight="1" x14ac:dyDescent="0.3"/>
    <row r="128" spans="1:12" ht="19.5" customHeight="1" x14ac:dyDescent="0.3"/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ht="19.5" customHeight="1" x14ac:dyDescent="0.3"/>
    <row r="146" spans="2:12" ht="19.5" customHeight="1" x14ac:dyDescent="0.3"/>
    <row r="147" spans="2:12" ht="19.5" customHeight="1" x14ac:dyDescent="0.3"/>
    <row r="148" spans="2:12" ht="19.5" customHeight="1" x14ac:dyDescent="0.3"/>
    <row r="149" spans="2:12" ht="19.5" customHeight="1" x14ac:dyDescent="0.3"/>
    <row r="150" spans="2:12" ht="19.5" customHeight="1" x14ac:dyDescent="0.3"/>
    <row r="151" spans="2:12" ht="19.5" customHeight="1" x14ac:dyDescent="0.3"/>
    <row r="152" spans="2:12" ht="19.5" customHeight="1" x14ac:dyDescent="0.3"/>
    <row r="153" spans="2:12" ht="19.5" customHeight="1" x14ac:dyDescent="0.3"/>
    <row r="154" spans="2:12" ht="19.5" customHeight="1" x14ac:dyDescent="0.3"/>
    <row r="155" spans="2:12" ht="19.5" customHeight="1" x14ac:dyDescent="0.3"/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  <row r="185" spans="2:12" s="69" customFormat="1" ht="19.5" customHeight="1" x14ac:dyDescent="0.3">
      <c r="B185" s="5"/>
      <c r="C185" s="5"/>
      <c r="D185" s="5"/>
      <c r="E185" s="5"/>
      <c r="F185" s="70"/>
      <c r="G185" s="5"/>
      <c r="H185" s="5"/>
      <c r="I185" s="5"/>
      <c r="J185" s="5"/>
      <c r="K185" s="5"/>
      <c r="L185" s="5"/>
    </row>
    <row r="186" spans="2:12" s="69" customFormat="1" ht="19.5" customHeight="1" x14ac:dyDescent="0.3">
      <c r="B186" s="5"/>
      <c r="C186" s="5"/>
      <c r="D186" s="5"/>
      <c r="E186" s="5"/>
      <c r="F186" s="70"/>
      <c r="G186" s="5"/>
      <c r="H186" s="5"/>
      <c r="I186" s="5"/>
      <c r="J186" s="5"/>
      <c r="K186" s="5"/>
      <c r="L186" s="5"/>
    </row>
    <row r="187" spans="2:12" s="69" customFormat="1" ht="19.5" customHeight="1" x14ac:dyDescent="0.3">
      <c r="B187" s="5"/>
      <c r="C187" s="5"/>
      <c r="D187" s="5"/>
      <c r="E187" s="5"/>
      <c r="F187" s="70"/>
      <c r="G187" s="5"/>
      <c r="H187" s="5"/>
      <c r="I187" s="5"/>
      <c r="J187" s="5"/>
      <c r="K187" s="5"/>
      <c r="L187" s="5"/>
    </row>
    <row r="188" spans="2:12" s="69" customFormat="1" ht="19.5" customHeight="1" x14ac:dyDescent="0.3">
      <c r="B188" s="5"/>
      <c r="C188" s="5"/>
      <c r="D188" s="5"/>
      <c r="E188" s="5"/>
      <c r="F188" s="70"/>
      <c r="G188" s="5"/>
      <c r="H188" s="5"/>
      <c r="I188" s="5"/>
      <c r="J188" s="5"/>
      <c r="K188" s="5"/>
      <c r="L188" s="5"/>
    </row>
    <row r="189" spans="2:12" s="69" customFormat="1" ht="19.5" customHeight="1" x14ac:dyDescent="0.3">
      <c r="B189" s="5"/>
      <c r="C189" s="5"/>
      <c r="D189" s="5"/>
      <c r="E189" s="5"/>
      <c r="F189" s="70"/>
      <c r="G189" s="5"/>
      <c r="H189" s="5"/>
      <c r="I189" s="5"/>
      <c r="J189" s="5"/>
      <c r="K189" s="5"/>
      <c r="L189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104:B10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98:I98"/>
    <mergeCell ref="A99:B99"/>
    <mergeCell ref="D99:G99"/>
    <mergeCell ref="H99:J99"/>
    <mergeCell ref="K99:L99"/>
    <mergeCell ref="A114:B114"/>
    <mergeCell ref="A115:B115"/>
    <mergeCell ref="A105:B105"/>
    <mergeCell ref="A106:B106"/>
    <mergeCell ref="A107:B107"/>
    <mergeCell ref="A109:B109"/>
    <mergeCell ref="A110:B110"/>
    <mergeCell ref="A111:B111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39" orientation="portrait" verticalDpi="30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L160"/>
  <sheetViews>
    <sheetView view="pageBreakPreview" topLeftCell="A17" zoomScale="85" zoomScaleNormal="100" zoomScaleSheetLayoutView="85" workbookViewId="0">
      <selection activeCell="A28" sqref="A2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46190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8" si="0">(H7/1000*I7/1000)*J7</f>
        <v>0</v>
      </c>
      <c r="L7" s="26">
        <f>SUM(J7:J41)</f>
        <v>175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SUM(K7:K41)</f>
        <v>1213.6687900000002</v>
      </c>
    </row>
    <row r="9" spans="1:12" s="27" customFormat="1" ht="19.5" customHeight="1" x14ac:dyDescent="0.3">
      <c r="A9" s="28" t="s">
        <v>5061</v>
      </c>
      <c r="B9" s="16" t="s">
        <v>5062</v>
      </c>
      <c r="C9" s="17">
        <v>22</v>
      </c>
      <c r="D9" s="18" t="s">
        <v>5063</v>
      </c>
      <c r="E9" s="41">
        <v>15</v>
      </c>
      <c r="F9" s="42">
        <v>4.2</v>
      </c>
      <c r="G9" s="34" t="s">
        <v>5064</v>
      </c>
      <c r="H9" s="35">
        <v>1981</v>
      </c>
      <c r="I9" s="36">
        <v>3353</v>
      </c>
      <c r="J9" s="37">
        <v>1</v>
      </c>
      <c r="K9" s="85">
        <f t="shared" si="0"/>
        <v>6.6422930000000004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5065</v>
      </c>
      <c r="H10" s="35">
        <v>1981</v>
      </c>
      <c r="I10" s="36">
        <v>3353</v>
      </c>
      <c r="J10" s="37">
        <v>1</v>
      </c>
      <c r="K10" s="85">
        <f t="shared" si="0"/>
        <v>6.6422930000000004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 t="s">
        <v>5066</v>
      </c>
      <c r="B12" s="16" t="s">
        <v>5062</v>
      </c>
      <c r="C12" s="17">
        <v>22</v>
      </c>
      <c r="D12" s="18" t="s">
        <v>5067</v>
      </c>
      <c r="E12" s="41">
        <v>117</v>
      </c>
      <c r="F12" s="42">
        <v>72.510000000000005</v>
      </c>
      <c r="G12" s="34" t="s">
        <v>5068</v>
      </c>
      <c r="H12" s="35">
        <v>1981</v>
      </c>
      <c r="I12" s="36">
        <v>3353</v>
      </c>
      <c r="J12" s="37">
        <v>12</v>
      </c>
      <c r="K12" s="85">
        <f t="shared" si="0"/>
        <v>79.707515999999998</v>
      </c>
      <c r="L12" s="39"/>
    </row>
    <row r="13" spans="1:12" s="27" customFormat="1" ht="19.5" customHeight="1" x14ac:dyDescent="0.3">
      <c r="A13" s="28"/>
      <c r="B13" s="16"/>
      <c r="C13" s="17">
        <v>22</v>
      </c>
      <c r="D13" s="18" t="s">
        <v>5063</v>
      </c>
      <c r="E13" s="41">
        <v>132</v>
      </c>
      <c r="F13" s="42">
        <v>110.52</v>
      </c>
      <c r="G13" s="34" t="s">
        <v>5064</v>
      </c>
      <c r="H13" s="35">
        <v>1981</v>
      </c>
      <c r="I13" s="36">
        <v>3353</v>
      </c>
      <c r="J13" s="37">
        <v>17</v>
      </c>
      <c r="K13" s="85">
        <f t="shared" si="0"/>
        <v>112.918981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5067</v>
      </c>
      <c r="E14" s="41">
        <v>30</v>
      </c>
      <c r="F14" s="42">
        <v>8.4</v>
      </c>
      <c r="G14" s="34" t="s">
        <v>5065</v>
      </c>
      <c r="H14" s="35">
        <v>1981</v>
      </c>
      <c r="I14" s="36">
        <v>3353</v>
      </c>
      <c r="J14" s="37">
        <v>29</v>
      </c>
      <c r="K14" s="85">
        <f t="shared" si="0"/>
        <v>192.626497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85">
        <f t="shared" si="0"/>
        <v>0</v>
      </c>
      <c r="L15" s="39"/>
    </row>
    <row r="16" spans="1:12" s="27" customFormat="1" ht="19.5" customHeight="1" x14ac:dyDescent="0.3">
      <c r="A16" s="28" t="s">
        <v>5069</v>
      </c>
      <c r="B16" s="16" t="s">
        <v>5062</v>
      </c>
      <c r="C16" s="17">
        <v>22</v>
      </c>
      <c r="D16" s="18" t="s">
        <v>5063</v>
      </c>
      <c r="E16" s="41">
        <v>162</v>
      </c>
      <c r="F16" s="42">
        <v>135.84</v>
      </c>
      <c r="G16" s="34" t="s">
        <v>5064</v>
      </c>
      <c r="H16" s="35">
        <v>1981</v>
      </c>
      <c r="I16" s="36">
        <v>3353</v>
      </c>
      <c r="J16" s="37">
        <v>21</v>
      </c>
      <c r="K16" s="85">
        <f t="shared" si="0"/>
        <v>139.48815300000001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 t="s">
        <v>5065</v>
      </c>
      <c r="H17" s="35">
        <v>1981</v>
      </c>
      <c r="I17" s="36">
        <v>3353</v>
      </c>
      <c r="J17" s="37">
        <v>21</v>
      </c>
      <c r="K17" s="85">
        <f t="shared" si="0"/>
        <v>139.48815300000001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</row>
    <row r="19" spans="1:12" s="27" customFormat="1" ht="19.5" customHeight="1" x14ac:dyDescent="0.3">
      <c r="A19" s="28" t="s">
        <v>5070</v>
      </c>
      <c r="B19" s="16"/>
      <c r="C19" s="17"/>
      <c r="D19" s="18"/>
      <c r="E19" s="41"/>
      <c r="F19" s="42"/>
      <c r="G19" s="34"/>
      <c r="H19" s="35"/>
      <c r="I19" s="36"/>
      <c r="J19" s="37"/>
      <c r="K19" s="85">
        <f t="shared" si="0"/>
        <v>0</v>
      </c>
      <c r="L19" s="39"/>
    </row>
    <row r="20" spans="1:12" s="27" customFormat="1" ht="19.5" customHeight="1" x14ac:dyDescent="0.3">
      <c r="A20" s="28" t="s">
        <v>5082</v>
      </c>
      <c r="B20" s="16" t="s">
        <v>2662</v>
      </c>
      <c r="C20" s="17">
        <v>22</v>
      </c>
      <c r="D20" s="18" t="s">
        <v>5083</v>
      </c>
      <c r="E20" s="41">
        <v>30</v>
      </c>
      <c r="F20" s="42">
        <v>21.6</v>
      </c>
      <c r="G20" s="34" t="s">
        <v>5084</v>
      </c>
      <c r="H20" s="35">
        <v>1981</v>
      </c>
      <c r="I20" s="36">
        <v>3353</v>
      </c>
      <c r="J20" s="37">
        <v>4</v>
      </c>
      <c r="K20" s="85">
        <f t="shared" si="0"/>
        <v>26.569172000000002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 t="s">
        <v>216</v>
      </c>
      <c r="H21" s="35">
        <v>1981</v>
      </c>
      <c r="I21" s="36">
        <v>3353</v>
      </c>
      <c r="J21" s="37">
        <v>4</v>
      </c>
      <c r="K21" s="85">
        <f t="shared" si="0"/>
        <v>26.569172000000002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4887</v>
      </c>
      <c r="B23" s="16" t="s">
        <v>1890</v>
      </c>
      <c r="C23" s="17">
        <v>28</v>
      </c>
      <c r="D23" s="18" t="s">
        <v>3001</v>
      </c>
      <c r="E23" s="41">
        <f>6+13</f>
        <v>19</v>
      </c>
      <c r="F23" s="42">
        <f>11.1+23.79</f>
        <v>34.89</v>
      </c>
      <c r="G23" s="34" t="s">
        <v>3002</v>
      </c>
      <c r="H23" s="35">
        <v>2438</v>
      </c>
      <c r="I23" s="36">
        <v>3048</v>
      </c>
      <c r="J23" s="37">
        <v>29</v>
      </c>
      <c r="K23" s="25">
        <f t="shared" si="0"/>
        <v>215.49969600000003</v>
      </c>
      <c r="L23" s="39" t="s">
        <v>5085</v>
      </c>
    </row>
    <row r="24" spans="1:12" s="27" customFormat="1" ht="19.5" customHeight="1" x14ac:dyDescent="0.3">
      <c r="A24" s="28"/>
      <c r="B24" s="16"/>
      <c r="C24" s="17">
        <v>28</v>
      </c>
      <c r="D24" s="18" t="s">
        <v>3007</v>
      </c>
      <c r="E24" s="41">
        <f>50+24</f>
        <v>74</v>
      </c>
      <c r="F24" s="42">
        <f>43.5+20.64</f>
        <v>64.14</v>
      </c>
      <c r="G24" s="34"/>
      <c r="H24" s="35"/>
      <c r="I24" s="36"/>
      <c r="J24" s="37"/>
      <c r="K24" s="25">
        <f t="shared" si="0"/>
        <v>0</v>
      </c>
      <c r="L24" s="39" t="s">
        <v>5086</v>
      </c>
    </row>
    <row r="25" spans="1:12" s="27" customFormat="1" ht="19.5" customHeight="1" x14ac:dyDescent="0.3">
      <c r="A25" s="28" t="s">
        <v>4894</v>
      </c>
      <c r="B25" s="16" t="s">
        <v>1890</v>
      </c>
      <c r="C25" s="17">
        <v>28</v>
      </c>
      <c r="D25" s="18" t="s">
        <v>3001</v>
      </c>
      <c r="E25" s="41">
        <v>1</v>
      </c>
      <c r="F25" s="42">
        <v>1.22</v>
      </c>
      <c r="G25" s="34"/>
      <c r="H25" s="35"/>
      <c r="I25" s="36"/>
      <c r="J25" s="37"/>
      <c r="K25" s="25"/>
      <c r="L25" s="39" t="s">
        <v>5087</v>
      </c>
    </row>
    <row r="26" spans="1:12" s="27" customFormat="1" ht="19.5" customHeight="1" x14ac:dyDescent="0.3">
      <c r="A26" s="28"/>
      <c r="B26" s="16"/>
      <c r="C26" s="17">
        <v>28</v>
      </c>
      <c r="D26" s="18" t="s">
        <v>3001</v>
      </c>
      <c r="E26" s="41">
        <v>25</v>
      </c>
      <c r="F26" s="42">
        <v>52.160000000000004</v>
      </c>
      <c r="G26" s="34"/>
      <c r="H26" s="35"/>
      <c r="I26" s="36"/>
      <c r="J26" s="37"/>
      <c r="K26" s="25"/>
      <c r="L26" s="39" t="s">
        <v>5088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 t="s">
        <v>5089</v>
      </c>
      <c r="B28" s="16" t="s">
        <v>1890</v>
      </c>
      <c r="C28" s="17">
        <v>28</v>
      </c>
      <c r="D28" s="18" t="s">
        <v>3001</v>
      </c>
      <c r="E28" s="41">
        <v>100</v>
      </c>
      <c r="F28" s="42">
        <v>226.56</v>
      </c>
      <c r="G28" s="34" t="s">
        <v>3002</v>
      </c>
      <c r="H28" s="35">
        <v>2438</v>
      </c>
      <c r="I28" s="36">
        <v>3048</v>
      </c>
      <c r="J28" s="37">
        <v>36</v>
      </c>
      <c r="K28" s="25">
        <f t="shared" si="0"/>
        <v>267.51686400000006</v>
      </c>
      <c r="L28" s="39" t="s">
        <v>5090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8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8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8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8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8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8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85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85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85">
        <f t="shared" si="0"/>
        <v>0</v>
      </c>
      <c r="L40" s="39"/>
    </row>
    <row r="41" spans="1:12" s="27" customFormat="1" ht="19.5" customHeight="1" x14ac:dyDescent="0.3">
      <c r="A41" s="28"/>
      <c r="B41" s="29"/>
      <c r="C41" s="30"/>
      <c r="D41" s="31"/>
      <c r="E41" s="41"/>
      <c r="F41" s="42"/>
      <c r="G41" s="43"/>
      <c r="H41" s="35"/>
      <c r="I41" s="36"/>
      <c r="J41" s="37"/>
      <c r="K41" s="85">
        <f t="shared" si="0"/>
        <v>0</v>
      </c>
      <c r="L41" s="39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/>
      <c r="L42" s="54"/>
    </row>
    <row r="43" spans="1:12" s="55" customFormat="1" ht="19.5" customHeight="1" x14ac:dyDescent="0.3">
      <c r="A43" s="44" t="s">
        <v>5071</v>
      </c>
      <c r="B43" s="45" t="s">
        <v>5072</v>
      </c>
      <c r="C43" s="46">
        <v>22</v>
      </c>
      <c r="D43" s="47" t="s">
        <v>5067</v>
      </c>
      <c r="E43" s="48">
        <v>29</v>
      </c>
      <c r="F43" s="49">
        <v>35.53</v>
      </c>
      <c r="G43" s="50" t="s">
        <v>5068</v>
      </c>
      <c r="H43" s="51">
        <v>1981</v>
      </c>
      <c r="I43" s="45">
        <v>3353</v>
      </c>
      <c r="J43" s="52">
        <v>6</v>
      </c>
      <c r="K43" s="53">
        <f t="shared" ref="K43:K64" si="1">(H43/1000*I43/1000)*J43</f>
        <v>39.853757999999999</v>
      </c>
      <c r="L43" s="54"/>
    </row>
    <row r="44" spans="1:12" s="55" customFormat="1" ht="19.5" customHeight="1" x14ac:dyDescent="0.3">
      <c r="A44" s="44"/>
      <c r="B44" s="45"/>
      <c r="C44" s="46">
        <v>22</v>
      </c>
      <c r="D44" s="47" t="s">
        <v>5063</v>
      </c>
      <c r="E44" s="48">
        <v>29</v>
      </c>
      <c r="F44" s="49">
        <v>35.53</v>
      </c>
      <c r="G44" s="50" t="s">
        <v>5064</v>
      </c>
      <c r="H44" s="51">
        <v>1981</v>
      </c>
      <c r="I44" s="45">
        <v>3353</v>
      </c>
      <c r="J44" s="52">
        <v>6</v>
      </c>
      <c r="K44" s="53">
        <f t="shared" si="1"/>
        <v>39.853757999999999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5073</v>
      </c>
      <c r="H45" s="51">
        <v>1981</v>
      </c>
      <c r="I45" s="45">
        <v>3353</v>
      </c>
      <c r="J45" s="52">
        <v>12</v>
      </c>
      <c r="K45" s="53">
        <f t="shared" si="1"/>
        <v>79.707515999999998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1"/>
        <v>0</v>
      </c>
      <c r="L46" s="54"/>
    </row>
    <row r="47" spans="1:12" s="55" customFormat="1" ht="19.5" customHeight="1" x14ac:dyDescent="0.3">
      <c r="A47" s="44" t="s">
        <v>5074</v>
      </c>
      <c r="B47" s="45" t="s">
        <v>5072</v>
      </c>
      <c r="C47" s="46">
        <v>22</v>
      </c>
      <c r="D47" s="47" t="s">
        <v>5067</v>
      </c>
      <c r="E47" s="48">
        <v>11</v>
      </c>
      <c r="F47" s="49">
        <v>23.85</v>
      </c>
      <c r="G47" s="50" t="s">
        <v>5068</v>
      </c>
      <c r="H47" s="51">
        <v>2438</v>
      </c>
      <c r="I47" s="45">
        <v>3353</v>
      </c>
      <c r="J47" s="52">
        <v>4</v>
      </c>
      <c r="K47" s="53">
        <f t="shared" si="1"/>
        <v>32.698456</v>
      </c>
      <c r="L47" s="54"/>
    </row>
    <row r="48" spans="1:12" s="55" customFormat="1" ht="19.5" customHeight="1" x14ac:dyDescent="0.3">
      <c r="A48" s="44"/>
      <c r="B48" s="45"/>
      <c r="C48" s="46">
        <v>22</v>
      </c>
      <c r="D48" s="47" t="s">
        <v>5063</v>
      </c>
      <c r="E48" s="48">
        <v>11</v>
      </c>
      <c r="F48" s="49">
        <v>23.85</v>
      </c>
      <c r="G48" s="50" t="s">
        <v>5064</v>
      </c>
      <c r="H48" s="51">
        <v>2286</v>
      </c>
      <c r="I48" s="45">
        <v>3048</v>
      </c>
      <c r="J48" s="52">
        <v>4</v>
      </c>
      <c r="K48" s="53">
        <f t="shared" si="1"/>
        <v>27.870912000000001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5073</v>
      </c>
      <c r="H49" s="51">
        <v>2134</v>
      </c>
      <c r="I49" s="45">
        <v>3353</v>
      </c>
      <c r="J49" s="52">
        <v>8</v>
      </c>
      <c r="K49" s="53">
        <f t="shared" si="1"/>
        <v>57.242415999999999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1"/>
        <v>0</v>
      </c>
      <c r="L50" s="54"/>
    </row>
    <row r="51" spans="1:12" s="55" customFormat="1" ht="19.5" customHeight="1" x14ac:dyDescent="0.3">
      <c r="A51" s="44" t="s">
        <v>5075</v>
      </c>
      <c r="B51" s="45" t="s">
        <v>5076</v>
      </c>
      <c r="C51" s="46">
        <v>22</v>
      </c>
      <c r="D51" s="47" t="s">
        <v>5077</v>
      </c>
      <c r="E51" s="48">
        <v>116</v>
      </c>
      <c r="F51" s="49">
        <v>91.4</v>
      </c>
      <c r="G51" s="50" t="s">
        <v>5068</v>
      </c>
      <c r="H51" s="51">
        <v>1981</v>
      </c>
      <c r="I51" s="45">
        <v>3353</v>
      </c>
      <c r="J51" s="52">
        <v>15</v>
      </c>
      <c r="K51" s="53">
        <f t="shared" si="1"/>
        <v>99.634395000000012</v>
      </c>
      <c r="L51" s="54" t="s">
        <v>5079</v>
      </c>
    </row>
    <row r="52" spans="1:12" s="55" customFormat="1" ht="19.5" customHeight="1" x14ac:dyDescent="0.3">
      <c r="A52" s="44"/>
      <c r="B52" s="45"/>
      <c r="C52" s="46">
        <v>22</v>
      </c>
      <c r="D52" s="47" t="s">
        <v>5078</v>
      </c>
      <c r="E52" s="48">
        <v>115</v>
      </c>
      <c r="F52" s="49">
        <v>90.17</v>
      </c>
      <c r="G52" s="50" t="s">
        <v>5064</v>
      </c>
      <c r="H52" s="51">
        <v>1981</v>
      </c>
      <c r="I52" s="45">
        <v>3353</v>
      </c>
      <c r="J52" s="52">
        <v>14</v>
      </c>
      <c r="K52" s="53">
        <f t="shared" si="1"/>
        <v>92.992102000000003</v>
      </c>
      <c r="L52" s="54" t="s">
        <v>5080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1"/>
        <v>0</v>
      </c>
      <c r="L53" s="54"/>
    </row>
    <row r="54" spans="1:12" s="55" customFormat="1" ht="19.5" customHeight="1" x14ac:dyDescent="0.3">
      <c r="A54" s="44" t="s">
        <v>5081</v>
      </c>
      <c r="B54" s="45" t="s">
        <v>5076</v>
      </c>
      <c r="C54" s="46">
        <v>22</v>
      </c>
      <c r="D54" s="47" t="s">
        <v>5077</v>
      </c>
      <c r="E54" s="48">
        <v>219</v>
      </c>
      <c r="F54" s="49">
        <v>171.09</v>
      </c>
      <c r="G54" s="50" t="s">
        <v>5068</v>
      </c>
      <c r="H54" s="51">
        <v>1829</v>
      </c>
      <c r="I54" s="45">
        <v>3353</v>
      </c>
      <c r="J54" s="52">
        <v>29</v>
      </c>
      <c r="K54" s="53">
        <f t="shared" si="1"/>
        <v>177.846473</v>
      </c>
      <c r="L54" s="54" t="s">
        <v>5079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1"/>
        <v>0</v>
      </c>
      <c r="L55" s="54"/>
    </row>
    <row r="56" spans="1:12" s="55" customFormat="1" ht="19.5" customHeight="1" x14ac:dyDescent="0.3">
      <c r="A56" s="44" t="s">
        <v>5070</v>
      </c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1"/>
        <v>0</v>
      </c>
      <c r="L56" s="54"/>
    </row>
    <row r="57" spans="1:12" s="55" customFormat="1" ht="19.5" customHeight="1" x14ac:dyDescent="0.3">
      <c r="A57" s="44" t="s">
        <v>5091</v>
      </c>
      <c r="B57" s="45" t="s">
        <v>306</v>
      </c>
      <c r="C57" s="46">
        <v>22</v>
      </c>
      <c r="D57" s="47" t="s">
        <v>307</v>
      </c>
      <c r="E57" s="48">
        <v>219</v>
      </c>
      <c r="F57" s="49">
        <v>171.09</v>
      </c>
      <c r="G57" s="50" t="s">
        <v>19</v>
      </c>
      <c r="H57" s="51">
        <v>1981</v>
      </c>
      <c r="I57" s="45">
        <v>3353</v>
      </c>
      <c r="J57" s="52">
        <v>59</v>
      </c>
      <c r="K57" s="53">
        <f t="shared" si="1"/>
        <v>391.89528700000005</v>
      </c>
      <c r="L57" s="54" t="s">
        <v>5092</v>
      </c>
    </row>
    <row r="58" spans="1:12" s="55" customFormat="1" ht="19.5" customHeight="1" x14ac:dyDescent="0.3">
      <c r="A58" s="44"/>
      <c r="B58" s="45"/>
      <c r="C58" s="46">
        <v>22</v>
      </c>
      <c r="D58" s="47" t="s">
        <v>320</v>
      </c>
      <c r="E58" s="48">
        <v>217</v>
      </c>
      <c r="F58" s="49">
        <v>172</v>
      </c>
      <c r="G58" s="50"/>
      <c r="H58" s="51"/>
      <c r="I58" s="45"/>
      <c r="J58" s="52"/>
      <c r="K58" s="53">
        <f t="shared" si="1"/>
        <v>0</v>
      </c>
      <c r="L58" s="54" t="s">
        <v>5092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1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1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1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1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1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1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9" customFormat="1" ht="20.100000000000001" customHeight="1" x14ac:dyDescent="0.3">
      <c r="A67" s="44"/>
      <c r="B67" s="45"/>
      <c r="C67" s="46"/>
      <c r="D67" s="47"/>
      <c r="E67" s="56"/>
      <c r="F67" s="57"/>
      <c r="G67" s="50"/>
      <c r="H67" s="51"/>
      <c r="I67" s="45"/>
      <c r="J67" s="52"/>
      <c r="K67" s="53">
        <f t="shared" si="0"/>
        <v>0</v>
      </c>
      <c r="L67" s="58">
        <f>SUM(J42:J68)</f>
        <v>157</v>
      </c>
    </row>
    <row r="68" spans="1:12" s="59" customFormat="1" ht="20.100000000000001" customHeight="1" x14ac:dyDescent="0.3">
      <c r="A68" s="44"/>
      <c r="B68" s="45"/>
      <c r="C68" s="46"/>
      <c r="D68" s="47"/>
      <c r="E68" s="60"/>
      <c r="F68" s="61"/>
      <c r="G68" s="62"/>
      <c r="H68" s="51"/>
      <c r="I68" s="45"/>
      <c r="J68" s="63"/>
      <c r="K68" s="53">
        <f t="shared" si="0"/>
        <v>0</v>
      </c>
      <c r="L68" s="64">
        <f>SUM(K42:K68)</f>
        <v>1039.595073</v>
      </c>
    </row>
    <row r="69" spans="1:12" s="59" customFormat="1" ht="20.100000000000001" customHeight="1" thickBot="1" x14ac:dyDescent="0.35">
      <c r="A69" s="114"/>
      <c r="B69" s="115"/>
      <c r="C69" s="115"/>
      <c r="D69" s="115"/>
      <c r="E69" s="115"/>
      <c r="F69" s="115"/>
      <c r="G69" s="115"/>
      <c r="H69" s="115"/>
      <c r="I69" s="115"/>
      <c r="J69" s="65">
        <f>SUM(J7:J68)</f>
        <v>332</v>
      </c>
      <c r="K69" s="66">
        <f>SUM(K7:K68)</f>
        <v>2253.2638630000001</v>
      </c>
      <c r="L69" s="67"/>
    </row>
    <row r="70" spans="1:12" s="59" customFormat="1" ht="20.100000000000001" customHeight="1" thickTop="1" thickBot="1" x14ac:dyDescent="0.35">
      <c r="A70" s="116" t="s">
        <v>52</v>
      </c>
      <c r="B70" s="117"/>
      <c r="C70" s="68"/>
      <c r="D70" s="118">
        <f>J69</f>
        <v>332</v>
      </c>
      <c r="E70" s="119"/>
      <c r="F70" s="119"/>
      <c r="G70" s="120"/>
      <c r="H70" s="121"/>
      <c r="I70" s="121"/>
      <c r="J70" s="122"/>
      <c r="K70" s="119"/>
      <c r="L70" s="123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71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72"/>
      <c r="F76" s="5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5"/>
      <c r="G77" s="73"/>
      <c r="H77" s="5"/>
      <c r="I77" s="74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72"/>
      <c r="I81" s="72"/>
      <c r="J81" s="5"/>
      <c r="K81" s="5"/>
      <c r="L81" s="5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H89" s="72"/>
      <c r="I89" s="72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5" customFormat="1" ht="19.5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ht="19.5" customHeight="1" x14ac:dyDescent="0.3"/>
    <row r="98" spans="2:12" ht="19.5" customHeight="1" x14ac:dyDescent="0.3"/>
    <row r="99" spans="2:12" ht="19.5" customHeight="1" x14ac:dyDescent="0.3"/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>
        <v>2</v>
      </c>
      <c r="C160" s="5"/>
      <c r="D160" s="5"/>
      <c r="E160" s="5"/>
      <c r="F160" s="70"/>
      <c r="G160" s="5"/>
      <c r="H160" s="5"/>
      <c r="I160" s="5"/>
      <c r="J160" s="5"/>
      <c r="K160" s="5"/>
      <c r="L160" s="5"/>
    </row>
  </sheetData>
  <mergeCells count="30">
    <mergeCell ref="A85:B85"/>
    <mergeCell ref="A86:B86"/>
    <mergeCell ref="A76:B76"/>
    <mergeCell ref="A77:B77"/>
    <mergeCell ref="A78:B78"/>
    <mergeCell ref="A80:B80"/>
    <mergeCell ref="A81:B81"/>
    <mergeCell ref="A82:B82"/>
    <mergeCell ref="A75:B7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9:I69"/>
    <mergeCell ref="A70:B70"/>
    <mergeCell ref="D70:G70"/>
    <mergeCell ref="H70:J70"/>
    <mergeCell ref="K70:L70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L160"/>
  <sheetViews>
    <sheetView view="pageBreakPreview" topLeftCell="A32" zoomScale="85" zoomScaleNormal="100" zoomScaleSheetLayoutView="85" workbookViewId="0">
      <selection activeCell="A49" sqref="A49:L4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46189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8" si="0">(H7/1000*I7/1000)*J7</f>
        <v>0</v>
      </c>
      <c r="L7" s="26">
        <f>SUM(J7:J41)</f>
        <v>101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SUM(K7:K41)</f>
        <v>719.27511299999992</v>
      </c>
    </row>
    <row r="9" spans="1:12" s="27" customFormat="1" ht="19.5" customHeight="1" x14ac:dyDescent="0.3">
      <c r="A9" s="28" t="s">
        <v>5000</v>
      </c>
      <c r="B9" s="16" t="s">
        <v>5001</v>
      </c>
      <c r="C9" s="17">
        <v>12</v>
      </c>
      <c r="D9" s="18" t="s">
        <v>5002</v>
      </c>
      <c r="E9" s="41">
        <v>20</v>
      </c>
      <c r="F9" s="42">
        <v>24.72</v>
      </c>
      <c r="G9" s="34" t="s">
        <v>5003</v>
      </c>
      <c r="H9" s="35">
        <v>2743</v>
      </c>
      <c r="I9" s="36">
        <v>3048</v>
      </c>
      <c r="J9" s="37">
        <v>3</v>
      </c>
      <c r="K9" s="85">
        <f t="shared" si="0"/>
        <v>25.081991999999993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5004</v>
      </c>
      <c r="B11" s="16" t="s">
        <v>5005</v>
      </c>
      <c r="C11" s="17">
        <v>8</v>
      </c>
      <c r="D11" s="18" t="s">
        <v>5006</v>
      </c>
      <c r="E11" s="41">
        <v>74</v>
      </c>
      <c r="F11" s="42">
        <v>22.16</v>
      </c>
      <c r="G11" s="34" t="s">
        <v>5007</v>
      </c>
      <c r="H11" s="35">
        <v>2286</v>
      </c>
      <c r="I11" s="36">
        <v>3353</v>
      </c>
      <c r="J11" s="37">
        <v>3</v>
      </c>
      <c r="K11" s="85">
        <f t="shared" si="0"/>
        <v>22.994874000000003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>
        <f t="shared" si="0"/>
        <v>0</v>
      </c>
      <c r="L12" s="39"/>
    </row>
    <row r="13" spans="1:12" s="27" customFormat="1" ht="19.5" customHeight="1" x14ac:dyDescent="0.3">
      <c r="A13" s="28" t="s">
        <v>5008</v>
      </c>
      <c r="B13" s="16" t="s">
        <v>5009</v>
      </c>
      <c r="C13" s="17">
        <v>22</v>
      </c>
      <c r="D13" s="18" t="s">
        <v>5010</v>
      </c>
      <c r="E13" s="41">
        <v>12</v>
      </c>
      <c r="F13" s="42">
        <v>28.32</v>
      </c>
      <c r="G13" s="34" t="s">
        <v>5013</v>
      </c>
      <c r="H13" s="35">
        <v>1981</v>
      </c>
      <c r="I13" s="36">
        <v>3353</v>
      </c>
      <c r="J13" s="37">
        <v>22</v>
      </c>
      <c r="K13" s="85">
        <f t="shared" si="0"/>
        <v>146.13044600000001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5011</v>
      </c>
      <c r="E14" s="41">
        <v>6</v>
      </c>
      <c r="F14" s="42">
        <v>19.38</v>
      </c>
      <c r="G14" s="34" t="s">
        <v>5014</v>
      </c>
      <c r="H14" s="35">
        <v>1981</v>
      </c>
      <c r="I14" s="36">
        <v>3353</v>
      </c>
      <c r="J14" s="37">
        <v>22</v>
      </c>
      <c r="K14" s="85">
        <f t="shared" si="0"/>
        <v>146.13044600000001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5012</v>
      </c>
      <c r="E15" s="41">
        <v>144</v>
      </c>
      <c r="F15" s="42">
        <v>88.14</v>
      </c>
      <c r="G15" s="34"/>
      <c r="H15" s="35"/>
      <c r="I15" s="36"/>
      <c r="J15" s="37"/>
      <c r="K15" s="85">
        <f t="shared" si="0"/>
        <v>0</v>
      </c>
      <c r="L15" s="39"/>
    </row>
    <row r="16" spans="1:12" s="27" customFormat="1" ht="19.5" customHeight="1" x14ac:dyDescent="0.3">
      <c r="A16" s="28"/>
      <c r="B16" s="16"/>
      <c r="C16" s="17">
        <v>22</v>
      </c>
      <c r="D16" s="18" t="s">
        <v>5012</v>
      </c>
      <c r="E16" s="41">
        <v>36</v>
      </c>
      <c r="F16" s="42">
        <v>10.08</v>
      </c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0"/>
        <v>0</v>
      </c>
      <c r="L17" s="39"/>
    </row>
    <row r="18" spans="1:12" s="27" customFormat="1" ht="19.5" customHeight="1" x14ac:dyDescent="0.3">
      <c r="A18" s="28" t="s">
        <v>5015</v>
      </c>
      <c r="B18" s="16" t="s">
        <v>5009</v>
      </c>
      <c r="C18" s="17">
        <v>22</v>
      </c>
      <c r="D18" s="18" t="s">
        <v>5010</v>
      </c>
      <c r="E18" s="41">
        <v>12</v>
      </c>
      <c r="F18" s="42">
        <v>28.32</v>
      </c>
      <c r="G18" s="34" t="s">
        <v>5013</v>
      </c>
      <c r="H18" s="35">
        <v>1981</v>
      </c>
      <c r="I18" s="36">
        <v>3353</v>
      </c>
      <c r="J18" s="37">
        <v>6</v>
      </c>
      <c r="K18" s="85">
        <f t="shared" si="0"/>
        <v>39.853757999999999</v>
      </c>
      <c r="L18" s="39"/>
    </row>
    <row r="19" spans="1:12" s="27" customFormat="1" ht="19.5" customHeight="1" x14ac:dyDescent="0.3">
      <c r="A19" s="28"/>
      <c r="B19" s="16"/>
      <c r="C19" s="17">
        <v>22</v>
      </c>
      <c r="D19" s="18" t="s">
        <v>5011</v>
      </c>
      <c r="E19" s="41">
        <v>3</v>
      </c>
      <c r="F19" s="42">
        <v>9.69</v>
      </c>
      <c r="G19" s="34" t="s">
        <v>5014</v>
      </c>
      <c r="H19" s="35">
        <v>1981</v>
      </c>
      <c r="I19" s="36">
        <v>3353</v>
      </c>
      <c r="J19" s="37">
        <v>6</v>
      </c>
      <c r="K19" s="85">
        <f t="shared" si="0"/>
        <v>39.853757999999999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 t="s">
        <v>5016</v>
      </c>
      <c r="B21" s="16" t="s">
        <v>5017</v>
      </c>
      <c r="C21" s="17">
        <v>8</v>
      </c>
      <c r="D21" s="18" t="s">
        <v>5006</v>
      </c>
      <c r="E21" s="41">
        <v>32</v>
      </c>
      <c r="F21" s="42">
        <v>45.93</v>
      </c>
      <c r="G21" s="34" t="s">
        <v>5007</v>
      </c>
      <c r="H21" s="35">
        <v>2286</v>
      </c>
      <c r="I21" s="36">
        <v>3353</v>
      </c>
      <c r="J21" s="37">
        <v>7</v>
      </c>
      <c r="K21" s="85">
        <f t="shared" si="0"/>
        <v>53.654706000000004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 t="s">
        <v>5018</v>
      </c>
      <c r="B23" s="16" t="s">
        <v>5017</v>
      </c>
      <c r="C23" s="17">
        <v>10</v>
      </c>
      <c r="D23" s="18" t="s">
        <v>5019</v>
      </c>
      <c r="E23" s="41">
        <v>16</v>
      </c>
      <c r="F23" s="42">
        <v>30.22</v>
      </c>
      <c r="G23" s="34" t="s">
        <v>5019</v>
      </c>
      <c r="H23" s="35">
        <v>2134</v>
      </c>
      <c r="I23" s="36">
        <v>3048</v>
      </c>
      <c r="J23" s="37">
        <v>5</v>
      </c>
      <c r="K23" s="85">
        <f t="shared" si="0"/>
        <v>32.52216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 t="s">
        <v>5020</v>
      </c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 t="s">
        <v>5033</v>
      </c>
      <c r="B26" s="16" t="s">
        <v>5034</v>
      </c>
      <c r="C26" s="17">
        <v>5</v>
      </c>
      <c r="D26" s="18" t="s">
        <v>5035</v>
      </c>
      <c r="E26" s="41">
        <v>154</v>
      </c>
      <c r="F26" s="42">
        <v>84.05</v>
      </c>
      <c r="G26" s="34" t="s">
        <v>5036</v>
      </c>
      <c r="H26" s="35">
        <v>2438</v>
      </c>
      <c r="I26" s="36">
        <v>3353</v>
      </c>
      <c r="J26" s="37">
        <v>10</v>
      </c>
      <c r="K26" s="85">
        <f t="shared" si="0"/>
        <v>81.746139999999997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 t="s">
        <v>5037</v>
      </c>
      <c r="B28" s="16" t="s">
        <v>5034</v>
      </c>
      <c r="C28" s="17">
        <v>5</v>
      </c>
      <c r="D28" s="18" t="s">
        <v>5035</v>
      </c>
      <c r="E28" s="41">
        <v>138</v>
      </c>
      <c r="F28" s="42">
        <v>75.400000000000006</v>
      </c>
      <c r="G28" s="34" t="s">
        <v>5036</v>
      </c>
      <c r="H28" s="35">
        <v>2438</v>
      </c>
      <c r="I28" s="36">
        <v>3353</v>
      </c>
      <c r="J28" s="37">
        <v>10</v>
      </c>
      <c r="K28" s="85">
        <f t="shared" si="0"/>
        <v>81.746139999999997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85">
        <f t="shared" si="0"/>
        <v>0</v>
      </c>
      <c r="L29" s="39"/>
    </row>
    <row r="30" spans="1:12" s="27" customFormat="1" ht="19.5" customHeight="1" x14ac:dyDescent="0.3">
      <c r="A30" s="28" t="s">
        <v>5038</v>
      </c>
      <c r="B30" s="16" t="s">
        <v>5039</v>
      </c>
      <c r="C30" s="17">
        <v>5</v>
      </c>
      <c r="D30" s="18" t="s">
        <v>5035</v>
      </c>
      <c r="E30" s="41">
        <v>14</v>
      </c>
      <c r="F30" s="42">
        <v>9.66</v>
      </c>
      <c r="G30" s="34" t="s">
        <v>5036</v>
      </c>
      <c r="H30" s="35">
        <v>2438</v>
      </c>
      <c r="I30" s="36">
        <v>3353</v>
      </c>
      <c r="J30" s="37">
        <v>2</v>
      </c>
      <c r="K30" s="85">
        <f t="shared" si="0"/>
        <v>16.349228</v>
      </c>
      <c r="L30" s="39" t="s">
        <v>5041</v>
      </c>
    </row>
    <row r="31" spans="1:12" s="27" customFormat="1" ht="19.5" customHeight="1" x14ac:dyDescent="0.3">
      <c r="A31" s="28" t="s">
        <v>5040</v>
      </c>
      <c r="B31" s="16" t="s">
        <v>5034</v>
      </c>
      <c r="C31" s="17">
        <v>5</v>
      </c>
      <c r="D31" s="18" t="s">
        <v>5035</v>
      </c>
      <c r="E31" s="41">
        <v>5</v>
      </c>
      <c r="F31" s="42">
        <v>3.05</v>
      </c>
      <c r="G31" s="34"/>
      <c r="H31" s="35"/>
      <c r="I31" s="36"/>
      <c r="J31" s="37"/>
      <c r="K31" s="85">
        <f t="shared" si="0"/>
        <v>0</v>
      </c>
      <c r="L31" s="39" t="s">
        <v>5041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</row>
    <row r="33" spans="1:12" s="27" customFormat="1" ht="19.5" customHeight="1" x14ac:dyDescent="0.3">
      <c r="A33" s="28" t="s">
        <v>5042</v>
      </c>
      <c r="B33" s="16" t="s">
        <v>5043</v>
      </c>
      <c r="C33" s="17">
        <v>22</v>
      </c>
      <c r="D33" s="18" t="s">
        <v>5044</v>
      </c>
      <c r="E33" s="41">
        <v>1</v>
      </c>
      <c r="F33" s="42">
        <v>3.23</v>
      </c>
      <c r="G33" s="34" t="s">
        <v>5045</v>
      </c>
      <c r="H33" s="35">
        <v>1981</v>
      </c>
      <c r="I33" s="36">
        <v>3353</v>
      </c>
      <c r="J33" s="37">
        <v>1</v>
      </c>
      <c r="K33" s="85">
        <f t="shared" si="0"/>
        <v>6.6422930000000004</v>
      </c>
      <c r="L33" s="39" t="s">
        <v>5049</v>
      </c>
    </row>
    <row r="34" spans="1:12" s="27" customFormat="1" ht="19.5" customHeight="1" x14ac:dyDescent="0.3">
      <c r="A34" s="28" t="s">
        <v>5047</v>
      </c>
      <c r="B34" s="16" t="s">
        <v>5043</v>
      </c>
      <c r="C34" s="17">
        <v>22</v>
      </c>
      <c r="D34" s="18" t="s">
        <v>5048</v>
      </c>
      <c r="E34" s="41">
        <v>12</v>
      </c>
      <c r="F34" s="42">
        <v>3.36</v>
      </c>
      <c r="G34" s="34" t="s">
        <v>5046</v>
      </c>
      <c r="H34" s="35">
        <v>1981</v>
      </c>
      <c r="I34" s="36">
        <v>3353</v>
      </c>
      <c r="J34" s="37">
        <v>1</v>
      </c>
      <c r="K34" s="85">
        <f t="shared" si="0"/>
        <v>6.6422930000000004</v>
      </c>
      <c r="L34" s="39" t="s">
        <v>5050</v>
      </c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85">
        <f t="shared" si="0"/>
        <v>0</v>
      </c>
      <c r="L35" s="39"/>
    </row>
    <row r="36" spans="1:12" s="27" customFormat="1" ht="19.5" customHeight="1" x14ac:dyDescent="0.3">
      <c r="A36" s="28" t="s">
        <v>5047</v>
      </c>
      <c r="B36" s="16" t="s">
        <v>5043</v>
      </c>
      <c r="C36" s="17">
        <v>22</v>
      </c>
      <c r="D36" s="18" t="s">
        <v>5044</v>
      </c>
      <c r="E36" s="41">
        <v>8</v>
      </c>
      <c r="F36" s="42">
        <v>22.36</v>
      </c>
      <c r="G36" s="34" t="s">
        <v>5046</v>
      </c>
      <c r="H36" s="35">
        <v>1981</v>
      </c>
      <c r="I36" s="36">
        <v>3353</v>
      </c>
      <c r="J36" s="37">
        <v>3</v>
      </c>
      <c r="K36" s="85">
        <f t="shared" si="0"/>
        <v>19.926879</v>
      </c>
      <c r="L36" s="39" t="s">
        <v>5051</v>
      </c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8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85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85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85">
        <f t="shared" si="0"/>
        <v>0</v>
      </c>
      <c r="L40" s="39"/>
    </row>
    <row r="41" spans="1:12" s="27" customFormat="1" ht="19.5" customHeight="1" x14ac:dyDescent="0.3">
      <c r="A41" s="28"/>
      <c r="B41" s="29"/>
      <c r="C41" s="30"/>
      <c r="D41" s="31"/>
      <c r="E41" s="41"/>
      <c r="F41" s="42"/>
      <c r="G41" s="43"/>
      <c r="H41" s="35"/>
      <c r="I41" s="36"/>
      <c r="J41" s="37"/>
      <c r="K41" s="85">
        <f t="shared" si="0"/>
        <v>0</v>
      </c>
      <c r="L41" s="39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/>
      <c r="L42" s="54"/>
    </row>
    <row r="43" spans="1:12" s="55" customFormat="1" ht="19.5" customHeight="1" x14ac:dyDescent="0.3">
      <c r="A43" s="44" t="s">
        <v>5021</v>
      </c>
      <c r="B43" s="45" t="s">
        <v>5022</v>
      </c>
      <c r="C43" s="46">
        <v>24</v>
      </c>
      <c r="D43" s="47" t="s">
        <v>5023</v>
      </c>
      <c r="E43" s="48">
        <v>1</v>
      </c>
      <c r="F43" s="49">
        <v>1.75</v>
      </c>
      <c r="G43" s="50"/>
      <c r="H43" s="51"/>
      <c r="I43" s="45"/>
      <c r="J43" s="52"/>
      <c r="K43" s="53">
        <f t="shared" ref="K43:K64" si="1">(H43/1000*I43/1000)*J43</f>
        <v>0</v>
      </c>
      <c r="L43" s="54" t="s">
        <v>5024</v>
      </c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1"/>
        <v>0</v>
      </c>
      <c r="L44" s="54"/>
    </row>
    <row r="45" spans="1:12" s="55" customFormat="1" ht="19.5" customHeight="1" x14ac:dyDescent="0.3">
      <c r="A45" s="44" t="s">
        <v>5025</v>
      </c>
      <c r="B45" s="45" t="s">
        <v>5026</v>
      </c>
      <c r="C45" s="46">
        <v>22</v>
      </c>
      <c r="D45" s="47" t="s">
        <v>5027</v>
      </c>
      <c r="E45" s="48">
        <v>104</v>
      </c>
      <c r="F45" s="49">
        <v>89.28</v>
      </c>
      <c r="G45" s="50" t="s">
        <v>5013</v>
      </c>
      <c r="H45" s="51">
        <v>1829</v>
      </c>
      <c r="I45" s="45">
        <v>3353</v>
      </c>
      <c r="J45" s="52">
        <v>15</v>
      </c>
      <c r="K45" s="53">
        <f t="shared" si="1"/>
        <v>91.989554999999996</v>
      </c>
      <c r="L45" s="54" t="s">
        <v>5031</v>
      </c>
    </row>
    <row r="46" spans="1:12" s="55" customFormat="1" ht="19.5" customHeight="1" x14ac:dyDescent="0.3">
      <c r="A46" s="44"/>
      <c r="B46" s="45"/>
      <c r="C46" s="46">
        <v>22</v>
      </c>
      <c r="D46" s="47" t="s">
        <v>5028</v>
      </c>
      <c r="E46" s="48">
        <v>104</v>
      </c>
      <c r="F46" s="49">
        <v>89.28</v>
      </c>
      <c r="G46" s="50" t="s">
        <v>5029</v>
      </c>
      <c r="H46" s="51">
        <v>1829</v>
      </c>
      <c r="I46" s="45">
        <v>3353</v>
      </c>
      <c r="J46" s="52">
        <v>15</v>
      </c>
      <c r="K46" s="53">
        <f t="shared" si="1"/>
        <v>91.989554999999996</v>
      </c>
      <c r="L46" s="54" t="s">
        <v>5031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 t="s">
        <v>5030</v>
      </c>
      <c r="H47" s="51">
        <v>1829</v>
      </c>
      <c r="I47" s="45">
        <v>3353</v>
      </c>
      <c r="J47" s="52">
        <v>31</v>
      </c>
      <c r="K47" s="53">
        <f t="shared" si="1"/>
        <v>190.11174700000001</v>
      </c>
      <c r="L47" s="54" t="s">
        <v>5031</v>
      </c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1"/>
        <v>0</v>
      </c>
      <c r="L48" s="54"/>
    </row>
    <row r="49" spans="1:12" s="55" customFormat="1" ht="19.5" customHeight="1" x14ac:dyDescent="0.3">
      <c r="A49" s="44" t="s">
        <v>2492</v>
      </c>
      <c r="B49" s="45" t="s">
        <v>25</v>
      </c>
      <c r="C49" s="46">
        <v>22</v>
      </c>
      <c r="D49" s="47" t="s">
        <v>17</v>
      </c>
      <c r="E49" s="48">
        <v>224</v>
      </c>
      <c r="F49" s="49">
        <v>331.52</v>
      </c>
      <c r="G49" s="50" t="s">
        <v>18</v>
      </c>
      <c r="H49" s="51">
        <v>2286</v>
      </c>
      <c r="I49" s="45">
        <v>3048</v>
      </c>
      <c r="J49" s="52">
        <v>56</v>
      </c>
      <c r="K49" s="53">
        <f t="shared" si="1"/>
        <v>390.192768</v>
      </c>
      <c r="L49" s="54" t="s">
        <v>5032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1"/>
        <v>0</v>
      </c>
      <c r="L50" s="54"/>
    </row>
    <row r="51" spans="1:12" s="55" customFormat="1" ht="19.5" customHeight="1" x14ac:dyDescent="0.3">
      <c r="A51" s="44" t="s">
        <v>5020</v>
      </c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1"/>
        <v>0</v>
      </c>
      <c r="L51" s="54"/>
    </row>
    <row r="52" spans="1:12" s="55" customFormat="1" ht="19.5" customHeight="1" x14ac:dyDescent="0.3">
      <c r="A52" s="44" t="s">
        <v>5052</v>
      </c>
      <c r="B52" s="45" t="s">
        <v>5053</v>
      </c>
      <c r="C52" s="46">
        <v>39</v>
      </c>
      <c r="D52" s="47" t="s">
        <v>5054</v>
      </c>
      <c r="E52" s="48">
        <v>20</v>
      </c>
      <c r="F52" s="49">
        <v>70.19</v>
      </c>
      <c r="G52" s="50" t="s">
        <v>5055</v>
      </c>
      <c r="H52" s="51">
        <v>1829</v>
      </c>
      <c r="I52" s="45">
        <v>3353</v>
      </c>
      <c r="J52" s="52">
        <v>4</v>
      </c>
      <c r="K52" s="53">
        <f t="shared" si="1"/>
        <v>24.530548</v>
      </c>
      <c r="L52" s="54" t="s">
        <v>5051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 t="s">
        <v>5055</v>
      </c>
      <c r="H53" s="51">
        <v>1981</v>
      </c>
      <c r="I53" s="45">
        <v>3353</v>
      </c>
      <c r="J53" s="52">
        <v>8</v>
      </c>
      <c r="K53" s="53">
        <f t="shared" si="1"/>
        <v>53.138344000000004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 t="s">
        <v>5055</v>
      </c>
      <c r="H54" s="51">
        <v>2438</v>
      </c>
      <c r="I54" s="45">
        <v>3353</v>
      </c>
      <c r="J54" s="52">
        <v>6</v>
      </c>
      <c r="K54" s="53">
        <f t="shared" si="1"/>
        <v>49.047684000000004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1"/>
        <v>0</v>
      </c>
      <c r="L55" s="54"/>
    </row>
    <row r="56" spans="1:12" s="55" customFormat="1" ht="19.5" customHeight="1" x14ac:dyDescent="0.3">
      <c r="A56" s="44" t="s">
        <v>5052</v>
      </c>
      <c r="B56" s="45" t="s">
        <v>5053</v>
      </c>
      <c r="C56" s="46">
        <v>39</v>
      </c>
      <c r="D56" s="47" t="s">
        <v>5054</v>
      </c>
      <c r="E56" s="48">
        <v>3</v>
      </c>
      <c r="F56" s="49">
        <v>8.6300000000000008</v>
      </c>
      <c r="G56" s="50" t="s">
        <v>5036</v>
      </c>
      <c r="H56" s="51">
        <v>1981</v>
      </c>
      <c r="I56" s="45">
        <v>3353</v>
      </c>
      <c r="J56" s="52">
        <v>1</v>
      </c>
      <c r="K56" s="53">
        <f t="shared" si="1"/>
        <v>6.6422930000000004</v>
      </c>
      <c r="L56" s="54" t="s">
        <v>5056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1"/>
        <v>0</v>
      </c>
      <c r="L57" s="54"/>
    </row>
    <row r="58" spans="1:12" s="55" customFormat="1" ht="19.5" customHeight="1" x14ac:dyDescent="0.3">
      <c r="A58" s="44" t="s">
        <v>5057</v>
      </c>
      <c r="B58" s="45" t="s">
        <v>5058</v>
      </c>
      <c r="C58" s="46">
        <v>22</v>
      </c>
      <c r="D58" s="47" t="s">
        <v>307</v>
      </c>
      <c r="E58" s="48">
        <v>116</v>
      </c>
      <c r="F58" s="49">
        <v>91.04</v>
      </c>
      <c r="G58" s="50" t="s">
        <v>5059</v>
      </c>
      <c r="H58" s="51">
        <v>1981</v>
      </c>
      <c r="I58" s="45">
        <v>3353</v>
      </c>
      <c r="J58" s="52">
        <v>29</v>
      </c>
      <c r="K58" s="53">
        <f t="shared" si="1"/>
        <v>192.626497</v>
      </c>
      <c r="L58" s="54" t="s">
        <v>5060</v>
      </c>
    </row>
    <row r="59" spans="1:12" s="55" customFormat="1" ht="19.5" customHeight="1" x14ac:dyDescent="0.3">
      <c r="A59" s="44"/>
      <c r="B59" s="45"/>
      <c r="C59" s="46">
        <v>22</v>
      </c>
      <c r="D59" s="47" t="s">
        <v>320</v>
      </c>
      <c r="E59" s="48">
        <v>115</v>
      </c>
      <c r="F59" s="49">
        <v>90.17</v>
      </c>
      <c r="G59" s="50"/>
      <c r="H59" s="51"/>
      <c r="I59" s="45"/>
      <c r="J59" s="52"/>
      <c r="K59" s="53">
        <f t="shared" si="1"/>
        <v>0</v>
      </c>
      <c r="L59" s="54" t="s">
        <v>5060</v>
      </c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1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1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1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1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1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9" customFormat="1" ht="20.100000000000001" customHeight="1" x14ac:dyDescent="0.3">
      <c r="A67" s="44"/>
      <c r="B67" s="45"/>
      <c r="C67" s="46"/>
      <c r="D67" s="47"/>
      <c r="E67" s="56"/>
      <c r="F67" s="57"/>
      <c r="G67" s="50"/>
      <c r="H67" s="51"/>
      <c r="I67" s="45"/>
      <c r="J67" s="52"/>
      <c r="K67" s="53">
        <f t="shared" si="0"/>
        <v>0</v>
      </c>
      <c r="L67" s="58">
        <f>SUM(J42:J68)</f>
        <v>165</v>
      </c>
    </row>
    <row r="68" spans="1:12" s="59" customFormat="1" ht="20.100000000000001" customHeight="1" x14ac:dyDescent="0.3">
      <c r="A68" s="44"/>
      <c r="B68" s="45"/>
      <c r="C68" s="46"/>
      <c r="D68" s="47"/>
      <c r="E68" s="60"/>
      <c r="F68" s="61"/>
      <c r="G68" s="62"/>
      <c r="H68" s="51"/>
      <c r="I68" s="45"/>
      <c r="J68" s="63"/>
      <c r="K68" s="53">
        <f t="shared" si="0"/>
        <v>0</v>
      </c>
      <c r="L68" s="64">
        <f>SUM(K42:K68)</f>
        <v>1090.2689909999999</v>
      </c>
    </row>
    <row r="69" spans="1:12" s="59" customFormat="1" ht="20.100000000000001" customHeight="1" thickBot="1" x14ac:dyDescent="0.35">
      <c r="A69" s="114"/>
      <c r="B69" s="115"/>
      <c r="C69" s="115"/>
      <c r="D69" s="115"/>
      <c r="E69" s="115"/>
      <c r="F69" s="115"/>
      <c r="G69" s="115"/>
      <c r="H69" s="115"/>
      <c r="I69" s="115"/>
      <c r="J69" s="65">
        <f>SUM(J7:J68)</f>
        <v>266</v>
      </c>
      <c r="K69" s="66">
        <f>SUM(K7:K68)</f>
        <v>1809.5441039999996</v>
      </c>
      <c r="L69" s="67"/>
    </row>
    <row r="70" spans="1:12" s="59" customFormat="1" ht="20.100000000000001" customHeight="1" thickTop="1" thickBot="1" x14ac:dyDescent="0.35">
      <c r="A70" s="116" t="s">
        <v>52</v>
      </c>
      <c r="B70" s="117"/>
      <c r="C70" s="68"/>
      <c r="D70" s="118">
        <f>J69</f>
        <v>266</v>
      </c>
      <c r="E70" s="119"/>
      <c r="F70" s="119"/>
      <c r="G70" s="120"/>
      <c r="H70" s="121"/>
      <c r="I70" s="121"/>
      <c r="J70" s="122"/>
      <c r="K70" s="119"/>
      <c r="L70" s="123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71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72"/>
      <c r="F76" s="5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5"/>
      <c r="G77" s="73"/>
      <c r="H77" s="5"/>
      <c r="I77" s="74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72"/>
      <c r="I81" s="72"/>
      <c r="J81" s="5"/>
      <c r="K81" s="5"/>
      <c r="L81" s="5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H89" s="72"/>
      <c r="I89" s="72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5" customFormat="1" ht="19.5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ht="19.5" customHeight="1" x14ac:dyDescent="0.3"/>
    <row r="98" spans="2:12" ht="19.5" customHeight="1" x14ac:dyDescent="0.3"/>
    <row r="99" spans="2:12" ht="19.5" customHeight="1" x14ac:dyDescent="0.3"/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>
        <v>2</v>
      </c>
      <c r="C160" s="5"/>
      <c r="D160" s="5"/>
      <c r="E160" s="5"/>
      <c r="F160" s="70"/>
      <c r="G160" s="5"/>
      <c r="H160" s="5"/>
      <c r="I160" s="5"/>
      <c r="J160" s="5"/>
      <c r="K160" s="5"/>
      <c r="L160" s="5"/>
    </row>
  </sheetData>
  <mergeCells count="30">
    <mergeCell ref="A85:B85"/>
    <mergeCell ref="A86:B86"/>
    <mergeCell ref="A76:B76"/>
    <mergeCell ref="A77:B77"/>
    <mergeCell ref="A78:B78"/>
    <mergeCell ref="A80:B80"/>
    <mergeCell ref="A81:B81"/>
    <mergeCell ref="A82:B82"/>
    <mergeCell ref="A75:B7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9:I69"/>
    <mergeCell ref="A70:B70"/>
    <mergeCell ref="D70:G70"/>
    <mergeCell ref="H70:J70"/>
    <mergeCell ref="K70:L70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L160"/>
  <sheetViews>
    <sheetView view="pageBreakPreview" topLeftCell="A18" zoomScale="85" zoomScaleNormal="100" zoomScaleSheetLayoutView="85" workbookViewId="0">
      <selection activeCell="A47" sqref="A4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46188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8" si="0">(H7/1000*I7/1000)*J7</f>
        <v>0</v>
      </c>
      <c r="L7" s="26">
        <f>SUM(J7:J41)</f>
        <v>163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SUM(K7:K41)</f>
        <v>1183.9925159999998</v>
      </c>
    </row>
    <row r="9" spans="1:12" s="27" customFormat="1" ht="19.5" customHeight="1" x14ac:dyDescent="0.3">
      <c r="A9" s="28" t="s">
        <v>4725</v>
      </c>
      <c r="B9" s="16" t="s">
        <v>21</v>
      </c>
      <c r="C9" s="17">
        <v>25.76</v>
      </c>
      <c r="D9" s="18" t="s">
        <v>227</v>
      </c>
      <c r="E9" s="41">
        <v>36</v>
      </c>
      <c r="F9" s="42">
        <v>20.88</v>
      </c>
      <c r="G9" s="34" t="s">
        <v>19</v>
      </c>
      <c r="H9" s="35">
        <v>2134</v>
      </c>
      <c r="I9" s="36">
        <v>3048</v>
      </c>
      <c r="J9" s="37">
        <v>3</v>
      </c>
      <c r="K9" s="85">
        <f t="shared" si="0"/>
        <v>19.513295999999997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 t="s">
        <v>4881</v>
      </c>
      <c r="B11" s="16" t="s">
        <v>21</v>
      </c>
      <c r="C11" s="17">
        <v>25.76</v>
      </c>
      <c r="D11" s="18" t="s">
        <v>227</v>
      </c>
      <c r="E11" s="41">
        <v>72</v>
      </c>
      <c r="F11" s="42">
        <v>35.200000000000003</v>
      </c>
      <c r="G11" s="34" t="s">
        <v>19</v>
      </c>
      <c r="H11" s="35">
        <v>2134</v>
      </c>
      <c r="I11" s="36">
        <v>3048</v>
      </c>
      <c r="J11" s="37">
        <v>6</v>
      </c>
      <c r="K11" s="85">
        <f t="shared" si="0"/>
        <v>39.026591999999994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>
        <f t="shared" si="0"/>
        <v>0</v>
      </c>
      <c r="L12" s="39"/>
    </row>
    <row r="13" spans="1:12" s="27" customFormat="1" ht="19.5" customHeight="1" x14ac:dyDescent="0.3">
      <c r="A13" s="28" t="s">
        <v>4882</v>
      </c>
      <c r="B13" s="16" t="s">
        <v>21</v>
      </c>
      <c r="C13" s="17">
        <v>25.76</v>
      </c>
      <c r="D13" s="18" t="s">
        <v>227</v>
      </c>
      <c r="E13" s="41">
        <v>48</v>
      </c>
      <c r="F13" s="42">
        <v>29.04</v>
      </c>
      <c r="G13" s="34" t="s">
        <v>19</v>
      </c>
      <c r="H13" s="35">
        <v>2134</v>
      </c>
      <c r="I13" s="36">
        <v>3048</v>
      </c>
      <c r="J13" s="37">
        <v>5</v>
      </c>
      <c r="K13" s="85">
        <f t="shared" si="0"/>
        <v>32.52216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 t="shared" si="0"/>
        <v>0</v>
      </c>
      <c r="L14" s="39"/>
    </row>
    <row r="15" spans="1:12" s="27" customFormat="1" ht="19.5" customHeight="1" x14ac:dyDescent="0.3">
      <c r="A15" s="28" t="s">
        <v>4977</v>
      </c>
      <c r="B15" s="16" t="s">
        <v>4633</v>
      </c>
      <c r="C15" s="17">
        <v>22</v>
      </c>
      <c r="D15" s="18" t="s">
        <v>17</v>
      </c>
      <c r="E15" s="41">
        <v>15</v>
      </c>
      <c r="F15" s="42">
        <v>4.2</v>
      </c>
      <c r="G15" s="34" t="s">
        <v>18</v>
      </c>
      <c r="H15" s="35">
        <v>1984</v>
      </c>
      <c r="I15" s="36">
        <v>3353</v>
      </c>
      <c r="J15" s="37">
        <v>1</v>
      </c>
      <c r="K15" s="85">
        <f t="shared" si="0"/>
        <v>6.6523519999999996</v>
      </c>
      <c r="L15" s="39" t="s">
        <v>4979</v>
      </c>
    </row>
    <row r="16" spans="1:12" s="27" customFormat="1" ht="19.5" customHeight="1" x14ac:dyDescent="0.3">
      <c r="A16" s="28" t="s">
        <v>4978</v>
      </c>
      <c r="B16" s="16" t="s">
        <v>363</v>
      </c>
      <c r="C16" s="17">
        <v>43</v>
      </c>
      <c r="D16" s="18" t="s">
        <v>1646</v>
      </c>
      <c r="E16" s="41">
        <v>2</v>
      </c>
      <c r="F16" s="42">
        <v>1.03</v>
      </c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0"/>
        <v>0</v>
      </c>
      <c r="L17" s="39"/>
    </row>
    <row r="18" spans="1:12" s="27" customFormat="1" ht="19.5" customHeight="1" x14ac:dyDescent="0.3">
      <c r="A18" s="28" t="s">
        <v>4882</v>
      </c>
      <c r="B18" s="16" t="s">
        <v>21</v>
      </c>
      <c r="C18" s="17">
        <v>22</v>
      </c>
      <c r="D18" s="18" t="s">
        <v>17</v>
      </c>
      <c r="E18" s="41">
        <v>208</v>
      </c>
      <c r="F18" s="42">
        <v>170.12</v>
      </c>
      <c r="G18" s="34" t="s">
        <v>18</v>
      </c>
      <c r="H18" s="35">
        <v>1829</v>
      </c>
      <c r="I18" s="36">
        <v>3353</v>
      </c>
      <c r="J18" s="37">
        <v>1</v>
      </c>
      <c r="K18" s="85">
        <f t="shared" si="0"/>
        <v>6.1326369999999999</v>
      </c>
      <c r="L18" s="39" t="s">
        <v>100</v>
      </c>
    </row>
    <row r="19" spans="1:12" s="27" customFormat="1" ht="19.5" customHeight="1" x14ac:dyDescent="0.3">
      <c r="A19" s="28"/>
      <c r="B19" s="16"/>
      <c r="C19" s="17">
        <v>46.76</v>
      </c>
      <c r="D19" s="18" t="s">
        <v>272</v>
      </c>
      <c r="E19" s="41">
        <v>8</v>
      </c>
      <c r="F19" s="42">
        <v>3.2</v>
      </c>
      <c r="G19" s="34" t="s">
        <v>18</v>
      </c>
      <c r="H19" s="35">
        <v>1981</v>
      </c>
      <c r="I19" s="36">
        <v>3353</v>
      </c>
      <c r="J19" s="37">
        <v>27</v>
      </c>
      <c r="K19" s="85">
        <f t="shared" si="0"/>
        <v>179.34191100000001</v>
      </c>
      <c r="L19" s="39" t="s">
        <v>273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 t="s">
        <v>19</v>
      </c>
      <c r="H20" s="35">
        <v>1981</v>
      </c>
      <c r="I20" s="36">
        <v>3353</v>
      </c>
      <c r="J20" s="37">
        <v>3</v>
      </c>
      <c r="K20" s="85">
        <f t="shared" si="0"/>
        <v>19.926879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0"/>
        <v>0</v>
      </c>
      <c r="L21" s="39"/>
    </row>
    <row r="22" spans="1:12" s="27" customFormat="1" ht="19.5" customHeight="1" x14ac:dyDescent="0.3">
      <c r="A22" s="28" t="s">
        <v>4980</v>
      </c>
      <c r="B22" s="16" t="s">
        <v>16</v>
      </c>
      <c r="C22" s="17">
        <v>5</v>
      </c>
      <c r="D22" s="18" t="s">
        <v>219</v>
      </c>
      <c r="E22" s="41">
        <v>20</v>
      </c>
      <c r="F22" s="42">
        <v>10.1</v>
      </c>
      <c r="G22" s="34" t="s">
        <v>18</v>
      </c>
      <c r="H22" s="35">
        <v>2438</v>
      </c>
      <c r="I22" s="36">
        <v>3353</v>
      </c>
      <c r="J22" s="37">
        <v>1</v>
      </c>
      <c r="K22" s="85">
        <f t="shared" si="0"/>
        <v>8.174614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</row>
    <row r="24" spans="1:12" s="27" customFormat="1" ht="19.5" customHeight="1" x14ac:dyDescent="0.3">
      <c r="A24" s="28" t="s">
        <v>4741</v>
      </c>
      <c r="B24" s="16" t="s">
        <v>168</v>
      </c>
      <c r="C24" s="17">
        <v>5</v>
      </c>
      <c r="D24" s="18" t="s">
        <v>219</v>
      </c>
      <c r="E24" s="41">
        <v>4</v>
      </c>
      <c r="F24" s="42">
        <v>3.52</v>
      </c>
      <c r="G24" s="34" t="s">
        <v>18</v>
      </c>
      <c r="H24" s="35">
        <v>1981</v>
      </c>
      <c r="I24" s="36">
        <v>3353</v>
      </c>
      <c r="J24" s="37">
        <v>1</v>
      </c>
      <c r="K24" s="85">
        <f t="shared" ref="K24:K32" si="1">(H24/1000*I24/1000)*J24</f>
        <v>6.6422930000000004</v>
      </c>
      <c r="L24" s="39"/>
    </row>
    <row r="25" spans="1:12" s="27" customFormat="1" ht="19.5" customHeight="1" x14ac:dyDescent="0.3">
      <c r="A25" s="28"/>
      <c r="B25" s="16"/>
      <c r="C25" s="17">
        <v>8</v>
      </c>
      <c r="D25" s="18" t="s">
        <v>276</v>
      </c>
      <c r="E25" s="41">
        <v>2</v>
      </c>
      <c r="F25" s="42">
        <v>2.19</v>
      </c>
      <c r="G25" s="34" t="s">
        <v>935</v>
      </c>
      <c r="H25" s="35">
        <v>2286</v>
      </c>
      <c r="I25" s="36">
        <v>3353</v>
      </c>
      <c r="J25" s="37">
        <v>1</v>
      </c>
      <c r="K25" s="85">
        <f t="shared" si="1"/>
        <v>7.6649580000000004</v>
      </c>
      <c r="L25" s="39" t="s">
        <v>4982</v>
      </c>
    </row>
    <row r="26" spans="1:12" s="27" customFormat="1" ht="19.5" customHeight="1" x14ac:dyDescent="0.3">
      <c r="A26" s="28" t="s">
        <v>4981</v>
      </c>
      <c r="B26" s="16" t="s">
        <v>168</v>
      </c>
      <c r="C26" s="17">
        <v>8</v>
      </c>
      <c r="D26" s="18" t="s">
        <v>276</v>
      </c>
      <c r="E26" s="41">
        <v>2</v>
      </c>
      <c r="F26" s="42">
        <v>2.59</v>
      </c>
      <c r="G26" s="34"/>
      <c r="H26" s="35"/>
      <c r="I26" s="36"/>
      <c r="J26" s="37"/>
      <c r="K26" s="85">
        <f t="shared" si="1"/>
        <v>0</v>
      </c>
      <c r="L26" s="39" t="s">
        <v>4982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1"/>
        <v>0</v>
      </c>
      <c r="L27" s="39"/>
    </row>
    <row r="28" spans="1:12" s="27" customFormat="1" ht="19.5" customHeight="1" x14ac:dyDescent="0.3">
      <c r="A28" s="28" t="s">
        <v>4983</v>
      </c>
      <c r="B28" s="16" t="s">
        <v>218</v>
      </c>
      <c r="C28" s="17">
        <v>24</v>
      </c>
      <c r="D28" s="18" t="s">
        <v>501</v>
      </c>
      <c r="E28" s="41">
        <v>162</v>
      </c>
      <c r="F28" s="42">
        <v>204.53</v>
      </c>
      <c r="G28" s="34" t="s">
        <v>56</v>
      </c>
      <c r="H28" s="35">
        <v>2438</v>
      </c>
      <c r="I28" s="36">
        <v>3353</v>
      </c>
      <c r="J28" s="37">
        <v>20</v>
      </c>
      <c r="K28" s="85">
        <f t="shared" si="1"/>
        <v>163.49227999999999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 t="s">
        <v>18</v>
      </c>
      <c r="H29" s="35">
        <v>2438</v>
      </c>
      <c r="I29" s="36">
        <v>3353</v>
      </c>
      <c r="J29" s="37">
        <v>20</v>
      </c>
      <c r="K29" s="85">
        <f t="shared" si="1"/>
        <v>163.49227999999999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1"/>
        <v>0</v>
      </c>
      <c r="L30" s="39"/>
    </row>
    <row r="31" spans="1:12" s="27" customFormat="1" ht="19.5" customHeight="1" x14ac:dyDescent="0.3">
      <c r="A31" s="28" t="s">
        <v>57</v>
      </c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1"/>
        <v>0</v>
      </c>
      <c r="L31" s="39"/>
    </row>
    <row r="32" spans="1:12" s="27" customFormat="1" ht="19.5" customHeight="1" x14ac:dyDescent="0.3">
      <c r="A32" s="28" t="s">
        <v>4984</v>
      </c>
      <c r="B32" s="16" t="s">
        <v>4985</v>
      </c>
      <c r="C32" s="17">
        <v>24</v>
      </c>
      <c r="D32" s="18" t="s">
        <v>4986</v>
      </c>
      <c r="E32" s="41">
        <v>4</v>
      </c>
      <c r="F32" s="42">
        <v>2.1</v>
      </c>
      <c r="G32" s="34"/>
      <c r="H32" s="35"/>
      <c r="I32" s="36"/>
      <c r="J32" s="37"/>
      <c r="K32" s="85">
        <f t="shared" si="1"/>
        <v>0</v>
      </c>
      <c r="L32" s="39" t="s">
        <v>4987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85">
        <f t="shared" si="0"/>
        <v>0</v>
      </c>
      <c r="L33" s="39"/>
    </row>
    <row r="34" spans="1:12" s="27" customFormat="1" ht="19.5" customHeight="1" x14ac:dyDescent="0.3">
      <c r="A34" s="28" t="s">
        <v>4988</v>
      </c>
      <c r="B34" s="16" t="s">
        <v>4985</v>
      </c>
      <c r="C34" s="17">
        <v>24</v>
      </c>
      <c r="D34" s="18" t="s">
        <v>4986</v>
      </c>
      <c r="E34" s="41">
        <v>48</v>
      </c>
      <c r="F34" s="42">
        <v>19.8</v>
      </c>
      <c r="G34" s="34" t="s">
        <v>4990</v>
      </c>
      <c r="H34" s="35">
        <v>2438</v>
      </c>
      <c r="I34" s="36">
        <v>3353</v>
      </c>
      <c r="J34" s="37">
        <v>19</v>
      </c>
      <c r="K34" s="85">
        <f t="shared" si="0"/>
        <v>155.317666</v>
      </c>
      <c r="L34" s="39" t="s">
        <v>4992</v>
      </c>
    </row>
    <row r="35" spans="1:12" s="27" customFormat="1" ht="19.5" customHeight="1" x14ac:dyDescent="0.3">
      <c r="A35" s="28" t="s">
        <v>4989</v>
      </c>
      <c r="B35" s="16" t="s">
        <v>4985</v>
      </c>
      <c r="C35" s="17">
        <v>24</v>
      </c>
      <c r="D35" s="18" t="s">
        <v>4986</v>
      </c>
      <c r="E35" s="41">
        <v>127</v>
      </c>
      <c r="F35" s="42">
        <v>224.14</v>
      </c>
      <c r="G35" s="34" t="s">
        <v>4990</v>
      </c>
      <c r="H35" s="35">
        <v>1829</v>
      </c>
      <c r="I35" s="36">
        <v>3353</v>
      </c>
      <c r="J35" s="37">
        <v>18</v>
      </c>
      <c r="K35" s="85">
        <f t="shared" si="0"/>
        <v>110.387466</v>
      </c>
      <c r="L35" s="39" t="s">
        <v>4992</v>
      </c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 t="s">
        <v>4991</v>
      </c>
      <c r="H36" s="35">
        <v>2438</v>
      </c>
      <c r="I36" s="36">
        <v>3353</v>
      </c>
      <c r="J36" s="37">
        <v>19</v>
      </c>
      <c r="K36" s="85">
        <f t="shared" si="0"/>
        <v>155.317666</v>
      </c>
      <c r="L36" s="39" t="s">
        <v>4992</v>
      </c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 t="s">
        <v>4991</v>
      </c>
      <c r="H37" s="35">
        <v>1829</v>
      </c>
      <c r="I37" s="36">
        <v>3353</v>
      </c>
      <c r="J37" s="37">
        <v>18</v>
      </c>
      <c r="K37" s="85">
        <f t="shared" si="0"/>
        <v>110.387466</v>
      </c>
      <c r="L37" s="39" t="s">
        <v>4992</v>
      </c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85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85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85">
        <f t="shared" si="0"/>
        <v>0</v>
      </c>
      <c r="L40" s="39"/>
    </row>
    <row r="41" spans="1:12" s="27" customFormat="1" ht="19.5" customHeight="1" x14ac:dyDescent="0.3">
      <c r="A41" s="28"/>
      <c r="B41" s="29"/>
      <c r="C41" s="30"/>
      <c r="D41" s="31"/>
      <c r="E41" s="41"/>
      <c r="F41" s="42"/>
      <c r="G41" s="43"/>
      <c r="H41" s="35"/>
      <c r="I41" s="36"/>
      <c r="J41" s="37"/>
      <c r="K41" s="85">
        <f t="shared" si="0"/>
        <v>0</v>
      </c>
      <c r="L41" s="39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/>
      <c r="L42" s="54"/>
    </row>
    <row r="43" spans="1:12" s="55" customFormat="1" ht="19.5" customHeight="1" x14ac:dyDescent="0.3">
      <c r="A43" s="44" t="s">
        <v>4933</v>
      </c>
      <c r="B43" s="45" t="s">
        <v>2005</v>
      </c>
      <c r="C43" s="46">
        <v>28</v>
      </c>
      <c r="D43" s="47" t="s">
        <v>2006</v>
      </c>
      <c r="E43" s="48">
        <v>168</v>
      </c>
      <c r="F43" s="49">
        <v>139.61000000000001</v>
      </c>
      <c r="G43" s="50" t="s">
        <v>655</v>
      </c>
      <c r="H43" s="51">
        <v>2134</v>
      </c>
      <c r="I43" s="45">
        <v>3353</v>
      </c>
      <c r="J43" s="52">
        <v>41</v>
      </c>
      <c r="K43" s="53">
        <f t="shared" ref="K43:K64" si="2">(H43/1000*I43/1000)*J43</f>
        <v>293.36738200000002</v>
      </c>
      <c r="L43" s="54"/>
    </row>
    <row r="44" spans="1:12" s="55" customFormat="1" ht="19.5" customHeight="1" x14ac:dyDescent="0.3">
      <c r="A44" s="44"/>
      <c r="B44" s="45"/>
      <c r="C44" s="46">
        <v>28</v>
      </c>
      <c r="D44" s="47" t="s">
        <v>196</v>
      </c>
      <c r="E44" s="48">
        <v>139</v>
      </c>
      <c r="F44" s="49">
        <v>131.47</v>
      </c>
      <c r="G44" s="50" t="s">
        <v>189</v>
      </c>
      <c r="H44" s="51">
        <v>2134</v>
      </c>
      <c r="I44" s="45">
        <v>3353</v>
      </c>
      <c r="J44" s="52">
        <v>42</v>
      </c>
      <c r="K44" s="53">
        <f t="shared" si="2"/>
        <v>300.52268399999997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2"/>
        <v>0</v>
      </c>
      <c r="L45" s="54"/>
    </row>
    <row r="46" spans="1:12" s="55" customFormat="1" ht="19.5" customHeight="1" x14ac:dyDescent="0.3">
      <c r="A46" s="44" t="s">
        <v>57</v>
      </c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2"/>
        <v>0</v>
      </c>
      <c r="L46" s="54"/>
    </row>
    <row r="47" spans="1:12" s="55" customFormat="1" ht="19.5" customHeight="1" x14ac:dyDescent="0.3">
      <c r="A47" s="44" t="s">
        <v>4993</v>
      </c>
      <c r="B47" s="45" t="s">
        <v>4994</v>
      </c>
      <c r="C47" s="46">
        <v>28</v>
      </c>
      <c r="D47" s="47" t="s">
        <v>4995</v>
      </c>
      <c r="E47" s="48">
        <v>277</v>
      </c>
      <c r="F47" s="49">
        <v>239.58</v>
      </c>
      <c r="G47" s="50" t="s">
        <v>4997</v>
      </c>
      <c r="H47" s="51">
        <v>2134</v>
      </c>
      <c r="I47" s="45">
        <v>3048</v>
      </c>
      <c r="J47" s="52">
        <v>45</v>
      </c>
      <c r="K47" s="53">
        <f t="shared" si="2"/>
        <v>292.69943999999998</v>
      </c>
      <c r="L47" s="54" t="s">
        <v>4998</v>
      </c>
    </row>
    <row r="48" spans="1:12" s="55" customFormat="1" ht="19.5" customHeight="1" x14ac:dyDescent="0.3">
      <c r="A48" s="44"/>
      <c r="B48" s="45"/>
      <c r="C48" s="46">
        <v>28</v>
      </c>
      <c r="D48" s="47" t="s">
        <v>4996</v>
      </c>
      <c r="E48" s="48">
        <v>30</v>
      </c>
      <c r="F48" s="49">
        <v>28.99</v>
      </c>
      <c r="G48" s="50"/>
      <c r="H48" s="51"/>
      <c r="I48" s="45"/>
      <c r="J48" s="52"/>
      <c r="K48" s="53">
        <f t="shared" si="2"/>
        <v>0</v>
      </c>
      <c r="L48" s="54" t="s">
        <v>4998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2"/>
        <v>0</v>
      </c>
      <c r="L49" s="54"/>
    </row>
    <row r="50" spans="1:12" s="55" customFormat="1" ht="19.5" customHeight="1" x14ac:dyDescent="0.3">
      <c r="A50" s="44" t="s">
        <v>4999</v>
      </c>
      <c r="B50" s="45" t="s">
        <v>4994</v>
      </c>
      <c r="C50" s="46">
        <v>28</v>
      </c>
      <c r="D50" s="47" t="s">
        <v>4995</v>
      </c>
      <c r="E50" s="48">
        <v>221</v>
      </c>
      <c r="F50" s="49">
        <v>211.34</v>
      </c>
      <c r="G50" s="50" t="s">
        <v>4997</v>
      </c>
      <c r="H50" s="51">
        <v>2134</v>
      </c>
      <c r="I50" s="45">
        <v>3048</v>
      </c>
      <c r="J50" s="52">
        <v>43</v>
      </c>
      <c r="K50" s="53">
        <f t="shared" si="2"/>
        <v>279.69057599999996</v>
      </c>
      <c r="L50" s="54" t="s">
        <v>4998</v>
      </c>
    </row>
    <row r="51" spans="1:12" s="55" customFormat="1" ht="19.5" customHeight="1" x14ac:dyDescent="0.3">
      <c r="A51" s="44"/>
      <c r="B51" s="45"/>
      <c r="C51" s="46">
        <v>28</v>
      </c>
      <c r="D51" s="47" t="s">
        <v>4996</v>
      </c>
      <c r="E51" s="48">
        <v>29</v>
      </c>
      <c r="F51" s="49">
        <v>30.69</v>
      </c>
      <c r="G51" s="50"/>
      <c r="H51" s="51"/>
      <c r="I51" s="45"/>
      <c r="J51" s="52"/>
      <c r="K51" s="53">
        <f t="shared" si="2"/>
        <v>0</v>
      </c>
      <c r="L51" s="54" t="s">
        <v>4998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2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2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2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2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2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2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2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2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2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2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2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2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2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9" customFormat="1" ht="20.100000000000001" customHeight="1" x14ac:dyDescent="0.3">
      <c r="A67" s="44"/>
      <c r="B67" s="45"/>
      <c r="C67" s="46"/>
      <c r="D67" s="47"/>
      <c r="E67" s="56"/>
      <c r="F67" s="57"/>
      <c r="G67" s="50"/>
      <c r="H67" s="51"/>
      <c r="I67" s="45"/>
      <c r="J67" s="52"/>
      <c r="K67" s="53">
        <f t="shared" si="0"/>
        <v>0</v>
      </c>
      <c r="L67" s="58">
        <f>SUM(J42:J68)</f>
        <v>171</v>
      </c>
    </row>
    <row r="68" spans="1:12" s="59" customFormat="1" ht="20.100000000000001" customHeight="1" x14ac:dyDescent="0.3">
      <c r="A68" s="44"/>
      <c r="B68" s="45"/>
      <c r="C68" s="46"/>
      <c r="D68" s="47"/>
      <c r="E68" s="60"/>
      <c r="F68" s="61"/>
      <c r="G68" s="62"/>
      <c r="H68" s="51"/>
      <c r="I68" s="45"/>
      <c r="J68" s="63"/>
      <c r="K68" s="53">
        <f t="shared" si="0"/>
        <v>0</v>
      </c>
      <c r="L68" s="64">
        <f>SUM(K42:K68)</f>
        <v>1166.2800819999998</v>
      </c>
    </row>
    <row r="69" spans="1:12" s="59" customFormat="1" ht="20.100000000000001" customHeight="1" thickBot="1" x14ac:dyDescent="0.35">
      <c r="A69" s="114"/>
      <c r="B69" s="115"/>
      <c r="C69" s="115"/>
      <c r="D69" s="115"/>
      <c r="E69" s="115"/>
      <c r="F69" s="115"/>
      <c r="G69" s="115"/>
      <c r="H69" s="115"/>
      <c r="I69" s="115"/>
      <c r="J69" s="65">
        <f>SUM(J7:J68)</f>
        <v>334</v>
      </c>
      <c r="K69" s="66">
        <f>SUM(K7:K68)</f>
        <v>2350.2725979999996</v>
      </c>
      <c r="L69" s="67"/>
    </row>
    <row r="70" spans="1:12" s="59" customFormat="1" ht="20.100000000000001" customHeight="1" thickTop="1" thickBot="1" x14ac:dyDescent="0.35">
      <c r="A70" s="116" t="s">
        <v>52</v>
      </c>
      <c r="B70" s="117"/>
      <c r="C70" s="68"/>
      <c r="D70" s="118">
        <f>J69</f>
        <v>334</v>
      </c>
      <c r="E70" s="119"/>
      <c r="F70" s="119"/>
      <c r="G70" s="120"/>
      <c r="H70" s="121"/>
      <c r="I70" s="121"/>
      <c r="J70" s="122"/>
      <c r="K70" s="119"/>
      <c r="L70" s="123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71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72"/>
      <c r="F76" s="5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5"/>
      <c r="G77" s="73"/>
      <c r="H77" s="5"/>
      <c r="I77" s="74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72"/>
      <c r="I81" s="72"/>
      <c r="J81" s="5"/>
      <c r="K81" s="5"/>
      <c r="L81" s="5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H89" s="72"/>
      <c r="I89" s="72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5" customFormat="1" ht="19.5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ht="19.5" customHeight="1" x14ac:dyDescent="0.3"/>
    <row r="98" spans="2:12" ht="19.5" customHeight="1" x14ac:dyDescent="0.3"/>
    <row r="99" spans="2:12" ht="19.5" customHeight="1" x14ac:dyDescent="0.3"/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>
        <v>2</v>
      </c>
      <c r="C160" s="5"/>
      <c r="D160" s="5"/>
      <c r="E160" s="5"/>
      <c r="F160" s="70"/>
      <c r="G160" s="5"/>
      <c r="H160" s="5"/>
      <c r="I160" s="5"/>
      <c r="J160" s="5"/>
      <c r="K160" s="5"/>
      <c r="L160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5:B7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9:I69"/>
    <mergeCell ref="A70:B70"/>
    <mergeCell ref="D70:G70"/>
    <mergeCell ref="H70:J70"/>
    <mergeCell ref="K70:L70"/>
    <mergeCell ref="A85:B85"/>
    <mergeCell ref="A86:B86"/>
    <mergeCell ref="A76:B76"/>
    <mergeCell ref="A77:B77"/>
    <mergeCell ref="A78:B78"/>
    <mergeCell ref="A80:B80"/>
    <mergeCell ref="A81:B81"/>
    <mergeCell ref="A82:B82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L152"/>
  <sheetViews>
    <sheetView view="pageBreakPreview" topLeftCell="A40" zoomScale="85" zoomScaleNormal="100" zoomScaleSheetLayoutView="85" workbookViewId="0">
      <selection activeCell="D57" sqref="D5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46186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0" si="0">(H7/1000*I7/1000)*J7</f>
        <v>0</v>
      </c>
      <c r="L7" s="26">
        <f>SUM(J7:J33)</f>
        <v>0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SUM(K7:K33)</f>
        <v>0</v>
      </c>
    </row>
    <row r="9" spans="1:12" s="27" customFormat="1" ht="19.5" customHeight="1" x14ac:dyDescent="0.3">
      <c r="A9" s="28"/>
      <c r="B9" s="16"/>
      <c r="C9" s="17"/>
      <c r="D9" s="18"/>
      <c r="E9" s="41"/>
      <c r="F9" s="42"/>
      <c r="G9" s="34"/>
      <c r="H9" s="35"/>
      <c r="I9" s="36"/>
      <c r="J9" s="37"/>
      <c r="K9" s="85">
        <f t="shared" si="0"/>
        <v>0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85">
        <f t="shared" si="0"/>
        <v>0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85">
        <f t="shared" si="0"/>
        <v>0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85">
        <f t="shared" si="0"/>
        <v>0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85">
        <f t="shared" si="0"/>
        <v>0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85">
        <f t="shared" si="0"/>
        <v>0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85">
        <f t="shared" si="0"/>
        <v>0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85">
        <f t="shared" si="0"/>
        <v>0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85">
        <f t="shared" si="0"/>
        <v>0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85">
        <f t="shared" si="0"/>
        <v>0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85">
        <f t="shared" si="0"/>
        <v>0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85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85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85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85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8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8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8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8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8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8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8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8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85">
        <f t="shared" si="0"/>
        <v>0</v>
      </c>
      <c r="L32" s="39"/>
    </row>
    <row r="33" spans="1:12" s="27" customFormat="1" ht="19.5" customHeight="1" x14ac:dyDescent="0.3">
      <c r="A33" s="28"/>
      <c r="B33" s="29"/>
      <c r="C33" s="30"/>
      <c r="D33" s="31"/>
      <c r="E33" s="41"/>
      <c r="F33" s="42"/>
      <c r="G33" s="43"/>
      <c r="H33" s="35"/>
      <c r="I33" s="36"/>
      <c r="J33" s="37"/>
      <c r="K33" s="85">
        <f t="shared" si="0"/>
        <v>0</v>
      </c>
      <c r="L33" s="39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/>
      <c r="L34" s="54"/>
    </row>
    <row r="35" spans="1:12" s="55" customFormat="1" ht="19.5" customHeight="1" x14ac:dyDescent="0.3">
      <c r="A35" s="44" t="s">
        <v>4965</v>
      </c>
      <c r="B35" s="45" t="s">
        <v>4966</v>
      </c>
      <c r="C35" s="46">
        <v>22</v>
      </c>
      <c r="D35" s="47" t="s">
        <v>4967</v>
      </c>
      <c r="E35" s="48">
        <v>19</v>
      </c>
      <c r="F35" s="49">
        <v>32.65</v>
      </c>
      <c r="G35" s="50" t="s">
        <v>4969</v>
      </c>
      <c r="H35" s="51">
        <v>2134</v>
      </c>
      <c r="I35" s="45">
        <v>3048</v>
      </c>
      <c r="J35" s="52">
        <v>6</v>
      </c>
      <c r="K35" s="53">
        <f t="shared" ref="K35:K56" si="1">(H35/1000*I35/1000)*J35</f>
        <v>39.026591999999994</v>
      </c>
      <c r="L35" s="54" t="s">
        <v>4973</v>
      </c>
    </row>
    <row r="36" spans="1:12" s="55" customFormat="1" ht="19.5" customHeight="1" x14ac:dyDescent="0.3">
      <c r="A36" s="44"/>
      <c r="B36" s="45"/>
      <c r="C36" s="46">
        <v>22</v>
      </c>
      <c r="D36" s="47" t="s">
        <v>4968</v>
      </c>
      <c r="E36" s="48">
        <v>19</v>
      </c>
      <c r="F36" s="49">
        <v>32.65</v>
      </c>
      <c r="G36" s="50" t="s">
        <v>4970</v>
      </c>
      <c r="H36" s="51">
        <v>2134</v>
      </c>
      <c r="I36" s="45">
        <v>3048</v>
      </c>
      <c r="J36" s="52">
        <v>6</v>
      </c>
      <c r="K36" s="53">
        <f t="shared" si="1"/>
        <v>39.026591999999994</v>
      </c>
      <c r="L36" s="54" t="s">
        <v>4973</v>
      </c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 t="s">
        <v>4971</v>
      </c>
      <c r="H37" s="51">
        <v>2134</v>
      </c>
      <c r="I37" s="45">
        <v>3048</v>
      </c>
      <c r="J37" s="52">
        <v>12</v>
      </c>
      <c r="K37" s="53">
        <f t="shared" si="1"/>
        <v>78.053183999999987</v>
      </c>
      <c r="L37" s="54" t="s">
        <v>4973</v>
      </c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1"/>
        <v>0</v>
      </c>
      <c r="L38" s="54"/>
    </row>
    <row r="39" spans="1:12" s="55" customFormat="1" ht="19.5" customHeight="1" x14ac:dyDescent="0.3">
      <c r="A39" s="44" t="s">
        <v>4972</v>
      </c>
      <c r="B39" s="45" t="s">
        <v>4966</v>
      </c>
      <c r="C39" s="46">
        <v>22</v>
      </c>
      <c r="D39" s="47" t="s">
        <v>4967</v>
      </c>
      <c r="E39" s="48">
        <v>19</v>
      </c>
      <c r="F39" s="49">
        <v>32.65</v>
      </c>
      <c r="G39" s="50" t="s">
        <v>4969</v>
      </c>
      <c r="H39" s="51">
        <v>2134</v>
      </c>
      <c r="I39" s="45">
        <v>3048</v>
      </c>
      <c r="J39" s="52">
        <v>6</v>
      </c>
      <c r="K39" s="53">
        <f t="shared" si="1"/>
        <v>39.026591999999994</v>
      </c>
      <c r="L39" s="54" t="s">
        <v>4973</v>
      </c>
    </row>
    <row r="40" spans="1:12" s="55" customFormat="1" ht="19.5" customHeight="1" x14ac:dyDescent="0.3">
      <c r="A40" s="44"/>
      <c r="B40" s="45"/>
      <c r="C40" s="46">
        <v>22</v>
      </c>
      <c r="D40" s="47" t="s">
        <v>4968</v>
      </c>
      <c r="E40" s="48">
        <v>19</v>
      </c>
      <c r="F40" s="49">
        <v>32.65</v>
      </c>
      <c r="G40" s="50" t="s">
        <v>4970</v>
      </c>
      <c r="H40" s="51">
        <v>2134</v>
      </c>
      <c r="I40" s="45">
        <v>3048</v>
      </c>
      <c r="J40" s="52">
        <v>6</v>
      </c>
      <c r="K40" s="53">
        <f t="shared" si="1"/>
        <v>39.026591999999994</v>
      </c>
      <c r="L40" s="54" t="s">
        <v>4973</v>
      </c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 t="s">
        <v>4971</v>
      </c>
      <c r="H41" s="51">
        <v>2134</v>
      </c>
      <c r="I41" s="45">
        <v>3048</v>
      </c>
      <c r="J41" s="52">
        <v>12</v>
      </c>
      <c r="K41" s="53">
        <f t="shared" si="1"/>
        <v>78.053183999999987</v>
      </c>
      <c r="L41" s="54" t="s">
        <v>4973</v>
      </c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1"/>
        <v>0</v>
      </c>
      <c r="L42" s="54"/>
    </row>
    <row r="43" spans="1:12" s="55" customFormat="1" ht="19.5" customHeight="1" x14ac:dyDescent="0.3">
      <c r="A43" s="44" t="s">
        <v>4974</v>
      </c>
      <c r="B43" s="45" t="s">
        <v>4966</v>
      </c>
      <c r="C43" s="46">
        <v>22</v>
      </c>
      <c r="D43" s="47" t="s">
        <v>4967</v>
      </c>
      <c r="E43" s="48">
        <v>19</v>
      </c>
      <c r="F43" s="49">
        <v>32.65</v>
      </c>
      <c r="G43" s="50" t="s">
        <v>4969</v>
      </c>
      <c r="H43" s="51">
        <v>2134</v>
      </c>
      <c r="I43" s="45">
        <v>3048</v>
      </c>
      <c r="J43" s="52">
        <v>6</v>
      </c>
      <c r="K43" s="53">
        <f t="shared" si="1"/>
        <v>39.026591999999994</v>
      </c>
      <c r="L43" s="54" t="s">
        <v>4973</v>
      </c>
    </row>
    <row r="44" spans="1:12" s="55" customFormat="1" ht="19.5" customHeight="1" x14ac:dyDescent="0.3">
      <c r="A44" s="44"/>
      <c r="B44" s="45"/>
      <c r="C44" s="46">
        <v>22</v>
      </c>
      <c r="D44" s="47" t="s">
        <v>4968</v>
      </c>
      <c r="E44" s="48">
        <v>19</v>
      </c>
      <c r="F44" s="49">
        <v>32.65</v>
      </c>
      <c r="G44" s="50" t="s">
        <v>4970</v>
      </c>
      <c r="H44" s="51">
        <v>2134</v>
      </c>
      <c r="I44" s="45">
        <v>3048</v>
      </c>
      <c r="J44" s="52">
        <v>6</v>
      </c>
      <c r="K44" s="53">
        <f t="shared" si="1"/>
        <v>39.026591999999994</v>
      </c>
      <c r="L44" s="54" t="s">
        <v>4973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4971</v>
      </c>
      <c r="H45" s="51">
        <v>2134</v>
      </c>
      <c r="I45" s="45">
        <v>3048</v>
      </c>
      <c r="J45" s="52">
        <v>12</v>
      </c>
      <c r="K45" s="53">
        <f t="shared" si="1"/>
        <v>78.053183999999987</v>
      </c>
      <c r="L45" s="54" t="s">
        <v>4973</v>
      </c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1"/>
        <v>0</v>
      </c>
      <c r="L46" s="54"/>
    </row>
    <row r="47" spans="1:12" s="55" customFormat="1" ht="19.5" customHeight="1" x14ac:dyDescent="0.3">
      <c r="A47" s="44" t="s">
        <v>4975</v>
      </c>
      <c r="B47" s="45" t="s">
        <v>4966</v>
      </c>
      <c r="C47" s="46">
        <v>22</v>
      </c>
      <c r="D47" s="47" t="s">
        <v>4967</v>
      </c>
      <c r="E47" s="48">
        <v>19</v>
      </c>
      <c r="F47" s="49">
        <v>32.65</v>
      </c>
      <c r="G47" s="50" t="s">
        <v>4969</v>
      </c>
      <c r="H47" s="51">
        <v>2134</v>
      </c>
      <c r="I47" s="45">
        <v>3048</v>
      </c>
      <c r="J47" s="52">
        <v>6</v>
      </c>
      <c r="K47" s="53">
        <f t="shared" si="1"/>
        <v>39.026591999999994</v>
      </c>
      <c r="L47" s="54" t="s">
        <v>4973</v>
      </c>
    </row>
    <row r="48" spans="1:12" s="55" customFormat="1" ht="19.5" customHeight="1" x14ac:dyDescent="0.3">
      <c r="A48" s="44"/>
      <c r="B48" s="45"/>
      <c r="C48" s="46">
        <v>22</v>
      </c>
      <c r="D48" s="47" t="s">
        <v>4968</v>
      </c>
      <c r="E48" s="48">
        <v>19</v>
      </c>
      <c r="F48" s="49">
        <v>32.65</v>
      </c>
      <c r="G48" s="50" t="s">
        <v>4970</v>
      </c>
      <c r="H48" s="51">
        <v>2134</v>
      </c>
      <c r="I48" s="45">
        <v>3048</v>
      </c>
      <c r="J48" s="52">
        <v>6</v>
      </c>
      <c r="K48" s="53">
        <f t="shared" si="1"/>
        <v>39.026591999999994</v>
      </c>
      <c r="L48" s="54" t="s">
        <v>4973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4971</v>
      </c>
      <c r="H49" s="51">
        <v>2134</v>
      </c>
      <c r="I49" s="45">
        <v>3048</v>
      </c>
      <c r="J49" s="52">
        <v>12</v>
      </c>
      <c r="K49" s="53">
        <f t="shared" si="1"/>
        <v>78.053183999999987</v>
      </c>
      <c r="L49" s="54" t="s">
        <v>4973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1"/>
        <v>0</v>
      </c>
      <c r="L50" s="54"/>
    </row>
    <row r="51" spans="1:12" s="55" customFormat="1" ht="19.5" customHeight="1" x14ac:dyDescent="0.3">
      <c r="A51" s="44" t="s">
        <v>4976</v>
      </c>
      <c r="B51" s="45" t="s">
        <v>4966</v>
      </c>
      <c r="C51" s="46">
        <v>22</v>
      </c>
      <c r="D51" s="47" t="s">
        <v>4967</v>
      </c>
      <c r="E51" s="48">
        <v>19</v>
      </c>
      <c r="F51" s="49">
        <v>32.65</v>
      </c>
      <c r="G51" s="50" t="s">
        <v>4969</v>
      </c>
      <c r="H51" s="51">
        <v>2134</v>
      </c>
      <c r="I51" s="45">
        <v>3048</v>
      </c>
      <c r="J51" s="52">
        <v>6</v>
      </c>
      <c r="K51" s="53">
        <f t="shared" si="1"/>
        <v>39.026591999999994</v>
      </c>
      <c r="L51" s="54" t="s">
        <v>4973</v>
      </c>
    </row>
    <row r="52" spans="1:12" s="55" customFormat="1" ht="19.5" customHeight="1" x14ac:dyDescent="0.3">
      <c r="A52" s="44"/>
      <c r="B52" s="45"/>
      <c r="C52" s="46">
        <v>22</v>
      </c>
      <c r="D52" s="47" t="s">
        <v>4968</v>
      </c>
      <c r="E52" s="48">
        <v>19</v>
      </c>
      <c r="F52" s="49">
        <v>32.65</v>
      </c>
      <c r="G52" s="50" t="s">
        <v>4970</v>
      </c>
      <c r="H52" s="51">
        <v>2134</v>
      </c>
      <c r="I52" s="45">
        <v>3048</v>
      </c>
      <c r="J52" s="52">
        <v>6</v>
      </c>
      <c r="K52" s="53">
        <f t="shared" si="1"/>
        <v>39.026591999999994</v>
      </c>
      <c r="L52" s="54" t="s">
        <v>4973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 t="s">
        <v>4971</v>
      </c>
      <c r="H53" s="51">
        <v>2134</v>
      </c>
      <c r="I53" s="45">
        <v>3048</v>
      </c>
      <c r="J53" s="52">
        <v>12</v>
      </c>
      <c r="K53" s="53">
        <f t="shared" si="1"/>
        <v>78.053183999999987</v>
      </c>
      <c r="L53" s="54" t="s">
        <v>4973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1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1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1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9" customFormat="1" ht="20.100000000000001" customHeight="1" x14ac:dyDescent="0.3">
      <c r="A59" s="44"/>
      <c r="B59" s="45"/>
      <c r="C59" s="46"/>
      <c r="D59" s="47"/>
      <c r="E59" s="56"/>
      <c r="F59" s="57"/>
      <c r="G59" s="50"/>
      <c r="H59" s="51"/>
      <c r="I59" s="45"/>
      <c r="J59" s="52"/>
      <c r="K59" s="53">
        <f t="shared" si="0"/>
        <v>0</v>
      </c>
      <c r="L59" s="58">
        <f>SUM(J34:J60)</f>
        <v>120</v>
      </c>
    </row>
    <row r="60" spans="1:12" s="59" customFormat="1" ht="20.100000000000001" customHeight="1" x14ac:dyDescent="0.3">
      <c r="A60" s="44"/>
      <c r="B60" s="45"/>
      <c r="C60" s="46"/>
      <c r="D60" s="47"/>
      <c r="E60" s="60"/>
      <c r="F60" s="61"/>
      <c r="G60" s="62"/>
      <c r="H60" s="51"/>
      <c r="I60" s="45"/>
      <c r="J60" s="63"/>
      <c r="K60" s="53">
        <f t="shared" si="0"/>
        <v>0</v>
      </c>
      <c r="L60" s="64">
        <f>SUM(K34:K60)</f>
        <v>780.53183999999976</v>
      </c>
    </row>
    <row r="61" spans="1:12" s="59" customFormat="1" ht="20.100000000000001" customHeight="1" thickBot="1" x14ac:dyDescent="0.35">
      <c r="A61" s="114"/>
      <c r="B61" s="115"/>
      <c r="C61" s="115"/>
      <c r="D61" s="115"/>
      <c r="E61" s="115"/>
      <c r="F61" s="115"/>
      <c r="G61" s="115"/>
      <c r="H61" s="115"/>
      <c r="I61" s="115"/>
      <c r="J61" s="65">
        <f>SUM(J7:J60)</f>
        <v>120</v>
      </c>
      <c r="K61" s="66">
        <f>SUM(K7:K60)</f>
        <v>780.53183999999976</v>
      </c>
      <c r="L61" s="67"/>
    </row>
    <row r="62" spans="1:12" s="59" customFormat="1" ht="20.100000000000001" customHeight="1" thickTop="1" thickBot="1" x14ac:dyDescent="0.35">
      <c r="A62" s="116" t="s">
        <v>52</v>
      </c>
      <c r="B62" s="117"/>
      <c r="C62" s="68"/>
      <c r="D62" s="118">
        <f>J61</f>
        <v>120</v>
      </c>
      <c r="E62" s="119"/>
      <c r="F62" s="119"/>
      <c r="G62" s="120"/>
      <c r="H62" s="121"/>
      <c r="I62" s="121"/>
      <c r="J62" s="122"/>
      <c r="K62" s="119"/>
      <c r="L62" s="123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71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72"/>
      <c r="F68" s="5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5"/>
      <c r="G69" s="73"/>
      <c r="H69" s="5"/>
      <c r="I69" s="74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72"/>
      <c r="I73" s="72"/>
      <c r="J73" s="5"/>
      <c r="K73" s="5"/>
      <c r="L73" s="5"/>
    </row>
    <row r="74" spans="1:12" ht="20.100000000000001" customHeight="1" x14ac:dyDescent="0.3">
      <c r="A74" s="113"/>
      <c r="B74" s="113"/>
      <c r="H74" s="72"/>
      <c r="I74" s="72"/>
    </row>
    <row r="75" spans="1:12" ht="20.100000000000001" customHeight="1" x14ac:dyDescent="0.3"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A77" s="113"/>
      <c r="B77" s="113"/>
      <c r="H77" s="72"/>
      <c r="I77" s="72"/>
    </row>
    <row r="78" spans="1:12" ht="20.100000000000001" customHeight="1" x14ac:dyDescent="0.3">
      <c r="A78" s="113"/>
      <c r="B78" s="113"/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H81" s="72"/>
      <c r="I81" s="72"/>
    </row>
    <row r="82" spans="1:12" s="72" customFormat="1" ht="20.100000000000001" customHeight="1" x14ac:dyDescent="0.3">
      <c r="A82" s="69"/>
      <c r="B82" s="5"/>
      <c r="C82" s="5"/>
      <c r="D82" s="5"/>
      <c r="E82" s="5"/>
      <c r="F82" s="70"/>
      <c r="G82" s="5"/>
      <c r="J82" s="5"/>
      <c r="K82" s="5"/>
      <c r="L82" s="5"/>
    </row>
    <row r="83" spans="1:12" s="72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5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5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5" customFormat="1" ht="19.5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2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ht="19.5" customHeight="1" x14ac:dyDescent="0.3"/>
    <row r="90" spans="1:12" ht="19.5" customHeight="1" x14ac:dyDescent="0.3"/>
    <row r="91" spans="1:12" ht="19.5" customHeight="1" x14ac:dyDescent="0.3"/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>
        <v>2</v>
      </c>
      <c r="C152" s="5"/>
      <c r="D152" s="5"/>
      <c r="E152" s="5"/>
      <c r="F152" s="70"/>
      <c r="G152" s="5"/>
      <c r="H152" s="5"/>
      <c r="I152" s="5"/>
      <c r="J152" s="5"/>
      <c r="K152" s="5"/>
      <c r="L152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7:B67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1:I61"/>
    <mergeCell ref="A62:B62"/>
    <mergeCell ref="D62:G62"/>
    <mergeCell ref="H62:J62"/>
    <mergeCell ref="K62:L62"/>
    <mergeCell ref="A77:B77"/>
    <mergeCell ref="A78:B78"/>
    <mergeCell ref="A68:B68"/>
    <mergeCell ref="A69:B69"/>
    <mergeCell ref="A70:B70"/>
    <mergeCell ref="A72:B72"/>
    <mergeCell ref="A73:B73"/>
    <mergeCell ref="A74:B7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L179"/>
  <sheetViews>
    <sheetView view="pageBreakPreview" topLeftCell="A38" zoomScale="85" zoomScaleNormal="100" zoomScaleSheetLayoutView="85" workbookViewId="0">
      <selection activeCell="A67" sqref="A6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46185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7" si="0">(H7/1000*I7/1000)*J7</f>
        <v>0</v>
      </c>
      <c r="L7" s="26">
        <f>SUM(J7:J46)</f>
        <v>173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SUM(K7:K46)</f>
        <v>1213.3814860000002</v>
      </c>
    </row>
    <row r="9" spans="1:12" s="27" customFormat="1" ht="19.5" customHeight="1" x14ac:dyDescent="0.3">
      <c r="A9" s="28" t="s">
        <v>4861</v>
      </c>
      <c r="B9" s="16" t="s">
        <v>4862</v>
      </c>
      <c r="C9" s="17">
        <v>24</v>
      </c>
      <c r="D9" s="18" t="s">
        <v>4863</v>
      </c>
      <c r="E9" s="41">
        <v>1</v>
      </c>
      <c r="F9" s="42">
        <v>1.79</v>
      </c>
      <c r="G9" s="34" t="s">
        <v>4864</v>
      </c>
      <c r="H9" s="35">
        <v>2134</v>
      </c>
      <c r="I9" s="36">
        <v>3353</v>
      </c>
      <c r="J9" s="37">
        <v>1</v>
      </c>
      <c r="K9" s="25">
        <f t="shared" si="0"/>
        <v>7.1553019999999998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4865</v>
      </c>
      <c r="H10" s="35">
        <v>1981</v>
      </c>
      <c r="I10" s="36">
        <v>3353</v>
      </c>
      <c r="J10" s="37">
        <v>1</v>
      </c>
      <c r="K10" s="25">
        <f t="shared" si="0"/>
        <v>6.6422930000000004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4866</v>
      </c>
      <c r="B12" s="16" t="s">
        <v>4867</v>
      </c>
      <c r="C12" s="17">
        <v>28</v>
      </c>
      <c r="D12" s="18" t="s">
        <v>4868</v>
      </c>
      <c r="E12" s="41">
        <v>3</v>
      </c>
      <c r="F12" s="42">
        <v>2.12</v>
      </c>
      <c r="G12" s="34"/>
      <c r="H12" s="35"/>
      <c r="I12" s="36"/>
      <c r="J12" s="37"/>
      <c r="K12" s="25">
        <f t="shared" si="0"/>
        <v>0</v>
      </c>
      <c r="L12" s="39" t="s">
        <v>4869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 t="s">
        <v>4870</v>
      </c>
      <c r="B14" s="16" t="s">
        <v>4871</v>
      </c>
      <c r="C14" s="17">
        <v>24</v>
      </c>
      <c r="D14" s="18" t="s">
        <v>4872</v>
      </c>
      <c r="E14" s="41">
        <v>12</v>
      </c>
      <c r="F14" s="42">
        <v>10.19</v>
      </c>
      <c r="G14" s="34" t="s">
        <v>4865</v>
      </c>
      <c r="H14" s="35">
        <v>2438</v>
      </c>
      <c r="I14" s="36">
        <v>3353</v>
      </c>
      <c r="J14" s="37">
        <v>1</v>
      </c>
      <c r="K14" s="25">
        <f t="shared" si="0"/>
        <v>8.174614</v>
      </c>
      <c r="L14" s="39"/>
    </row>
    <row r="15" spans="1:12" s="27" customFormat="1" ht="19.5" customHeight="1" x14ac:dyDescent="0.3">
      <c r="A15" s="28"/>
      <c r="B15" s="16"/>
      <c r="C15" s="17">
        <v>24</v>
      </c>
      <c r="D15" s="18" t="s">
        <v>4873</v>
      </c>
      <c r="E15" s="41">
        <v>6</v>
      </c>
      <c r="F15" s="42">
        <v>2.3199999999999998</v>
      </c>
      <c r="G15" s="34" t="s">
        <v>4865</v>
      </c>
      <c r="H15" s="35">
        <v>1981</v>
      </c>
      <c r="I15" s="36">
        <v>3353</v>
      </c>
      <c r="J15" s="37">
        <v>3</v>
      </c>
      <c r="K15" s="25">
        <f t="shared" si="0"/>
        <v>19.926879</v>
      </c>
      <c r="L15" s="39" t="s">
        <v>4877</v>
      </c>
    </row>
    <row r="16" spans="1:12" s="27" customFormat="1" ht="19.5" customHeight="1" x14ac:dyDescent="0.3">
      <c r="A16" s="28"/>
      <c r="B16" s="16"/>
      <c r="C16" s="17">
        <v>24</v>
      </c>
      <c r="D16" s="18" t="s">
        <v>4874</v>
      </c>
      <c r="E16" s="41">
        <v>18</v>
      </c>
      <c r="F16" s="42">
        <v>12.51</v>
      </c>
      <c r="G16" s="34" t="s">
        <v>4876</v>
      </c>
      <c r="H16" s="35">
        <v>1981</v>
      </c>
      <c r="I16" s="36">
        <v>3353</v>
      </c>
      <c r="J16" s="37">
        <v>2</v>
      </c>
      <c r="K16" s="25">
        <f t="shared" si="0"/>
        <v>13.284586000000001</v>
      </c>
      <c r="L16" s="39"/>
    </row>
    <row r="17" spans="1:12" s="27" customFormat="1" ht="19.5" customHeight="1" x14ac:dyDescent="0.3">
      <c r="A17" s="28"/>
      <c r="B17" s="16"/>
      <c r="C17" s="17">
        <v>24</v>
      </c>
      <c r="D17" s="18" t="s">
        <v>4875</v>
      </c>
      <c r="E17" s="41">
        <v>1</v>
      </c>
      <c r="F17" s="42">
        <v>0.35</v>
      </c>
      <c r="G17" s="34"/>
      <c r="H17" s="35"/>
      <c r="I17" s="36"/>
      <c r="J17" s="37"/>
      <c r="K17" s="25">
        <f t="shared" si="0"/>
        <v>0</v>
      </c>
      <c r="L17" s="39" t="s">
        <v>4869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 t="s">
        <v>4878</v>
      </c>
      <c r="B19" s="16" t="s">
        <v>4879</v>
      </c>
      <c r="C19" s="17">
        <v>22</v>
      </c>
      <c r="D19" s="18" t="s">
        <v>4880</v>
      </c>
      <c r="E19" s="41">
        <v>12</v>
      </c>
      <c r="F19" s="42">
        <v>13.2</v>
      </c>
      <c r="G19" s="34" t="s">
        <v>4865</v>
      </c>
      <c r="H19" s="35">
        <v>1981</v>
      </c>
      <c r="I19" s="36">
        <v>3353</v>
      </c>
      <c r="J19" s="37">
        <v>10</v>
      </c>
      <c r="K19" s="25">
        <f t="shared" si="0"/>
        <v>66.422930000000008</v>
      </c>
      <c r="L19" s="39" t="s">
        <v>4883</v>
      </c>
    </row>
    <row r="20" spans="1:12" s="27" customFormat="1" ht="19.5" customHeight="1" x14ac:dyDescent="0.3">
      <c r="A20" s="28" t="s">
        <v>4881</v>
      </c>
      <c r="B20" s="16" t="s">
        <v>4879</v>
      </c>
      <c r="C20" s="17">
        <v>22</v>
      </c>
      <c r="D20" s="18" t="s">
        <v>4880</v>
      </c>
      <c r="E20" s="41">
        <v>16</v>
      </c>
      <c r="F20" s="42">
        <v>22.56</v>
      </c>
      <c r="G20" s="34" t="s">
        <v>4884</v>
      </c>
      <c r="H20" s="35">
        <v>1981</v>
      </c>
      <c r="I20" s="36">
        <v>3353</v>
      </c>
      <c r="J20" s="37">
        <v>10</v>
      </c>
      <c r="K20" s="25">
        <f t="shared" si="0"/>
        <v>66.422930000000008</v>
      </c>
      <c r="L20" s="39" t="s">
        <v>4883</v>
      </c>
    </row>
    <row r="21" spans="1:12" s="27" customFormat="1" ht="19.5" customHeight="1" x14ac:dyDescent="0.3">
      <c r="A21" s="28" t="s">
        <v>4882</v>
      </c>
      <c r="B21" s="16" t="s">
        <v>4879</v>
      </c>
      <c r="C21" s="17">
        <v>22</v>
      </c>
      <c r="D21" s="18" t="s">
        <v>4880</v>
      </c>
      <c r="E21" s="41">
        <v>24</v>
      </c>
      <c r="F21" s="42">
        <v>26.4</v>
      </c>
      <c r="G21" s="34"/>
      <c r="H21" s="35"/>
      <c r="I21" s="36"/>
      <c r="J21" s="37"/>
      <c r="K21" s="25">
        <f t="shared" si="0"/>
        <v>0</v>
      </c>
      <c r="L21" s="39" t="s">
        <v>4883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 t="s">
        <v>4878</v>
      </c>
      <c r="B23" s="16" t="s">
        <v>4879</v>
      </c>
      <c r="C23" s="17">
        <v>46.76</v>
      </c>
      <c r="D23" s="18" t="s">
        <v>4885</v>
      </c>
      <c r="E23" s="41">
        <v>4</v>
      </c>
      <c r="F23" s="42">
        <v>1.8</v>
      </c>
      <c r="G23" s="34" t="s">
        <v>4864</v>
      </c>
      <c r="H23" s="35">
        <v>2438</v>
      </c>
      <c r="I23" s="36">
        <v>3353</v>
      </c>
      <c r="J23" s="37">
        <v>2</v>
      </c>
      <c r="K23" s="25">
        <f t="shared" si="0"/>
        <v>16.349228</v>
      </c>
      <c r="L23" s="39" t="s">
        <v>4886</v>
      </c>
    </row>
    <row r="24" spans="1:12" s="27" customFormat="1" ht="19.5" customHeight="1" x14ac:dyDescent="0.3">
      <c r="A24" s="28" t="s">
        <v>4881</v>
      </c>
      <c r="B24" s="16" t="s">
        <v>4879</v>
      </c>
      <c r="C24" s="17">
        <v>46.76</v>
      </c>
      <c r="D24" s="18" t="s">
        <v>4885</v>
      </c>
      <c r="E24" s="41">
        <v>8</v>
      </c>
      <c r="F24" s="42">
        <v>3.2</v>
      </c>
      <c r="G24" s="34"/>
      <c r="H24" s="35"/>
      <c r="I24" s="36"/>
      <c r="J24" s="37"/>
      <c r="K24" s="25">
        <f t="shared" si="0"/>
        <v>0</v>
      </c>
      <c r="L24" s="39" t="s">
        <v>4886</v>
      </c>
    </row>
    <row r="25" spans="1:12" s="27" customFormat="1" ht="19.5" customHeight="1" x14ac:dyDescent="0.3">
      <c r="A25" s="28" t="s">
        <v>4882</v>
      </c>
      <c r="B25" s="16" t="s">
        <v>4879</v>
      </c>
      <c r="C25" s="17">
        <v>46.76</v>
      </c>
      <c r="D25" s="18" t="s">
        <v>4885</v>
      </c>
      <c r="E25" s="41">
        <v>8</v>
      </c>
      <c r="F25" s="42">
        <v>3.6</v>
      </c>
      <c r="G25" s="34"/>
      <c r="H25" s="35"/>
      <c r="I25" s="36"/>
      <c r="J25" s="37"/>
      <c r="K25" s="25">
        <f t="shared" si="0"/>
        <v>0</v>
      </c>
      <c r="L25" s="39" t="s">
        <v>4886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 t="s">
        <v>4887</v>
      </c>
      <c r="B27" s="16" t="s">
        <v>4888</v>
      </c>
      <c r="C27" s="17">
        <v>28</v>
      </c>
      <c r="D27" s="18" t="s">
        <v>4889</v>
      </c>
      <c r="E27" s="41">
        <f>19+37</f>
        <v>56</v>
      </c>
      <c r="F27" s="42">
        <f>45.79+88.43</f>
        <v>134.22</v>
      </c>
      <c r="G27" s="34" t="s">
        <v>4897</v>
      </c>
      <c r="H27" s="35">
        <v>2438</v>
      </c>
      <c r="I27" s="36">
        <v>3048</v>
      </c>
      <c r="J27" s="37">
        <v>75</v>
      </c>
      <c r="K27" s="25">
        <f t="shared" si="0"/>
        <v>557.32680000000005</v>
      </c>
      <c r="L27" s="39" t="s">
        <v>4891</v>
      </c>
    </row>
    <row r="28" spans="1:12" s="27" customFormat="1" ht="19.5" customHeight="1" x14ac:dyDescent="0.3">
      <c r="A28" s="28"/>
      <c r="B28" s="16"/>
      <c r="C28" s="17">
        <v>28</v>
      </c>
      <c r="D28" s="18" t="s">
        <v>4890</v>
      </c>
      <c r="E28" s="41">
        <v>19</v>
      </c>
      <c r="F28" s="42">
        <v>9.31</v>
      </c>
      <c r="G28" s="34"/>
      <c r="H28" s="35"/>
      <c r="I28" s="36"/>
      <c r="J28" s="37"/>
      <c r="K28" s="25">
        <f t="shared" si="0"/>
        <v>0</v>
      </c>
      <c r="L28" s="39" t="s">
        <v>4892</v>
      </c>
    </row>
    <row r="29" spans="1:12" s="27" customFormat="1" ht="19.5" customHeight="1" x14ac:dyDescent="0.3">
      <c r="A29" s="28"/>
      <c r="B29" s="16"/>
      <c r="C29" s="17">
        <v>28</v>
      </c>
      <c r="D29" s="18" t="s">
        <v>4889</v>
      </c>
      <c r="E29" s="41">
        <v>124</v>
      </c>
      <c r="F29" s="42">
        <v>256.02</v>
      </c>
      <c r="G29" s="34"/>
      <c r="H29" s="35"/>
      <c r="I29" s="36"/>
      <c r="J29" s="37"/>
      <c r="K29" s="25">
        <f t="shared" si="0"/>
        <v>0</v>
      </c>
      <c r="L29" s="39" t="s">
        <v>4893</v>
      </c>
    </row>
    <row r="30" spans="1:12" s="27" customFormat="1" ht="19.5" customHeight="1" x14ac:dyDescent="0.3">
      <c r="A30" s="28" t="s">
        <v>4894</v>
      </c>
      <c r="B30" s="16" t="s">
        <v>4888</v>
      </c>
      <c r="C30" s="17">
        <v>28</v>
      </c>
      <c r="D30" s="18" t="s">
        <v>4890</v>
      </c>
      <c r="E30" s="41">
        <v>2</v>
      </c>
      <c r="F30" s="42">
        <v>0.77</v>
      </c>
      <c r="G30" s="34"/>
      <c r="H30" s="35"/>
      <c r="I30" s="36"/>
      <c r="J30" s="37"/>
      <c r="K30" s="25">
        <f t="shared" si="0"/>
        <v>0</v>
      </c>
      <c r="L30" s="39" t="s">
        <v>4893</v>
      </c>
    </row>
    <row r="31" spans="1:12" s="27" customFormat="1" ht="19.5" customHeight="1" x14ac:dyDescent="0.3">
      <c r="A31" s="28"/>
      <c r="B31" s="16"/>
      <c r="C31" s="17">
        <v>28</v>
      </c>
      <c r="D31" s="18" t="s">
        <v>4889</v>
      </c>
      <c r="E31" s="41">
        <v>1</v>
      </c>
      <c r="F31" s="42">
        <v>0.92</v>
      </c>
      <c r="G31" s="34"/>
      <c r="H31" s="35"/>
      <c r="I31" s="36"/>
      <c r="J31" s="37"/>
      <c r="K31" s="25">
        <f t="shared" si="0"/>
        <v>0</v>
      </c>
      <c r="L31" s="39" t="s">
        <v>4895</v>
      </c>
    </row>
    <row r="32" spans="1:12" s="27" customFormat="1" ht="19.5" customHeight="1" x14ac:dyDescent="0.3">
      <c r="A32" s="28"/>
      <c r="B32" s="16"/>
      <c r="C32" s="17">
        <v>28</v>
      </c>
      <c r="D32" s="18" t="s">
        <v>4889</v>
      </c>
      <c r="E32" s="41">
        <v>3</v>
      </c>
      <c r="F32" s="42">
        <f>1.51+1.13+1.01</f>
        <v>3.6499999999999995</v>
      </c>
      <c r="G32" s="34"/>
      <c r="H32" s="35"/>
      <c r="I32" s="36"/>
      <c r="J32" s="37"/>
      <c r="K32" s="25">
        <f t="shared" si="0"/>
        <v>0</v>
      </c>
      <c r="L32" s="39" t="s">
        <v>4896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 t="s">
        <v>4898</v>
      </c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 t="s">
        <v>4923</v>
      </c>
      <c r="B35" s="16" t="s">
        <v>4924</v>
      </c>
      <c r="C35" s="17">
        <v>22</v>
      </c>
      <c r="D35" s="18" t="s">
        <v>4925</v>
      </c>
      <c r="E35" s="41">
        <v>160</v>
      </c>
      <c r="F35" s="42">
        <v>134.32</v>
      </c>
      <c r="G35" s="34" t="s">
        <v>4926</v>
      </c>
      <c r="H35" s="35">
        <v>1981</v>
      </c>
      <c r="I35" s="36">
        <v>3353</v>
      </c>
      <c r="J35" s="37">
        <v>22</v>
      </c>
      <c r="K35" s="25">
        <f t="shared" si="0"/>
        <v>146.13044600000001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 t="s">
        <v>4927</v>
      </c>
      <c r="H36" s="35">
        <v>1981</v>
      </c>
      <c r="I36" s="36">
        <v>3353</v>
      </c>
      <c r="J36" s="37">
        <v>22</v>
      </c>
      <c r="K36" s="25">
        <f t="shared" si="0"/>
        <v>146.13044600000001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 t="s">
        <v>4928</v>
      </c>
      <c r="B38" s="16" t="s">
        <v>4924</v>
      </c>
      <c r="C38" s="17">
        <v>22</v>
      </c>
      <c r="D38" s="18" t="s">
        <v>4925</v>
      </c>
      <c r="E38" s="41">
        <v>208</v>
      </c>
      <c r="F38" s="42">
        <v>170.12</v>
      </c>
      <c r="G38" s="34" t="s">
        <v>4927</v>
      </c>
      <c r="H38" s="35">
        <v>1981</v>
      </c>
      <c r="I38" s="36">
        <v>3353</v>
      </c>
      <c r="J38" s="37">
        <v>24</v>
      </c>
      <c r="K38" s="25">
        <f t="shared" si="0"/>
        <v>159.415032</v>
      </c>
      <c r="L38" s="39" t="s">
        <v>4929</v>
      </c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0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0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0"/>
        <v>0</v>
      </c>
      <c r="L44" s="39"/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25">
        <f t="shared" si="0"/>
        <v>0</v>
      </c>
      <c r="L45" s="39"/>
    </row>
    <row r="46" spans="1:12" s="27" customFormat="1" ht="19.5" customHeight="1" x14ac:dyDescent="0.3">
      <c r="A46" s="28"/>
      <c r="B46" s="29"/>
      <c r="C46" s="30"/>
      <c r="D46" s="31"/>
      <c r="E46" s="41"/>
      <c r="F46" s="42"/>
      <c r="G46" s="43"/>
      <c r="H46" s="35"/>
      <c r="I46" s="36"/>
      <c r="J46" s="37"/>
      <c r="K46" s="25">
        <f t="shared" si="0"/>
        <v>0</v>
      </c>
      <c r="L46" s="39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4899</v>
      </c>
      <c r="B48" s="45" t="s">
        <v>4900</v>
      </c>
      <c r="C48" s="46">
        <v>43</v>
      </c>
      <c r="D48" s="47" t="s">
        <v>4901</v>
      </c>
      <c r="E48" s="48">
        <v>1</v>
      </c>
      <c r="F48" s="49">
        <v>0.77</v>
      </c>
      <c r="G48" s="50"/>
      <c r="H48" s="51"/>
      <c r="I48" s="45"/>
      <c r="J48" s="52"/>
      <c r="K48" s="53">
        <f t="shared" si="0"/>
        <v>0</v>
      </c>
      <c r="L48" s="54" t="s">
        <v>4869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4902</v>
      </c>
      <c r="B50" s="45" t="s">
        <v>4903</v>
      </c>
      <c r="C50" s="46">
        <v>24</v>
      </c>
      <c r="D50" s="47" t="s">
        <v>4904</v>
      </c>
      <c r="E50" s="48">
        <v>1</v>
      </c>
      <c r="F50" s="49">
        <v>1.66</v>
      </c>
      <c r="G50" s="50" t="s">
        <v>4905</v>
      </c>
      <c r="H50" s="51">
        <v>1829</v>
      </c>
      <c r="I50" s="45">
        <v>3353</v>
      </c>
      <c r="J50" s="52">
        <v>1</v>
      </c>
      <c r="K50" s="53">
        <f t="shared" si="0"/>
        <v>6.1326369999999999</v>
      </c>
      <c r="L50" s="54" t="s">
        <v>4910</v>
      </c>
    </row>
    <row r="51" spans="1:12" s="55" customFormat="1" ht="19.5" customHeight="1" x14ac:dyDescent="0.3">
      <c r="A51" s="44" t="s">
        <v>4907</v>
      </c>
      <c r="B51" s="45" t="s">
        <v>4903</v>
      </c>
      <c r="C51" s="46">
        <v>24</v>
      </c>
      <c r="D51" s="47" t="s">
        <v>4904</v>
      </c>
      <c r="E51" s="48">
        <v>1</v>
      </c>
      <c r="F51" s="49">
        <v>1.66</v>
      </c>
      <c r="G51" s="50"/>
      <c r="H51" s="51"/>
      <c r="I51" s="45"/>
      <c r="J51" s="52"/>
      <c r="K51" s="53">
        <f t="shared" si="0"/>
        <v>0</v>
      </c>
      <c r="L51" s="54" t="s">
        <v>4910</v>
      </c>
    </row>
    <row r="52" spans="1:12" s="55" customFormat="1" ht="19.5" customHeight="1" x14ac:dyDescent="0.3">
      <c r="A52" s="44" t="s">
        <v>4908</v>
      </c>
      <c r="B52" s="45" t="s">
        <v>4903</v>
      </c>
      <c r="C52" s="46">
        <v>24</v>
      </c>
      <c r="D52" s="47" t="s">
        <v>4909</v>
      </c>
      <c r="E52" s="48">
        <v>3</v>
      </c>
      <c r="F52" s="49">
        <v>3.83</v>
      </c>
      <c r="G52" s="50"/>
      <c r="H52" s="51"/>
      <c r="I52" s="45"/>
      <c r="J52" s="52"/>
      <c r="K52" s="53">
        <f t="shared" si="0"/>
        <v>0</v>
      </c>
      <c r="L52" s="54" t="s">
        <v>4910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4906</v>
      </c>
      <c r="B54" s="45" t="s">
        <v>4903</v>
      </c>
      <c r="C54" s="46">
        <v>24</v>
      </c>
      <c r="D54" s="47" t="s">
        <v>4904</v>
      </c>
      <c r="E54" s="48">
        <v>1</v>
      </c>
      <c r="F54" s="49">
        <v>1.48</v>
      </c>
      <c r="G54" s="50" t="s">
        <v>4865</v>
      </c>
      <c r="H54" s="51">
        <v>1829</v>
      </c>
      <c r="I54" s="45">
        <v>3353</v>
      </c>
      <c r="J54" s="52">
        <v>1</v>
      </c>
      <c r="K54" s="53">
        <f t="shared" si="0"/>
        <v>6.1326369999999999</v>
      </c>
      <c r="L54" s="54" t="s">
        <v>4911</v>
      </c>
    </row>
    <row r="55" spans="1:12" s="55" customFormat="1" ht="19.5" customHeight="1" x14ac:dyDescent="0.3">
      <c r="A55" s="44" t="s">
        <v>4908</v>
      </c>
      <c r="B55" s="45" t="s">
        <v>4903</v>
      </c>
      <c r="C55" s="46">
        <v>24</v>
      </c>
      <c r="D55" s="47" t="s">
        <v>4909</v>
      </c>
      <c r="E55" s="48">
        <v>5</v>
      </c>
      <c r="F55" s="49">
        <v>6.31</v>
      </c>
      <c r="G55" s="50"/>
      <c r="H55" s="51"/>
      <c r="I55" s="45"/>
      <c r="J55" s="52"/>
      <c r="K55" s="53">
        <f t="shared" si="0"/>
        <v>0</v>
      </c>
      <c r="L55" s="54" t="s">
        <v>4911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4912</v>
      </c>
      <c r="B57" s="45" t="s">
        <v>4913</v>
      </c>
      <c r="C57" s="46">
        <v>28</v>
      </c>
      <c r="D57" s="47" t="s">
        <v>4914</v>
      </c>
      <c r="E57" s="48">
        <v>230</v>
      </c>
      <c r="F57" s="49">
        <v>222.88</v>
      </c>
      <c r="G57" s="50" t="s">
        <v>4916</v>
      </c>
      <c r="H57" s="51">
        <v>2134</v>
      </c>
      <c r="I57" s="45">
        <v>3353</v>
      </c>
      <c r="J57" s="52">
        <v>39</v>
      </c>
      <c r="K57" s="53">
        <f t="shared" si="0"/>
        <v>279.05677800000001</v>
      </c>
      <c r="L57" s="54"/>
    </row>
    <row r="58" spans="1:12" s="55" customFormat="1" ht="19.5" customHeight="1" x14ac:dyDescent="0.3">
      <c r="A58" s="44"/>
      <c r="B58" s="45"/>
      <c r="C58" s="46">
        <v>28</v>
      </c>
      <c r="D58" s="47" t="s">
        <v>4915</v>
      </c>
      <c r="E58" s="48">
        <v>30</v>
      </c>
      <c r="F58" s="49">
        <v>29.04</v>
      </c>
      <c r="G58" s="50" t="s">
        <v>4917</v>
      </c>
      <c r="H58" s="51">
        <v>2134</v>
      </c>
      <c r="I58" s="45">
        <v>3353</v>
      </c>
      <c r="J58" s="52">
        <v>39</v>
      </c>
      <c r="K58" s="53">
        <f t="shared" si="0"/>
        <v>279.05677800000001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4918</v>
      </c>
      <c r="B60" s="45" t="s">
        <v>4919</v>
      </c>
      <c r="C60" s="46">
        <v>22</v>
      </c>
      <c r="D60" s="47" t="s">
        <v>4920</v>
      </c>
      <c r="E60" s="48">
        <v>88</v>
      </c>
      <c r="F60" s="49">
        <v>130.24</v>
      </c>
      <c r="G60" s="50" t="s">
        <v>4865</v>
      </c>
      <c r="H60" s="51">
        <v>2286</v>
      </c>
      <c r="I60" s="45">
        <v>3048</v>
      </c>
      <c r="J60" s="52">
        <v>22</v>
      </c>
      <c r="K60" s="53">
        <f t="shared" si="0"/>
        <v>153.29001600000001</v>
      </c>
      <c r="L60" s="54" t="s">
        <v>4922</v>
      </c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 t="s">
        <v>4921</v>
      </c>
      <c r="H61" s="51">
        <v>2286</v>
      </c>
      <c r="I61" s="45">
        <v>3048</v>
      </c>
      <c r="J61" s="52">
        <v>22</v>
      </c>
      <c r="K61" s="53">
        <f t="shared" si="0"/>
        <v>153.29001600000001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4898</v>
      </c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4932</v>
      </c>
      <c r="B64" s="45" t="s">
        <v>4930</v>
      </c>
      <c r="C64" s="46">
        <v>24</v>
      </c>
      <c r="D64" s="47" t="s">
        <v>4931</v>
      </c>
      <c r="E64" s="48">
        <v>5</v>
      </c>
      <c r="F64" s="49">
        <v>11.79</v>
      </c>
      <c r="G64" s="50" t="s">
        <v>4936</v>
      </c>
      <c r="H64" s="51">
        <v>2134</v>
      </c>
      <c r="I64" s="45">
        <v>3048</v>
      </c>
      <c r="J64" s="52">
        <v>6</v>
      </c>
      <c r="K64" s="53">
        <f t="shared" si="0"/>
        <v>39.026591999999994</v>
      </c>
      <c r="L64" s="54" t="s">
        <v>4937</v>
      </c>
    </row>
    <row r="65" spans="1:12" s="55" customFormat="1" ht="19.5" customHeight="1" x14ac:dyDescent="0.3">
      <c r="A65" s="44" t="s">
        <v>4933</v>
      </c>
      <c r="B65" s="45" t="s">
        <v>4930</v>
      </c>
      <c r="C65" s="46">
        <v>24</v>
      </c>
      <c r="D65" s="47" t="s">
        <v>4931</v>
      </c>
      <c r="E65" s="48">
        <v>2</v>
      </c>
      <c r="F65" s="49">
        <v>4.21</v>
      </c>
      <c r="G65" s="50" t="s">
        <v>4926</v>
      </c>
      <c r="H65" s="51">
        <v>2438</v>
      </c>
      <c r="I65" s="45">
        <v>3353</v>
      </c>
      <c r="J65" s="52">
        <v>5</v>
      </c>
      <c r="K65" s="53">
        <f t="shared" si="0"/>
        <v>40.873069999999998</v>
      </c>
      <c r="L65" s="54" t="s">
        <v>4937</v>
      </c>
    </row>
    <row r="66" spans="1:12" s="55" customFormat="1" ht="19.5" customHeight="1" x14ac:dyDescent="0.3">
      <c r="A66" s="44" t="s">
        <v>4934</v>
      </c>
      <c r="B66" s="45" t="s">
        <v>4930</v>
      </c>
      <c r="C66" s="46">
        <v>24</v>
      </c>
      <c r="D66" s="47" t="s">
        <v>4931</v>
      </c>
      <c r="E66" s="48">
        <v>4</v>
      </c>
      <c r="F66" s="49">
        <v>9.67</v>
      </c>
      <c r="G66" s="50"/>
      <c r="H66" s="51"/>
      <c r="I66" s="45"/>
      <c r="J66" s="52"/>
      <c r="K66" s="53">
        <f t="shared" si="0"/>
        <v>0</v>
      </c>
      <c r="L66" s="54" t="s">
        <v>4937</v>
      </c>
    </row>
    <row r="67" spans="1:12" s="55" customFormat="1" ht="19.5" customHeight="1" x14ac:dyDescent="0.3">
      <c r="A67" s="44" t="s">
        <v>4935</v>
      </c>
      <c r="B67" s="45" t="s">
        <v>4930</v>
      </c>
      <c r="C67" s="46">
        <v>24</v>
      </c>
      <c r="D67" s="47" t="s">
        <v>4931</v>
      </c>
      <c r="E67" s="48">
        <v>2</v>
      </c>
      <c r="F67" s="49">
        <v>4.21</v>
      </c>
      <c r="G67" s="50"/>
      <c r="H67" s="51"/>
      <c r="I67" s="45"/>
      <c r="J67" s="52"/>
      <c r="K67" s="53">
        <f t="shared" si="0"/>
        <v>0</v>
      </c>
      <c r="L67" s="54" t="s">
        <v>4937</v>
      </c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4938</v>
      </c>
      <c r="B69" s="45" t="s">
        <v>4939</v>
      </c>
      <c r="C69" s="46">
        <v>28</v>
      </c>
      <c r="D69" s="47" t="s">
        <v>4940</v>
      </c>
      <c r="E69" s="48">
        <v>1</v>
      </c>
      <c r="F69" s="49">
        <v>3.28</v>
      </c>
      <c r="G69" s="50" t="s">
        <v>4941</v>
      </c>
      <c r="H69" s="51">
        <v>2438</v>
      </c>
      <c r="I69" s="45">
        <v>3353</v>
      </c>
      <c r="J69" s="52">
        <v>1</v>
      </c>
      <c r="K69" s="53">
        <f t="shared" si="0"/>
        <v>8.174614</v>
      </c>
      <c r="L69" s="54" t="s">
        <v>4942</v>
      </c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4943</v>
      </c>
      <c r="B71" s="45" t="s">
        <v>4944</v>
      </c>
      <c r="C71" s="46">
        <v>43</v>
      </c>
      <c r="D71" s="47" t="s">
        <v>4945</v>
      </c>
      <c r="E71" s="48">
        <v>1</v>
      </c>
      <c r="F71" s="49">
        <v>4.09</v>
      </c>
      <c r="G71" s="50" t="s">
        <v>4936</v>
      </c>
      <c r="H71" s="51">
        <v>2134</v>
      </c>
      <c r="I71" s="45">
        <v>3048</v>
      </c>
      <c r="J71" s="52">
        <v>1</v>
      </c>
      <c r="K71" s="53">
        <f t="shared" si="0"/>
        <v>6.5044319999999995</v>
      </c>
      <c r="L71" s="54" t="s">
        <v>4947</v>
      </c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 t="s">
        <v>4926</v>
      </c>
      <c r="H72" s="51">
        <v>1981</v>
      </c>
      <c r="I72" s="45">
        <v>3353</v>
      </c>
      <c r="J72" s="52">
        <v>1</v>
      </c>
      <c r="K72" s="53">
        <f t="shared" si="0"/>
        <v>6.6422930000000004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 t="s">
        <v>4946</v>
      </c>
      <c r="H73" s="51">
        <v>1981</v>
      </c>
      <c r="I73" s="45">
        <v>3353</v>
      </c>
      <c r="J73" s="52">
        <v>1</v>
      </c>
      <c r="K73" s="53">
        <f t="shared" si="0"/>
        <v>6.6422930000000004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 t="s">
        <v>4948</v>
      </c>
      <c r="B75" s="45" t="s">
        <v>4949</v>
      </c>
      <c r="C75" s="46">
        <v>24</v>
      </c>
      <c r="D75" s="47" t="s">
        <v>4950</v>
      </c>
      <c r="E75" s="48">
        <v>8</v>
      </c>
      <c r="F75" s="49">
        <v>7.88</v>
      </c>
      <c r="G75" s="50" t="s">
        <v>4952</v>
      </c>
      <c r="H75" s="51">
        <v>1981</v>
      </c>
      <c r="I75" s="45">
        <v>3048</v>
      </c>
      <c r="J75" s="52">
        <v>3</v>
      </c>
      <c r="K75" s="53">
        <f t="shared" si="0"/>
        <v>18.114264000000002</v>
      </c>
      <c r="L75" s="54"/>
    </row>
    <row r="76" spans="1:12" s="55" customFormat="1" ht="19.5" customHeight="1" x14ac:dyDescent="0.3">
      <c r="A76" s="44"/>
      <c r="B76" s="45"/>
      <c r="C76" s="46">
        <v>24</v>
      </c>
      <c r="D76" s="47" t="s">
        <v>4951</v>
      </c>
      <c r="E76" s="48">
        <v>5</v>
      </c>
      <c r="F76" s="49">
        <v>6.75</v>
      </c>
      <c r="G76" s="50" t="s">
        <v>4946</v>
      </c>
      <c r="H76" s="51">
        <v>1981</v>
      </c>
      <c r="I76" s="45">
        <v>3353</v>
      </c>
      <c r="J76" s="52">
        <v>3</v>
      </c>
      <c r="K76" s="53">
        <f t="shared" si="0"/>
        <v>19.926879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 t="s">
        <v>4953</v>
      </c>
      <c r="B78" s="45" t="s">
        <v>4954</v>
      </c>
      <c r="C78" s="46">
        <v>24</v>
      </c>
      <c r="D78" s="47" t="s">
        <v>4955</v>
      </c>
      <c r="E78" s="48">
        <v>21</v>
      </c>
      <c r="F78" s="49">
        <v>12.96</v>
      </c>
      <c r="G78" s="50" t="s">
        <v>4956</v>
      </c>
      <c r="H78" s="51">
        <v>1981</v>
      </c>
      <c r="I78" s="45">
        <v>3353</v>
      </c>
      <c r="J78" s="52">
        <v>2</v>
      </c>
      <c r="K78" s="53">
        <f t="shared" si="0"/>
        <v>13.284586000000001</v>
      </c>
      <c r="L78" s="54"/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 t="s">
        <v>4926</v>
      </c>
      <c r="H79" s="51">
        <v>1981</v>
      </c>
      <c r="I79" s="45">
        <v>3353</v>
      </c>
      <c r="J79" s="52">
        <v>2</v>
      </c>
      <c r="K79" s="53">
        <f t="shared" si="0"/>
        <v>13.284586000000001</v>
      </c>
      <c r="L79" s="54"/>
    </row>
    <row r="80" spans="1:12" s="55" customFormat="1" ht="19.5" customHeight="1" x14ac:dyDescent="0.3">
      <c r="A80" s="44"/>
      <c r="B80" s="45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 t="s">
        <v>4957</v>
      </c>
      <c r="B81" s="45" t="s">
        <v>4958</v>
      </c>
      <c r="C81" s="46">
        <v>43</v>
      </c>
      <c r="D81" s="47" t="s">
        <v>4959</v>
      </c>
      <c r="E81" s="48">
        <v>2</v>
      </c>
      <c r="F81" s="49">
        <v>11.18</v>
      </c>
      <c r="G81" s="50" t="s">
        <v>4946</v>
      </c>
      <c r="H81" s="51">
        <v>1981</v>
      </c>
      <c r="I81" s="45">
        <v>3353</v>
      </c>
      <c r="J81" s="52">
        <v>2</v>
      </c>
      <c r="K81" s="53">
        <f t="shared" si="0"/>
        <v>13.284586000000001</v>
      </c>
      <c r="L81" s="54" t="s">
        <v>4960</v>
      </c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ref="K82:K84" si="1">(H82/1000*I82/1000)*J82</f>
        <v>0</v>
      </c>
      <c r="L82" s="54"/>
    </row>
    <row r="83" spans="1:12" s="55" customFormat="1" ht="19.5" customHeight="1" x14ac:dyDescent="0.3">
      <c r="A83" s="44" t="s">
        <v>4961</v>
      </c>
      <c r="B83" s="45" t="s">
        <v>4962</v>
      </c>
      <c r="C83" s="46">
        <v>24</v>
      </c>
      <c r="D83" s="47" t="s">
        <v>4963</v>
      </c>
      <c r="E83" s="48">
        <v>2</v>
      </c>
      <c r="F83" s="49">
        <v>2.94</v>
      </c>
      <c r="G83" s="50"/>
      <c r="H83" s="51"/>
      <c r="I83" s="45"/>
      <c r="J83" s="52"/>
      <c r="K83" s="53">
        <f t="shared" si="1"/>
        <v>0</v>
      </c>
      <c r="L83" s="54" t="s">
        <v>4964</v>
      </c>
    </row>
    <row r="84" spans="1:12" s="55" customFormat="1" ht="19.5" customHeight="1" x14ac:dyDescent="0.3">
      <c r="A84" s="44"/>
      <c r="B84" s="45"/>
      <c r="C84" s="46"/>
      <c r="D84" s="47"/>
      <c r="E84" s="48"/>
      <c r="F84" s="49"/>
      <c r="G84" s="50"/>
      <c r="H84" s="51"/>
      <c r="I84" s="45"/>
      <c r="J84" s="52"/>
      <c r="K84" s="53">
        <f t="shared" si="1"/>
        <v>0</v>
      </c>
      <c r="L84" s="54"/>
    </row>
    <row r="85" spans="1:12" s="55" customFormat="1" ht="19.5" customHeight="1" x14ac:dyDescent="0.3">
      <c r="A85" s="44"/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ref="K85" si="2">(H85/1000*I85/1000)*J85</f>
        <v>0</v>
      </c>
      <c r="L85" s="54"/>
    </row>
    <row r="86" spans="1:12" s="59" customFormat="1" ht="20.100000000000001" customHeight="1" x14ac:dyDescent="0.3">
      <c r="A86" s="44"/>
      <c r="B86" s="45"/>
      <c r="C86" s="46"/>
      <c r="D86" s="47"/>
      <c r="E86" s="56"/>
      <c r="F86" s="57"/>
      <c r="G86" s="50"/>
      <c r="H86" s="51"/>
      <c r="I86" s="45"/>
      <c r="J86" s="52"/>
      <c r="K86" s="53">
        <f t="shared" si="0"/>
        <v>0</v>
      </c>
      <c r="L86" s="58">
        <f>SUM(J47:J87)</f>
        <v>151</v>
      </c>
    </row>
    <row r="87" spans="1:12" s="59" customFormat="1" ht="20.100000000000001" customHeight="1" x14ac:dyDescent="0.3">
      <c r="A87" s="44"/>
      <c r="B87" s="45"/>
      <c r="C87" s="46"/>
      <c r="D87" s="47"/>
      <c r="E87" s="60"/>
      <c r="F87" s="61"/>
      <c r="G87" s="62"/>
      <c r="H87" s="51"/>
      <c r="I87" s="45"/>
      <c r="J87" s="63"/>
      <c r="K87" s="53">
        <f t="shared" si="0"/>
        <v>0</v>
      </c>
      <c r="L87" s="64">
        <f>SUM(K47:K87)</f>
        <v>1062.7170570000001</v>
      </c>
    </row>
    <row r="88" spans="1:12" s="59" customFormat="1" ht="20.100000000000001" customHeight="1" thickBot="1" x14ac:dyDescent="0.35">
      <c r="A88" s="114"/>
      <c r="B88" s="115"/>
      <c r="C88" s="115"/>
      <c r="D88" s="115"/>
      <c r="E88" s="115"/>
      <c r="F88" s="115"/>
      <c r="G88" s="115"/>
      <c r="H88" s="115"/>
      <c r="I88" s="115"/>
      <c r="J88" s="65">
        <f>SUM(J7:J87)</f>
        <v>324</v>
      </c>
      <c r="K88" s="66">
        <f>SUM(K7:K87)</f>
        <v>2276.098543000001</v>
      </c>
      <c r="L88" s="67"/>
    </row>
    <row r="89" spans="1:12" s="59" customFormat="1" ht="20.100000000000001" customHeight="1" thickTop="1" thickBot="1" x14ac:dyDescent="0.35">
      <c r="A89" s="116" t="s">
        <v>52</v>
      </c>
      <c r="B89" s="117"/>
      <c r="C89" s="68"/>
      <c r="D89" s="118">
        <f>J88</f>
        <v>324</v>
      </c>
      <c r="E89" s="119"/>
      <c r="F89" s="119"/>
      <c r="G89" s="120"/>
      <c r="H89" s="121"/>
      <c r="I89" s="121"/>
      <c r="J89" s="122"/>
      <c r="K89" s="119"/>
      <c r="L89" s="123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71"/>
    </row>
    <row r="91" spans="1:12" s="59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113"/>
      <c r="B95" s="113"/>
      <c r="C95" s="5"/>
      <c r="D95" s="5"/>
      <c r="E95" s="72"/>
      <c r="F95" s="5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5"/>
      <c r="G96" s="73"/>
      <c r="H96" s="5"/>
      <c r="I96" s="74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113"/>
      <c r="B99" s="113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113"/>
      <c r="B100" s="113"/>
      <c r="C100" s="5"/>
      <c r="D100" s="5"/>
      <c r="E100" s="5"/>
      <c r="F100" s="70"/>
      <c r="G100" s="5"/>
      <c r="H100" s="72"/>
      <c r="I100" s="72"/>
      <c r="J100" s="5"/>
      <c r="K100" s="5"/>
      <c r="L100" s="5"/>
    </row>
    <row r="101" spans="1:12" ht="20.100000000000001" customHeight="1" x14ac:dyDescent="0.3">
      <c r="A101" s="113"/>
      <c r="B101" s="113"/>
      <c r="H101" s="72"/>
      <c r="I101" s="72"/>
    </row>
    <row r="102" spans="1:12" ht="20.100000000000001" customHeight="1" x14ac:dyDescent="0.3"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A104" s="113"/>
      <c r="B104" s="113"/>
      <c r="H104" s="72"/>
      <c r="I104" s="72"/>
    </row>
    <row r="105" spans="1:12" ht="20.100000000000001" customHeight="1" x14ac:dyDescent="0.3">
      <c r="A105" s="113"/>
      <c r="B105" s="113"/>
      <c r="H105" s="72"/>
      <c r="I105" s="72"/>
    </row>
    <row r="106" spans="1:12" ht="20.100000000000001" customHeight="1" x14ac:dyDescent="0.3">
      <c r="H106" s="72"/>
      <c r="I106" s="72"/>
    </row>
    <row r="107" spans="1:12" ht="20.100000000000001" customHeight="1" x14ac:dyDescent="0.3">
      <c r="H107" s="72"/>
      <c r="I107" s="72"/>
    </row>
    <row r="108" spans="1:12" ht="20.100000000000001" customHeight="1" x14ac:dyDescent="0.3">
      <c r="H108" s="72"/>
      <c r="I108" s="72"/>
    </row>
    <row r="109" spans="1:12" s="72" customFormat="1" ht="20.100000000000001" customHeight="1" x14ac:dyDescent="0.3">
      <c r="A109" s="69"/>
      <c r="B109" s="5"/>
      <c r="C109" s="5"/>
      <c r="D109" s="5"/>
      <c r="E109" s="5"/>
      <c r="F109" s="70"/>
      <c r="G109" s="5"/>
      <c r="J109" s="5"/>
      <c r="K109" s="5"/>
      <c r="L109" s="5"/>
    </row>
    <row r="110" spans="1:12" s="72" customFormat="1" ht="20.100000000000001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5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5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75" customFormat="1" ht="19.5" customHeight="1" x14ac:dyDescent="0.3">
      <c r="A113" s="69"/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72" customFormat="1" ht="20.100000000000001" customHeight="1" x14ac:dyDescent="0.3">
      <c r="A114" s="69"/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1:12" s="72" customFormat="1" ht="20.100000000000001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ht="19.5" customHeight="1" x14ac:dyDescent="0.3"/>
    <row r="117" spans="1:12" ht="19.5" customHeight="1" x14ac:dyDescent="0.3"/>
    <row r="118" spans="1:12" ht="19.5" customHeight="1" x14ac:dyDescent="0.3"/>
    <row r="119" spans="1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>
        <v>2</v>
      </c>
      <c r="C179" s="5"/>
      <c r="D179" s="5"/>
      <c r="E179" s="5"/>
      <c r="F179" s="70"/>
      <c r="G179" s="5"/>
      <c r="H179" s="5"/>
      <c r="I179" s="5"/>
      <c r="J179" s="5"/>
      <c r="K179" s="5"/>
      <c r="L179" s="5"/>
    </row>
  </sheetData>
  <mergeCells count="30">
    <mergeCell ref="A104:B104"/>
    <mergeCell ref="A105:B105"/>
    <mergeCell ref="A95:B95"/>
    <mergeCell ref="A96:B96"/>
    <mergeCell ref="A97:B97"/>
    <mergeCell ref="A99:B99"/>
    <mergeCell ref="A100:B100"/>
    <mergeCell ref="A101:B101"/>
    <mergeCell ref="A94:B9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8:I88"/>
    <mergeCell ref="A89:B89"/>
    <mergeCell ref="D89:G89"/>
    <mergeCell ref="H89:J89"/>
    <mergeCell ref="K89:L89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L175"/>
  <sheetViews>
    <sheetView view="pageBreakPreview" topLeftCell="A20" zoomScale="85" zoomScaleNormal="100" zoomScaleSheetLayoutView="85" workbookViewId="0">
      <selection activeCell="D36" sqref="D36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46184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3" si="0">(H7/1000*I7/1000)*J7</f>
        <v>0</v>
      </c>
      <c r="L7" s="26">
        <f>SUM(J7:J46)</f>
        <v>164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SUM(K7:K46)</f>
        <v>1101.730043</v>
      </c>
    </row>
    <row r="9" spans="1:12" s="27" customFormat="1" ht="19.5" customHeight="1" x14ac:dyDescent="0.3">
      <c r="A9" s="28" t="s">
        <v>4784</v>
      </c>
      <c r="B9" s="16" t="s">
        <v>4785</v>
      </c>
      <c r="C9" s="17">
        <v>24</v>
      </c>
      <c r="D9" s="18" t="s">
        <v>4786</v>
      </c>
      <c r="E9" s="41">
        <v>24</v>
      </c>
      <c r="F9" s="42">
        <v>29.52</v>
      </c>
      <c r="G9" s="34" t="s">
        <v>4788</v>
      </c>
      <c r="H9" s="35">
        <v>2438</v>
      </c>
      <c r="I9" s="36">
        <v>3353</v>
      </c>
      <c r="J9" s="37">
        <v>5</v>
      </c>
      <c r="K9" s="25">
        <f t="shared" si="0"/>
        <v>40.873069999999998</v>
      </c>
      <c r="L9" s="39"/>
    </row>
    <row r="10" spans="1:12" s="27" customFormat="1" ht="19.5" customHeight="1" x14ac:dyDescent="0.3">
      <c r="A10" s="28"/>
      <c r="B10" s="16"/>
      <c r="C10" s="17">
        <v>24</v>
      </c>
      <c r="D10" s="18" t="s">
        <v>4787</v>
      </c>
      <c r="E10" s="41">
        <v>5</v>
      </c>
      <c r="F10" s="42">
        <v>5.95</v>
      </c>
      <c r="G10" s="34" t="s">
        <v>4789</v>
      </c>
      <c r="H10" s="35">
        <v>2438</v>
      </c>
      <c r="I10" s="36">
        <v>3048</v>
      </c>
      <c r="J10" s="37">
        <v>6</v>
      </c>
      <c r="K10" s="25">
        <f t="shared" si="0"/>
        <v>44.586144000000004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 t="s">
        <v>4790</v>
      </c>
      <c r="H11" s="35">
        <v>1981</v>
      </c>
      <c r="I11" s="36">
        <v>3353</v>
      </c>
      <c r="J11" s="37">
        <v>1</v>
      </c>
      <c r="K11" s="25">
        <f t="shared" si="0"/>
        <v>6.6422930000000004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4791</v>
      </c>
      <c r="H12" s="35">
        <v>1981</v>
      </c>
      <c r="I12" s="36">
        <v>3353</v>
      </c>
      <c r="J12" s="37">
        <v>1</v>
      </c>
      <c r="K12" s="25">
        <f t="shared" si="0"/>
        <v>6.6422930000000004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 t="s">
        <v>4792</v>
      </c>
      <c r="B14" s="16" t="s">
        <v>4793</v>
      </c>
      <c r="C14" s="17">
        <v>22</v>
      </c>
      <c r="D14" s="18" t="s">
        <v>4794</v>
      </c>
      <c r="E14" s="41">
        <v>5</v>
      </c>
      <c r="F14" s="42">
        <v>7.69</v>
      </c>
      <c r="G14" s="34" t="s">
        <v>4790</v>
      </c>
      <c r="H14" s="35">
        <v>1981</v>
      </c>
      <c r="I14" s="36">
        <v>3353</v>
      </c>
      <c r="J14" s="37">
        <v>1</v>
      </c>
      <c r="K14" s="25">
        <f t="shared" si="0"/>
        <v>6.6422930000000004</v>
      </c>
      <c r="L14" s="39"/>
    </row>
    <row r="15" spans="1:12" s="27" customFormat="1" ht="19.5" customHeight="1" x14ac:dyDescent="0.3">
      <c r="A15" s="28"/>
      <c r="B15" s="16"/>
      <c r="C15" s="17">
        <v>47</v>
      </c>
      <c r="D15" s="18" t="s">
        <v>4795</v>
      </c>
      <c r="E15" s="41">
        <v>2</v>
      </c>
      <c r="F15" s="42">
        <v>0.81</v>
      </c>
      <c r="G15" s="34" t="s">
        <v>4796</v>
      </c>
      <c r="H15" s="35">
        <v>1981</v>
      </c>
      <c r="I15" s="36">
        <v>3353</v>
      </c>
      <c r="J15" s="37">
        <v>2</v>
      </c>
      <c r="K15" s="25">
        <f t="shared" si="0"/>
        <v>13.284586000000001</v>
      </c>
      <c r="L15" s="39" t="s">
        <v>4797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 t="s">
        <v>4798</v>
      </c>
      <c r="B17" s="16" t="s">
        <v>4799</v>
      </c>
      <c r="C17" s="17">
        <v>16</v>
      </c>
      <c r="D17" s="18" t="s">
        <v>4800</v>
      </c>
      <c r="E17" s="41">
        <v>1</v>
      </c>
      <c r="F17" s="42">
        <v>0.94</v>
      </c>
      <c r="G17" s="34"/>
      <c r="H17" s="35"/>
      <c r="I17" s="36"/>
      <c r="J17" s="37"/>
      <c r="K17" s="25">
        <f t="shared" si="0"/>
        <v>0</v>
      </c>
      <c r="L17" s="39" t="s">
        <v>4797</v>
      </c>
    </row>
    <row r="18" spans="1:12" s="27" customFormat="1" ht="19.5" customHeight="1" x14ac:dyDescent="0.3">
      <c r="A18" s="28"/>
      <c r="B18" s="16"/>
      <c r="C18" s="17">
        <v>16</v>
      </c>
      <c r="D18" s="18" t="s">
        <v>4801</v>
      </c>
      <c r="E18" s="41">
        <v>1</v>
      </c>
      <c r="F18" s="42">
        <v>0.94</v>
      </c>
      <c r="G18" s="34" t="s">
        <v>4802</v>
      </c>
      <c r="H18" s="35">
        <v>1981</v>
      </c>
      <c r="I18" s="36">
        <v>3353</v>
      </c>
      <c r="J18" s="37">
        <v>1</v>
      </c>
      <c r="K18" s="25">
        <f t="shared" si="0"/>
        <v>6.6422930000000004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0"/>
        <v>0</v>
      </c>
      <c r="L19" s="39"/>
    </row>
    <row r="20" spans="1:12" s="27" customFormat="1" ht="19.5" customHeight="1" x14ac:dyDescent="0.3">
      <c r="A20" s="28" t="s">
        <v>4753</v>
      </c>
      <c r="B20" s="16" t="s">
        <v>3036</v>
      </c>
      <c r="C20" s="17">
        <v>22</v>
      </c>
      <c r="D20" s="18" t="s">
        <v>146</v>
      </c>
      <c r="E20" s="41">
        <v>12</v>
      </c>
      <c r="F20" s="42">
        <v>28.32</v>
      </c>
      <c r="G20" s="34" t="s">
        <v>4802</v>
      </c>
      <c r="H20" s="35">
        <v>1981</v>
      </c>
      <c r="I20" s="36">
        <v>3353</v>
      </c>
      <c r="J20" s="37">
        <v>8</v>
      </c>
      <c r="K20" s="25">
        <f t="shared" ref="K20:K28" si="1">(H20/1000*I20/1000)*J20</f>
        <v>53.138344000000004</v>
      </c>
      <c r="L20" s="39"/>
    </row>
    <row r="21" spans="1:12" s="27" customFormat="1" ht="19.5" customHeight="1" x14ac:dyDescent="0.3">
      <c r="A21" s="28"/>
      <c r="B21" s="16"/>
      <c r="C21" s="17">
        <v>22</v>
      </c>
      <c r="D21" s="18" t="s">
        <v>665</v>
      </c>
      <c r="E21" s="41">
        <v>6</v>
      </c>
      <c r="F21" s="42">
        <v>19.38</v>
      </c>
      <c r="G21" s="34" t="s">
        <v>4790</v>
      </c>
      <c r="H21" s="35">
        <v>1981</v>
      </c>
      <c r="I21" s="36">
        <v>3353</v>
      </c>
      <c r="J21" s="37">
        <v>21</v>
      </c>
      <c r="K21" s="25">
        <f t="shared" si="1"/>
        <v>139.48815300000001</v>
      </c>
      <c r="L21" s="39"/>
    </row>
    <row r="22" spans="1:12" s="27" customFormat="1" ht="19.5" customHeight="1" x14ac:dyDescent="0.3">
      <c r="A22" s="28"/>
      <c r="B22" s="16"/>
      <c r="C22" s="17">
        <v>22</v>
      </c>
      <c r="D22" s="18" t="s">
        <v>45</v>
      </c>
      <c r="E22" s="41">
        <v>144</v>
      </c>
      <c r="F22" s="42">
        <v>88.14</v>
      </c>
      <c r="G22" s="34" t="s">
        <v>4804</v>
      </c>
      <c r="H22" s="35">
        <v>1981</v>
      </c>
      <c r="I22" s="36">
        <v>3353</v>
      </c>
      <c r="J22" s="37">
        <v>41</v>
      </c>
      <c r="K22" s="25">
        <f t="shared" si="1"/>
        <v>272.33401300000003</v>
      </c>
      <c r="L22" s="39" t="s">
        <v>4803</v>
      </c>
    </row>
    <row r="23" spans="1:12" s="27" customFormat="1" ht="19.5" customHeight="1" x14ac:dyDescent="0.3">
      <c r="A23" s="28"/>
      <c r="B23" s="16"/>
      <c r="C23" s="17">
        <v>22</v>
      </c>
      <c r="D23" s="18" t="s">
        <v>4794</v>
      </c>
      <c r="E23" s="41">
        <v>162</v>
      </c>
      <c r="F23" s="42">
        <v>135.84</v>
      </c>
      <c r="G23" s="34"/>
      <c r="H23" s="35"/>
      <c r="I23" s="36"/>
      <c r="J23" s="37"/>
      <c r="K23" s="25">
        <f t="shared" si="1"/>
        <v>0</v>
      </c>
      <c r="L23" s="39"/>
    </row>
    <row r="24" spans="1:12" s="27" customFormat="1" ht="19.5" customHeight="1" x14ac:dyDescent="0.3">
      <c r="A24" s="28"/>
      <c r="B24" s="16"/>
      <c r="C24" s="17">
        <v>22</v>
      </c>
      <c r="D24" s="18" t="s">
        <v>45</v>
      </c>
      <c r="E24" s="41">
        <v>36</v>
      </c>
      <c r="F24" s="42">
        <v>10.08</v>
      </c>
      <c r="G24" s="34"/>
      <c r="H24" s="35"/>
      <c r="I24" s="36"/>
      <c r="J24" s="37"/>
      <c r="K24" s="25">
        <f t="shared" si="1"/>
        <v>0</v>
      </c>
      <c r="L24" s="39" t="s">
        <v>4803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1"/>
        <v>0</v>
      </c>
      <c r="L25" s="39"/>
    </row>
    <row r="26" spans="1:12" s="27" customFormat="1" ht="19.5" customHeight="1" x14ac:dyDescent="0.3">
      <c r="A26" s="28" t="s">
        <v>4805</v>
      </c>
      <c r="B26" s="16" t="s">
        <v>4806</v>
      </c>
      <c r="C26" s="17">
        <v>24</v>
      </c>
      <c r="D26" s="18" t="s">
        <v>4807</v>
      </c>
      <c r="E26" s="41">
        <v>1</v>
      </c>
      <c r="F26" s="42">
        <v>0.5</v>
      </c>
      <c r="G26" s="34"/>
      <c r="H26" s="35"/>
      <c r="I26" s="36"/>
      <c r="J26" s="37"/>
      <c r="K26" s="25">
        <f t="shared" si="1"/>
        <v>0</v>
      </c>
      <c r="L26" s="39" t="s">
        <v>4797</v>
      </c>
    </row>
    <row r="27" spans="1:12" s="27" customFormat="1" ht="19.5" customHeight="1" x14ac:dyDescent="0.3">
      <c r="A27" s="28"/>
      <c r="B27" s="16"/>
      <c r="C27" s="17">
        <v>24</v>
      </c>
      <c r="D27" s="18" t="s">
        <v>4808</v>
      </c>
      <c r="E27" s="41">
        <v>6</v>
      </c>
      <c r="F27" s="42">
        <v>1.68</v>
      </c>
      <c r="G27" s="34"/>
      <c r="H27" s="35"/>
      <c r="I27" s="36"/>
      <c r="J27" s="37"/>
      <c r="K27" s="25">
        <f t="shared" si="1"/>
        <v>0</v>
      </c>
      <c r="L27" s="39" t="s">
        <v>4797</v>
      </c>
    </row>
    <row r="28" spans="1:12" s="27" customFormat="1" ht="19.5" customHeight="1" x14ac:dyDescent="0.3">
      <c r="A28" s="28"/>
      <c r="B28" s="16"/>
      <c r="C28" s="17">
        <v>24</v>
      </c>
      <c r="D28" s="18" t="s">
        <v>4809</v>
      </c>
      <c r="E28" s="41">
        <v>2</v>
      </c>
      <c r="F28" s="42">
        <v>0.56000000000000005</v>
      </c>
      <c r="G28" s="34"/>
      <c r="H28" s="35"/>
      <c r="I28" s="36"/>
      <c r="J28" s="37"/>
      <c r="K28" s="25">
        <f t="shared" si="1"/>
        <v>0</v>
      </c>
      <c r="L28" s="39" t="s">
        <v>4797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 t="s">
        <v>4810</v>
      </c>
      <c r="B30" s="16" t="s">
        <v>4811</v>
      </c>
      <c r="C30" s="17">
        <v>22</v>
      </c>
      <c r="D30" s="18" t="s">
        <v>4812</v>
      </c>
      <c r="E30" s="41">
        <v>1</v>
      </c>
      <c r="F30" s="42">
        <v>2.5299999999999998</v>
      </c>
      <c r="G30" s="34" t="s">
        <v>4790</v>
      </c>
      <c r="H30" s="35">
        <v>1981</v>
      </c>
      <c r="I30" s="36">
        <v>3353</v>
      </c>
      <c r="J30" s="37">
        <v>1</v>
      </c>
      <c r="K30" s="25">
        <f t="shared" si="0"/>
        <v>6.6422930000000004</v>
      </c>
      <c r="L30" s="39" t="s">
        <v>4814</v>
      </c>
    </row>
    <row r="31" spans="1:12" s="27" customFormat="1" ht="19.5" customHeight="1" x14ac:dyDescent="0.3">
      <c r="A31" s="28"/>
      <c r="B31" s="16"/>
      <c r="C31" s="17">
        <v>24</v>
      </c>
      <c r="D31" s="18" t="s">
        <v>4813</v>
      </c>
      <c r="E31" s="41">
        <v>1</v>
      </c>
      <c r="F31" s="42">
        <v>1.02</v>
      </c>
      <c r="G31" s="34"/>
      <c r="H31" s="35"/>
      <c r="I31" s="36"/>
      <c r="J31" s="37"/>
      <c r="K31" s="25">
        <f t="shared" si="0"/>
        <v>0</v>
      </c>
      <c r="L31" s="39" t="s">
        <v>4797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 t="s">
        <v>4815</v>
      </c>
      <c r="B33" s="16" t="s">
        <v>4816</v>
      </c>
      <c r="C33" s="17">
        <v>24</v>
      </c>
      <c r="D33" s="18" t="s">
        <v>4817</v>
      </c>
      <c r="E33" s="41">
        <v>3</v>
      </c>
      <c r="F33" s="42">
        <v>0.99</v>
      </c>
      <c r="G33" s="34"/>
      <c r="H33" s="35"/>
      <c r="I33" s="36"/>
      <c r="J33" s="37"/>
      <c r="K33" s="25">
        <f t="shared" si="0"/>
        <v>0</v>
      </c>
      <c r="L33" s="39" t="s">
        <v>4797</v>
      </c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 t="s">
        <v>4818</v>
      </c>
      <c r="B35" s="16" t="s">
        <v>3036</v>
      </c>
      <c r="C35" s="17">
        <v>22</v>
      </c>
      <c r="D35" s="18" t="s">
        <v>146</v>
      </c>
      <c r="E35" s="41">
        <v>12</v>
      </c>
      <c r="F35" s="42">
        <v>28.32</v>
      </c>
      <c r="G35" s="34" t="s">
        <v>4802</v>
      </c>
      <c r="H35" s="35">
        <v>1981</v>
      </c>
      <c r="I35" s="36">
        <v>3353</v>
      </c>
      <c r="J35" s="37">
        <v>6</v>
      </c>
      <c r="K35" s="25">
        <f t="shared" si="0"/>
        <v>39.853757999999999</v>
      </c>
      <c r="L35" s="39"/>
    </row>
    <row r="36" spans="1:12" s="27" customFormat="1" ht="19.5" customHeight="1" x14ac:dyDescent="0.3">
      <c r="A36" s="28"/>
      <c r="B36" s="16"/>
      <c r="C36" s="17">
        <v>22</v>
      </c>
      <c r="D36" s="18" t="s">
        <v>665</v>
      </c>
      <c r="E36" s="41">
        <v>3</v>
      </c>
      <c r="F36" s="42">
        <v>6.69</v>
      </c>
      <c r="G36" s="34" t="s">
        <v>4804</v>
      </c>
      <c r="H36" s="35">
        <v>1981</v>
      </c>
      <c r="I36" s="36">
        <v>3353</v>
      </c>
      <c r="J36" s="37">
        <v>6</v>
      </c>
      <c r="K36" s="25">
        <f t="shared" si="0"/>
        <v>39.853757999999999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ref="K37:K46" si="2">(H37/1000*I37/1000)*J37</f>
        <v>0</v>
      </c>
      <c r="L37" s="39"/>
    </row>
    <row r="38" spans="1:12" s="27" customFormat="1" ht="19.5" customHeight="1" x14ac:dyDescent="0.3">
      <c r="A38" s="28" t="s">
        <v>4819</v>
      </c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2"/>
        <v>0</v>
      </c>
      <c r="L38" s="39"/>
    </row>
    <row r="39" spans="1:12" s="27" customFormat="1" ht="19.5" customHeight="1" x14ac:dyDescent="0.3">
      <c r="A39" s="28" t="s">
        <v>4846</v>
      </c>
      <c r="B39" s="16" t="s">
        <v>3036</v>
      </c>
      <c r="C39" s="17">
        <v>22</v>
      </c>
      <c r="D39" s="18" t="s">
        <v>45</v>
      </c>
      <c r="E39" s="41">
        <v>141</v>
      </c>
      <c r="F39" s="42">
        <v>83.67</v>
      </c>
      <c r="G39" s="34" t="s">
        <v>4848</v>
      </c>
      <c r="H39" s="35">
        <v>1981</v>
      </c>
      <c r="I39" s="36">
        <v>3353</v>
      </c>
      <c r="J39" s="37">
        <v>14</v>
      </c>
      <c r="K39" s="25">
        <f t="shared" si="2"/>
        <v>92.992102000000003</v>
      </c>
      <c r="L39" s="39"/>
    </row>
    <row r="40" spans="1:12" s="27" customFormat="1" ht="19.5" customHeight="1" x14ac:dyDescent="0.3">
      <c r="A40" s="28"/>
      <c r="B40" s="16"/>
      <c r="C40" s="17">
        <v>22</v>
      </c>
      <c r="D40" s="18" t="s">
        <v>4847</v>
      </c>
      <c r="E40" s="41">
        <v>156</v>
      </c>
      <c r="F40" s="42">
        <v>121.68</v>
      </c>
      <c r="G40" s="34" t="s">
        <v>4849</v>
      </c>
      <c r="H40" s="35">
        <v>1981</v>
      </c>
      <c r="I40" s="36">
        <v>3353</v>
      </c>
      <c r="J40" s="37">
        <v>18</v>
      </c>
      <c r="K40" s="25">
        <f t="shared" si="2"/>
        <v>119.56127400000001</v>
      </c>
      <c r="L40" s="39"/>
    </row>
    <row r="41" spans="1:12" s="27" customFormat="1" ht="19.5" customHeight="1" x14ac:dyDescent="0.3">
      <c r="A41" s="28"/>
      <c r="B41" s="16"/>
      <c r="C41" s="17">
        <v>22</v>
      </c>
      <c r="D41" s="18" t="s">
        <v>45</v>
      </c>
      <c r="E41" s="41">
        <v>36</v>
      </c>
      <c r="F41" s="42">
        <v>10.08</v>
      </c>
      <c r="G41" s="34" t="s">
        <v>216</v>
      </c>
      <c r="H41" s="35">
        <v>1981</v>
      </c>
      <c r="I41" s="36">
        <v>3353</v>
      </c>
      <c r="J41" s="37">
        <v>32</v>
      </c>
      <c r="K41" s="25">
        <f t="shared" si="2"/>
        <v>212.55337600000001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2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2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2"/>
        <v>0</v>
      </c>
      <c r="L44" s="39"/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25">
        <f t="shared" si="2"/>
        <v>0</v>
      </c>
      <c r="L45" s="39"/>
    </row>
    <row r="46" spans="1:12" s="27" customFormat="1" ht="19.5" customHeight="1" x14ac:dyDescent="0.3">
      <c r="A46" s="28"/>
      <c r="B46" s="29"/>
      <c r="C46" s="30"/>
      <c r="D46" s="31"/>
      <c r="E46" s="41"/>
      <c r="F46" s="42"/>
      <c r="G46" s="43"/>
      <c r="H46" s="35"/>
      <c r="I46" s="36"/>
      <c r="J46" s="37"/>
      <c r="K46" s="25">
        <f t="shared" si="2"/>
        <v>0</v>
      </c>
      <c r="L46" s="39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4820</v>
      </c>
      <c r="B48" s="45" t="s">
        <v>4821</v>
      </c>
      <c r="C48" s="46">
        <v>28</v>
      </c>
      <c r="D48" s="47" t="s">
        <v>4822</v>
      </c>
      <c r="E48" s="48">
        <v>13</v>
      </c>
      <c r="F48" s="49">
        <v>38.369999999999997</v>
      </c>
      <c r="G48" s="50" t="s">
        <v>4823</v>
      </c>
      <c r="H48" s="51">
        <v>2438</v>
      </c>
      <c r="I48" s="45">
        <v>3353</v>
      </c>
      <c r="J48" s="52">
        <v>6</v>
      </c>
      <c r="K48" s="53">
        <f t="shared" si="0"/>
        <v>49.047684000000004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4788</v>
      </c>
      <c r="H49" s="51">
        <v>2438</v>
      </c>
      <c r="I49" s="45">
        <v>3353</v>
      </c>
      <c r="J49" s="52">
        <v>4</v>
      </c>
      <c r="K49" s="53">
        <f t="shared" si="0"/>
        <v>32.698456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 t="s">
        <v>4788</v>
      </c>
      <c r="H50" s="51">
        <v>1829</v>
      </c>
      <c r="I50" s="45">
        <v>3353</v>
      </c>
      <c r="J50" s="52">
        <v>3</v>
      </c>
      <c r="K50" s="53">
        <f t="shared" si="0"/>
        <v>18.397911000000001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4824</v>
      </c>
      <c r="B52" s="45" t="s">
        <v>4825</v>
      </c>
      <c r="C52" s="46">
        <v>24</v>
      </c>
      <c r="D52" s="47" t="s">
        <v>4826</v>
      </c>
      <c r="E52" s="48">
        <v>13</v>
      </c>
      <c r="F52" s="49">
        <v>17.260000000000002</v>
      </c>
      <c r="G52" s="50" t="s">
        <v>4827</v>
      </c>
      <c r="H52" s="51">
        <v>1829</v>
      </c>
      <c r="I52" s="45">
        <v>3353</v>
      </c>
      <c r="J52" s="52">
        <v>3</v>
      </c>
      <c r="K52" s="53">
        <f t="shared" si="0"/>
        <v>18.397911000000001</v>
      </c>
      <c r="L52" s="54" t="s">
        <v>4828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4824</v>
      </c>
      <c r="B54" s="45" t="s">
        <v>4825</v>
      </c>
      <c r="C54" s="46">
        <v>24</v>
      </c>
      <c r="D54" s="47" t="s">
        <v>4826</v>
      </c>
      <c r="E54" s="48">
        <v>8</v>
      </c>
      <c r="F54" s="49">
        <v>11.51</v>
      </c>
      <c r="G54" s="50" t="s">
        <v>4790</v>
      </c>
      <c r="H54" s="51">
        <v>2438</v>
      </c>
      <c r="I54" s="45">
        <v>3353</v>
      </c>
      <c r="J54" s="52">
        <v>1</v>
      </c>
      <c r="K54" s="53">
        <f t="shared" si="0"/>
        <v>8.174614</v>
      </c>
      <c r="L54" s="54" t="s">
        <v>4829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 t="s">
        <v>4790</v>
      </c>
      <c r="H55" s="51">
        <v>1829</v>
      </c>
      <c r="I55" s="45">
        <v>3353</v>
      </c>
      <c r="J55" s="52">
        <v>1</v>
      </c>
      <c r="K55" s="53">
        <f t="shared" si="0"/>
        <v>6.1326369999999999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4830</v>
      </c>
      <c r="B57" s="45" t="s">
        <v>4825</v>
      </c>
      <c r="C57" s="46">
        <v>24</v>
      </c>
      <c r="D57" s="47" t="s">
        <v>4831</v>
      </c>
      <c r="E57" s="48">
        <v>7</v>
      </c>
      <c r="F57" s="49">
        <v>6.39</v>
      </c>
      <c r="G57" s="50" t="s">
        <v>4827</v>
      </c>
      <c r="H57" s="51">
        <v>1829</v>
      </c>
      <c r="I57" s="45">
        <v>3353</v>
      </c>
      <c r="J57" s="52">
        <v>1</v>
      </c>
      <c r="K57" s="53">
        <f t="shared" si="0"/>
        <v>6.1326369999999999</v>
      </c>
      <c r="L57" s="54" t="s">
        <v>4828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4832</v>
      </c>
      <c r="B59" s="45" t="s">
        <v>4833</v>
      </c>
      <c r="C59" s="46">
        <v>26.76</v>
      </c>
      <c r="D59" s="47" t="s">
        <v>4834</v>
      </c>
      <c r="E59" s="48">
        <v>3</v>
      </c>
      <c r="F59" s="49">
        <v>6.12</v>
      </c>
      <c r="G59" s="50" t="s">
        <v>4835</v>
      </c>
      <c r="H59" s="51">
        <v>2438</v>
      </c>
      <c r="I59" s="45">
        <v>3353</v>
      </c>
      <c r="J59" s="52">
        <v>1</v>
      </c>
      <c r="K59" s="53">
        <f t="shared" si="0"/>
        <v>8.174614</v>
      </c>
      <c r="L59" s="54" t="s">
        <v>4828</v>
      </c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4836</v>
      </c>
      <c r="B61" s="45" t="s">
        <v>4833</v>
      </c>
      <c r="C61" s="46">
        <v>28</v>
      </c>
      <c r="D61" s="47" t="s">
        <v>4837</v>
      </c>
      <c r="E61" s="48">
        <v>2</v>
      </c>
      <c r="F61" s="49">
        <v>2.06</v>
      </c>
      <c r="G61" s="50" t="s">
        <v>4838</v>
      </c>
      <c r="H61" s="51">
        <v>2438</v>
      </c>
      <c r="I61" s="45">
        <v>3048</v>
      </c>
      <c r="J61" s="52">
        <v>1</v>
      </c>
      <c r="K61" s="53">
        <f t="shared" si="0"/>
        <v>7.4310240000000007</v>
      </c>
      <c r="L61" s="54" t="s">
        <v>4828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4839</v>
      </c>
      <c r="B63" s="45" t="s">
        <v>4840</v>
      </c>
      <c r="C63" s="46">
        <v>24</v>
      </c>
      <c r="D63" s="47" t="s">
        <v>4841</v>
      </c>
      <c r="E63" s="48">
        <v>18</v>
      </c>
      <c r="F63" s="49">
        <v>10.9</v>
      </c>
      <c r="G63" s="50" t="s">
        <v>4843</v>
      </c>
      <c r="H63" s="51">
        <v>2438</v>
      </c>
      <c r="I63" s="45">
        <v>3353</v>
      </c>
      <c r="J63" s="52">
        <v>15</v>
      </c>
      <c r="K63" s="53">
        <f t="shared" si="0"/>
        <v>122.61921</v>
      </c>
      <c r="L63" s="54"/>
    </row>
    <row r="64" spans="1:12" s="55" customFormat="1" ht="19.5" customHeight="1" x14ac:dyDescent="0.3">
      <c r="A64" s="44"/>
      <c r="B64" s="45"/>
      <c r="C64" s="46">
        <v>24</v>
      </c>
      <c r="D64" s="47" t="s">
        <v>4842</v>
      </c>
      <c r="E64" s="48">
        <v>97</v>
      </c>
      <c r="F64" s="49">
        <v>99.83</v>
      </c>
      <c r="G64" s="50" t="s">
        <v>4790</v>
      </c>
      <c r="H64" s="51">
        <v>2438</v>
      </c>
      <c r="I64" s="45">
        <v>3353</v>
      </c>
      <c r="J64" s="52">
        <v>15</v>
      </c>
      <c r="K64" s="53">
        <f t="shared" si="0"/>
        <v>122.61921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2492</v>
      </c>
      <c r="B66" s="45" t="s">
        <v>25</v>
      </c>
      <c r="C66" s="46">
        <v>22</v>
      </c>
      <c r="D66" s="47" t="s">
        <v>17</v>
      </c>
      <c r="E66" s="48">
        <v>192</v>
      </c>
      <c r="F66" s="49">
        <v>284.16000000000003</v>
      </c>
      <c r="G66" s="50" t="s">
        <v>2493</v>
      </c>
      <c r="H66" s="51">
        <v>2286</v>
      </c>
      <c r="I66" s="45">
        <v>3048</v>
      </c>
      <c r="J66" s="52">
        <v>48</v>
      </c>
      <c r="K66" s="53">
        <f t="shared" si="0"/>
        <v>334.45094399999999</v>
      </c>
      <c r="L66" s="54" t="s">
        <v>4844</v>
      </c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 t="s">
        <v>4819</v>
      </c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4850</v>
      </c>
      <c r="B69" s="45" t="s">
        <v>4851</v>
      </c>
      <c r="C69" s="46">
        <v>39</v>
      </c>
      <c r="D69" s="47" t="s">
        <v>4852</v>
      </c>
      <c r="E69" s="48">
        <v>5</v>
      </c>
      <c r="F69" s="49">
        <v>2.31</v>
      </c>
      <c r="G69" s="50" t="s">
        <v>4853</v>
      </c>
      <c r="H69" s="51">
        <v>1981</v>
      </c>
      <c r="I69" s="45">
        <v>3353</v>
      </c>
      <c r="J69" s="52">
        <v>1</v>
      </c>
      <c r="K69" s="53">
        <f t="shared" si="0"/>
        <v>6.6422930000000004</v>
      </c>
      <c r="L69" s="54" t="s">
        <v>4854</v>
      </c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4855</v>
      </c>
      <c r="B71" s="45" t="s">
        <v>4851</v>
      </c>
      <c r="C71" s="46">
        <v>24</v>
      </c>
      <c r="D71" s="47" t="s">
        <v>4856</v>
      </c>
      <c r="E71" s="48">
        <v>14</v>
      </c>
      <c r="F71" s="49">
        <v>9.5299999999999994</v>
      </c>
      <c r="G71" s="50" t="s">
        <v>4858</v>
      </c>
      <c r="H71" s="51">
        <v>2438</v>
      </c>
      <c r="I71" s="45">
        <v>3353</v>
      </c>
      <c r="J71" s="52">
        <v>13</v>
      </c>
      <c r="K71" s="53"/>
      <c r="L71" s="54"/>
    </row>
    <row r="72" spans="1:12" s="55" customFormat="1" ht="19.5" customHeight="1" x14ac:dyDescent="0.3">
      <c r="A72" s="44"/>
      <c r="B72" s="45"/>
      <c r="C72" s="46">
        <v>24</v>
      </c>
      <c r="D72" s="47" t="s">
        <v>4857</v>
      </c>
      <c r="E72" s="48">
        <v>51</v>
      </c>
      <c r="F72" s="49">
        <v>86.93</v>
      </c>
      <c r="G72" s="50" t="s">
        <v>4849</v>
      </c>
      <c r="H72" s="51">
        <v>2438</v>
      </c>
      <c r="I72" s="45">
        <v>3353</v>
      </c>
      <c r="J72" s="52">
        <v>14</v>
      </c>
      <c r="K72" s="53">
        <f t="shared" si="0"/>
        <v>114.444596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 t="s">
        <v>4849</v>
      </c>
      <c r="H73" s="51">
        <v>1829</v>
      </c>
      <c r="I73" s="45">
        <v>3353</v>
      </c>
      <c r="J73" s="52">
        <v>1</v>
      </c>
      <c r="K73" s="53">
        <f t="shared" si="0"/>
        <v>6.1326369999999999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 t="s">
        <v>4859</v>
      </c>
      <c r="B75" s="45" t="s">
        <v>4851</v>
      </c>
      <c r="C75" s="46">
        <v>24</v>
      </c>
      <c r="D75" s="47" t="s">
        <v>4856</v>
      </c>
      <c r="E75" s="48">
        <v>4</v>
      </c>
      <c r="F75" s="49">
        <v>2.16</v>
      </c>
      <c r="G75" s="50" t="s">
        <v>4858</v>
      </c>
      <c r="H75" s="51">
        <v>2438</v>
      </c>
      <c r="I75" s="45">
        <v>3353</v>
      </c>
      <c r="J75" s="52">
        <v>2</v>
      </c>
      <c r="K75" s="53">
        <f t="shared" si="0"/>
        <v>16.349228</v>
      </c>
      <c r="L75" s="54"/>
    </row>
    <row r="76" spans="1:12" s="55" customFormat="1" ht="19.5" customHeight="1" x14ac:dyDescent="0.3">
      <c r="A76" s="44"/>
      <c r="B76" s="45"/>
      <c r="C76" s="46">
        <v>24</v>
      </c>
      <c r="D76" s="47" t="s">
        <v>4857</v>
      </c>
      <c r="E76" s="48">
        <v>6</v>
      </c>
      <c r="F76" s="49">
        <v>10.18</v>
      </c>
      <c r="G76" s="50" t="s">
        <v>4853</v>
      </c>
      <c r="H76" s="51">
        <v>1981</v>
      </c>
      <c r="I76" s="45">
        <v>3353</v>
      </c>
      <c r="J76" s="52">
        <v>9</v>
      </c>
      <c r="K76" s="53">
        <f t="shared" si="0"/>
        <v>59.780637000000006</v>
      </c>
      <c r="L76" s="54"/>
    </row>
    <row r="77" spans="1:12" s="55" customFormat="1" ht="19.5" customHeight="1" x14ac:dyDescent="0.3">
      <c r="A77" s="44"/>
      <c r="B77" s="45"/>
      <c r="C77" s="46">
        <v>39</v>
      </c>
      <c r="D77" s="47" t="s">
        <v>4852</v>
      </c>
      <c r="E77" s="48">
        <v>40</v>
      </c>
      <c r="F77" s="49">
        <v>49.1</v>
      </c>
      <c r="G77" s="50" t="s">
        <v>4849</v>
      </c>
      <c r="H77" s="51">
        <v>2438</v>
      </c>
      <c r="I77" s="45">
        <v>3353</v>
      </c>
      <c r="J77" s="52">
        <v>2</v>
      </c>
      <c r="K77" s="53">
        <f t="shared" si="0"/>
        <v>16.349228</v>
      </c>
      <c r="L77" s="54"/>
    </row>
    <row r="78" spans="1:12" s="55" customFormat="1" ht="19.5" customHeight="1" x14ac:dyDescent="0.3">
      <c r="A78" s="44"/>
      <c r="B78" s="45"/>
      <c r="C78" s="46">
        <v>24</v>
      </c>
      <c r="D78" s="47" t="s">
        <v>4860</v>
      </c>
      <c r="E78" s="48">
        <v>10</v>
      </c>
      <c r="F78" s="49">
        <v>6.2</v>
      </c>
      <c r="G78" s="50" t="s">
        <v>4849</v>
      </c>
      <c r="H78" s="51">
        <v>1981</v>
      </c>
      <c r="I78" s="45">
        <v>3353</v>
      </c>
      <c r="J78" s="52">
        <v>8</v>
      </c>
      <c r="K78" s="53">
        <f t="shared" si="0"/>
        <v>53.138344000000004</v>
      </c>
      <c r="L78" s="54"/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 t="s">
        <v>4849</v>
      </c>
      <c r="H79" s="51">
        <v>1829</v>
      </c>
      <c r="I79" s="45">
        <v>3353</v>
      </c>
      <c r="J79" s="52">
        <v>2</v>
      </c>
      <c r="K79" s="53">
        <f t="shared" si="0"/>
        <v>12.265274</v>
      </c>
      <c r="L79" s="54"/>
    </row>
    <row r="80" spans="1:12" s="55" customFormat="1" ht="19.5" customHeight="1" x14ac:dyDescent="0.3">
      <c r="A80" s="44"/>
      <c r="B80" s="45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9" customFormat="1" ht="20.100000000000001" customHeight="1" x14ac:dyDescent="0.3">
      <c r="A82" s="44"/>
      <c r="B82" s="45"/>
      <c r="C82" s="46"/>
      <c r="D82" s="47"/>
      <c r="E82" s="56"/>
      <c r="F82" s="57"/>
      <c r="G82" s="50"/>
      <c r="H82" s="51"/>
      <c r="I82" s="45"/>
      <c r="J82" s="52"/>
      <c r="K82" s="53">
        <f t="shared" si="0"/>
        <v>0</v>
      </c>
      <c r="L82" s="58">
        <f>SUM(J47:J83)</f>
        <v>151</v>
      </c>
    </row>
    <row r="83" spans="1:12" s="59" customFormat="1" ht="20.100000000000001" customHeight="1" x14ac:dyDescent="0.3">
      <c r="A83" s="44"/>
      <c r="B83" s="45"/>
      <c r="C83" s="46"/>
      <c r="D83" s="47"/>
      <c r="E83" s="60"/>
      <c r="F83" s="61"/>
      <c r="G83" s="62"/>
      <c r="H83" s="51"/>
      <c r="I83" s="45"/>
      <c r="J83" s="63"/>
      <c r="K83" s="53">
        <f t="shared" si="0"/>
        <v>0</v>
      </c>
      <c r="L83" s="64">
        <f>SUM(K47:K83)</f>
        <v>1019.379089</v>
      </c>
    </row>
    <row r="84" spans="1:12" s="59" customFormat="1" ht="20.100000000000001" customHeight="1" thickBot="1" x14ac:dyDescent="0.35">
      <c r="A84" s="114"/>
      <c r="B84" s="115"/>
      <c r="C84" s="115"/>
      <c r="D84" s="115"/>
      <c r="E84" s="115"/>
      <c r="F84" s="115"/>
      <c r="G84" s="115"/>
      <c r="H84" s="115"/>
      <c r="I84" s="115"/>
      <c r="J84" s="65">
        <f>SUM(J7:J83)</f>
        <v>315</v>
      </c>
      <c r="K84" s="66">
        <f>SUM(K7:K83)</f>
        <v>2121.109132</v>
      </c>
      <c r="L84" s="67"/>
    </row>
    <row r="85" spans="1:12" s="59" customFormat="1" ht="20.100000000000001" customHeight="1" thickTop="1" thickBot="1" x14ac:dyDescent="0.35">
      <c r="A85" s="116" t="s">
        <v>52</v>
      </c>
      <c r="B85" s="117"/>
      <c r="C85" s="68"/>
      <c r="D85" s="118">
        <f>J84</f>
        <v>315</v>
      </c>
      <c r="E85" s="119"/>
      <c r="F85" s="119"/>
      <c r="G85" s="120"/>
      <c r="H85" s="121"/>
      <c r="I85" s="121"/>
      <c r="J85" s="122"/>
      <c r="K85" s="119"/>
      <c r="L85" s="123"/>
    </row>
    <row r="86" spans="1:12" s="59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71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72"/>
      <c r="F91" s="5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5"/>
      <c r="G92" s="73"/>
      <c r="H92" s="5"/>
      <c r="I92" s="74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113"/>
      <c r="B95" s="113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72"/>
      <c r="I96" s="72"/>
      <c r="J96" s="5"/>
      <c r="K96" s="5"/>
      <c r="L96" s="5"/>
    </row>
    <row r="97" spans="1:12" ht="20.100000000000001" customHeight="1" x14ac:dyDescent="0.3">
      <c r="A97" s="113"/>
      <c r="B97" s="113"/>
      <c r="H97" s="72"/>
      <c r="I97" s="72"/>
    </row>
    <row r="98" spans="1:12" ht="20.100000000000001" customHeight="1" x14ac:dyDescent="0.3"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A100" s="113"/>
      <c r="B100" s="113"/>
      <c r="H100" s="72"/>
      <c r="I100" s="72"/>
    </row>
    <row r="101" spans="1:12" ht="20.100000000000001" customHeight="1" x14ac:dyDescent="0.3">
      <c r="A101" s="113"/>
      <c r="B101" s="113"/>
      <c r="H101" s="72"/>
      <c r="I101" s="72"/>
    </row>
    <row r="102" spans="1:12" ht="20.100000000000001" customHeight="1" x14ac:dyDescent="0.3"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H104" s="72"/>
      <c r="I104" s="72"/>
    </row>
    <row r="105" spans="1:12" s="72" customFormat="1" ht="20.100000000000001" customHeight="1" x14ac:dyDescent="0.3">
      <c r="A105" s="69"/>
      <c r="B105" s="5"/>
      <c r="C105" s="5"/>
      <c r="D105" s="5"/>
      <c r="E105" s="5"/>
      <c r="F105" s="70"/>
      <c r="G105" s="5"/>
      <c r="J105" s="5"/>
      <c r="K105" s="5"/>
      <c r="L105" s="5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5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5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5" customFormat="1" ht="19.5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2" customFormat="1" ht="20.100000000000001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ht="19.5" customHeight="1" x14ac:dyDescent="0.3"/>
    <row r="113" spans="2:12" ht="19.5" customHeight="1" x14ac:dyDescent="0.3"/>
    <row r="114" spans="2:12" ht="19.5" customHeight="1" x14ac:dyDescent="0.3"/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>
        <v>2</v>
      </c>
      <c r="C175" s="5"/>
      <c r="D175" s="5"/>
      <c r="E175" s="5"/>
      <c r="F175" s="70"/>
      <c r="G175" s="5"/>
      <c r="H175" s="5"/>
      <c r="I175" s="5"/>
      <c r="J175" s="5"/>
      <c r="K175" s="5"/>
      <c r="L175" s="5"/>
    </row>
  </sheetData>
  <mergeCells count="30">
    <mergeCell ref="A100:B100"/>
    <mergeCell ref="A101:B101"/>
    <mergeCell ref="A91:B91"/>
    <mergeCell ref="A92:B92"/>
    <mergeCell ref="A93:B93"/>
    <mergeCell ref="A95:B95"/>
    <mergeCell ref="A96:B96"/>
    <mergeCell ref="A97:B97"/>
    <mergeCell ref="A90:B9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4:I84"/>
    <mergeCell ref="A85:B85"/>
    <mergeCell ref="D85:G85"/>
    <mergeCell ref="H85:J85"/>
    <mergeCell ref="K85:L85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L158"/>
  <sheetViews>
    <sheetView view="pageBreakPreview" topLeftCell="A22" zoomScale="85" zoomScaleNormal="100" zoomScaleSheetLayoutView="85" workbookViewId="0">
      <selection activeCell="A48" sqref="A4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46183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6" si="0">(H7/1000*I7/1000)*J7</f>
        <v>0</v>
      </c>
      <c r="L7" s="26">
        <f>SUM(J7:J29)</f>
        <v>94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SUM(K7:K29)</f>
        <v>622.14782000000014</v>
      </c>
    </row>
    <row r="9" spans="1:12" s="27" customFormat="1" ht="19.5" customHeight="1" x14ac:dyDescent="0.3">
      <c r="A9" s="28" t="s">
        <v>4712</v>
      </c>
      <c r="B9" s="16" t="s">
        <v>4713</v>
      </c>
      <c r="C9" s="17">
        <v>16</v>
      </c>
      <c r="D9" s="18" t="s">
        <v>4714</v>
      </c>
      <c r="E9" s="41">
        <v>1</v>
      </c>
      <c r="F9" s="42">
        <v>0.28000000000000003</v>
      </c>
      <c r="G9" s="34" t="s">
        <v>4715</v>
      </c>
      <c r="H9" s="35"/>
      <c r="I9" s="36"/>
      <c r="J9" s="37"/>
      <c r="K9" s="25">
        <f t="shared" si="0"/>
        <v>0</v>
      </c>
      <c r="L9" s="39" t="s">
        <v>4716</v>
      </c>
    </row>
    <row r="10" spans="1:12" s="27" customFormat="1" ht="19.5" customHeight="1" x14ac:dyDescent="0.3">
      <c r="A10" s="28"/>
      <c r="B10" s="16"/>
      <c r="C10" s="17">
        <v>16</v>
      </c>
      <c r="D10" s="18" t="s">
        <v>4717</v>
      </c>
      <c r="E10" s="41">
        <v>1</v>
      </c>
      <c r="F10" s="42">
        <v>0.28000000000000003</v>
      </c>
      <c r="G10" s="34" t="s">
        <v>4718</v>
      </c>
      <c r="H10" s="35"/>
      <c r="I10" s="36"/>
      <c r="J10" s="37"/>
      <c r="K10" s="25">
        <f t="shared" si="0"/>
        <v>0</v>
      </c>
      <c r="L10" s="39" t="s">
        <v>4719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4720</v>
      </c>
      <c r="B12" s="16" t="s">
        <v>4721</v>
      </c>
      <c r="C12" s="17">
        <v>24</v>
      </c>
      <c r="D12" s="18" t="s">
        <v>4722</v>
      </c>
      <c r="E12" s="41">
        <v>2</v>
      </c>
      <c r="F12" s="42">
        <v>8.0399999999999991</v>
      </c>
      <c r="G12" s="34" t="s">
        <v>4723</v>
      </c>
      <c r="H12" s="35">
        <v>1829</v>
      </c>
      <c r="I12" s="36">
        <v>3353</v>
      </c>
      <c r="J12" s="37">
        <v>2</v>
      </c>
      <c r="K12" s="25">
        <f t="shared" si="0"/>
        <v>12.265274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4724</v>
      </c>
      <c r="H13" s="35">
        <v>1981</v>
      </c>
      <c r="I13" s="36">
        <v>3048</v>
      </c>
      <c r="J13" s="37">
        <v>2</v>
      </c>
      <c r="K13" s="25">
        <f t="shared" si="0"/>
        <v>12.076176000000002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0"/>
        <v>0</v>
      </c>
      <c r="L14" s="39"/>
    </row>
    <row r="15" spans="1:12" s="27" customFormat="1" ht="19.5" customHeight="1" x14ac:dyDescent="0.3">
      <c r="A15" s="28" t="s">
        <v>4725</v>
      </c>
      <c r="B15" s="16" t="s">
        <v>4726</v>
      </c>
      <c r="C15" s="17">
        <v>22</v>
      </c>
      <c r="D15" s="18" t="s">
        <v>4722</v>
      </c>
      <c r="E15" s="41">
        <v>84</v>
      </c>
      <c r="F15" s="42">
        <v>76.16</v>
      </c>
      <c r="G15" s="34" t="s">
        <v>4727</v>
      </c>
      <c r="H15" s="35">
        <v>1981</v>
      </c>
      <c r="I15" s="36">
        <v>3353</v>
      </c>
      <c r="J15" s="37">
        <v>12</v>
      </c>
      <c r="K15" s="25">
        <f t="shared" si="0"/>
        <v>79.707515999999998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4728</v>
      </c>
      <c r="H16" s="35">
        <v>1981</v>
      </c>
      <c r="I16" s="36">
        <v>3353</v>
      </c>
      <c r="J16" s="37">
        <v>12</v>
      </c>
      <c r="K16" s="25">
        <f t="shared" si="0"/>
        <v>79.707515999999998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>
        <f t="shared" si="0"/>
        <v>0</v>
      </c>
      <c r="L17" s="39"/>
    </row>
    <row r="18" spans="1:12" s="27" customFormat="1" ht="19.5" customHeight="1" x14ac:dyDescent="0.3">
      <c r="A18" s="28" t="s">
        <v>4729</v>
      </c>
      <c r="B18" s="16" t="s">
        <v>4730</v>
      </c>
      <c r="C18" s="17">
        <v>24</v>
      </c>
      <c r="D18" s="18" t="s">
        <v>4731</v>
      </c>
      <c r="E18" s="41">
        <v>90</v>
      </c>
      <c r="F18" s="42">
        <v>64.099999999999994</v>
      </c>
      <c r="G18" s="34" t="s">
        <v>4732</v>
      </c>
      <c r="H18" s="35">
        <v>1981</v>
      </c>
      <c r="I18" s="36">
        <v>3353</v>
      </c>
      <c r="J18" s="37">
        <v>12</v>
      </c>
      <c r="K18" s="25">
        <f t="shared" si="0"/>
        <v>79.707515999999998</v>
      </c>
      <c r="L18" s="39" t="s">
        <v>4734</v>
      </c>
    </row>
    <row r="19" spans="1:12" s="27" customFormat="1" ht="19.5" customHeight="1" x14ac:dyDescent="0.3">
      <c r="A19" s="28"/>
      <c r="B19" s="16"/>
      <c r="C19" s="17">
        <v>22</v>
      </c>
      <c r="D19" s="18" t="s">
        <v>4731</v>
      </c>
      <c r="E19" s="41">
        <v>10</v>
      </c>
      <c r="F19" s="42">
        <v>11.7</v>
      </c>
      <c r="G19" s="34" t="s">
        <v>4733</v>
      </c>
      <c r="H19" s="35">
        <v>1981</v>
      </c>
      <c r="I19" s="36">
        <v>3353</v>
      </c>
      <c r="J19" s="37">
        <v>11</v>
      </c>
      <c r="K19" s="25">
        <f t="shared" si="0"/>
        <v>73.065223000000003</v>
      </c>
      <c r="L19" s="39" t="s">
        <v>4734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/>
      <c r="B21" s="16"/>
      <c r="C21" s="17">
        <v>24</v>
      </c>
      <c r="D21" s="18" t="s">
        <v>4735</v>
      </c>
      <c r="E21" s="41">
        <v>100</v>
      </c>
      <c r="F21" s="42">
        <v>95.5</v>
      </c>
      <c r="G21" s="34" t="s">
        <v>4723</v>
      </c>
      <c r="H21" s="35">
        <v>1981</v>
      </c>
      <c r="I21" s="36">
        <v>3353</v>
      </c>
      <c r="J21" s="37">
        <v>15</v>
      </c>
      <c r="K21" s="25">
        <f t="shared" si="0"/>
        <v>99.634395000000012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 t="s">
        <v>4736</v>
      </c>
      <c r="H22" s="35">
        <v>1981</v>
      </c>
      <c r="I22" s="36">
        <v>3353</v>
      </c>
      <c r="J22" s="37">
        <v>15</v>
      </c>
      <c r="K22" s="25">
        <f t="shared" si="0"/>
        <v>99.634395000000012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0"/>
        <v>0</v>
      </c>
      <c r="L23" s="39"/>
    </row>
    <row r="24" spans="1:12" s="27" customFormat="1" ht="19.5" customHeight="1" x14ac:dyDescent="0.3">
      <c r="A24" s="28" t="s">
        <v>4753</v>
      </c>
      <c r="B24" s="16" t="s">
        <v>4754</v>
      </c>
      <c r="C24" s="17">
        <v>22</v>
      </c>
      <c r="D24" s="18" t="s">
        <v>4755</v>
      </c>
      <c r="E24" s="41">
        <v>144</v>
      </c>
      <c r="F24" s="42">
        <v>88.14</v>
      </c>
      <c r="G24" s="34" t="s">
        <v>4756</v>
      </c>
      <c r="H24" s="35">
        <v>1981</v>
      </c>
      <c r="I24" s="36">
        <v>3353</v>
      </c>
      <c r="J24" s="37">
        <v>13</v>
      </c>
      <c r="K24" s="25">
        <f t="shared" si="0"/>
        <v>86.349809000000008</v>
      </c>
      <c r="L24" s="39" t="s">
        <v>4757</v>
      </c>
    </row>
    <row r="25" spans="1:12" s="27" customFormat="1" ht="19.5" customHeight="1" x14ac:dyDescent="0.3">
      <c r="A25" s="28"/>
      <c r="B25" s="16"/>
      <c r="C25" s="17">
        <v>22</v>
      </c>
      <c r="D25" s="18" t="s">
        <v>4755</v>
      </c>
      <c r="E25" s="41">
        <v>36</v>
      </c>
      <c r="F25" s="42">
        <v>10.08</v>
      </c>
      <c r="G25" s="34"/>
      <c r="H25" s="35"/>
      <c r="I25" s="36"/>
      <c r="J25" s="37"/>
      <c r="K25" s="25">
        <f t="shared" si="0"/>
        <v>0</v>
      </c>
      <c r="L25" s="39" t="s">
        <v>4757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/>
      <c r="B29" s="29"/>
      <c r="C29" s="30"/>
      <c r="D29" s="31"/>
      <c r="E29" s="41"/>
      <c r="F29" s="42"/>
      <c r="G29" s="43"/>
      <c r="H29" s="35"/>
      <c r="I29" s="36"/>
      <c r="J29" s="37"/>
      <c r="K29" s="25">
        <f t="shared" si="0"/>
        <v>0</v>
      </c>
      <c r="L29" s="39"/>
    </row>
    <row r="30" spans="1:12" s="55" customFormat="1" ht="19.5" customHeight="1" x14ac:dyDescent="0.3">
      <c r="A30" s="44"/>
      <c r="B30" s="45"/>
      <c r="C30" s="46"/>
      <c r="D30" s="47"/>
      <c r="E30" s="48"/>
      <c r="F30" s="49"/>
      <c r="G30" s="50"/>
      <c r="H30" s="51"/>
      <c r="I30" s="45"/>
      <c r="J30" s="52"/>
      <c r="K30" s="53">
        <f t="shared" si="0"/>
        <v>0</v>
      </c>
      <c r="L30" s="54"/>
    </row>
    <row r="31" spans="1:12" s="55" customFormat="1" ht="19.5" customHeight="1" x14ac:dyDescent="0.3">
      <c r="A31" s="44" t="s">
        <v>4737</v>
      </c>
      <c r="B31" s="45" t="s">
        <v>4738</v>
      </c>
      <c r="C31" s="46">
        <v>22</v>
      </c>
      <c r="D31" s="47" t="s">
        <v>4739</v>
      </c>
      <c r="E31" s="48">
        <v>192</v>
      </c>
      <c r="F31" s="49">
        <f>461.76/312*E31</f>
        <v>284.15999999999997</v>
      </c>
      <c r="G31" s="50" t="s">
        <v>4740</v>
      </c>
      <c r="H31" s="51">
        <v>2286</v>
      </c>
      <c r="I31" s="45">
        <v>3048</v>
      </c>
      <c r="J31" s="52">
        <v>48</v>
      </c>
      <c r="K31" s="53">
        <f t="shared" si="0"/>
        <v>334.45094399999999</v>
      </c>
      <c r="L31" s="54" t="s">
        <v>4845</v>
      </c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4741</v>
      </c>
      <c r="B33" s="45" t="s">
        <v>4742</v>
      </c>
      <c r="C33" s="46">
        <v>24</v>
      </c>
      <c r="D33" s="47" t="s">
        <v>4743</v>
      </c>
      <c r="E33" s="48">
        <v>1</v>
      </c>
      <c r="F33" s="49">
        <v>0.87</v>
      </c>
      <c r="G33" s="50" t="s">
        <v>4744</v>
      </c>
      <c r="H33" s="51"/>
      <c r="I33" s="45"/>
      <c r="J33" s="52"/>
      <c r="K33" s="53">
        <f t="shared" si="0"/>
        <v>0</v>
      </c>
      <c r="L33" s="54" t="s">
        <v>4745</v>
      </c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4746</v>
      </c>
      <c r="B35" s="45" t="s">
        <v>4747</v>
      </c>
      <c r="C35" s="46">
        <v>43</v>
      </c>
      <c r="D35" s="47" t="s">
        <v>4748</v>
      </c>
      <c r="E35" s="48">
        <v>30</v>
      </c>
      <c r="F35" s="49">
        <v>44.83</v>
      </c>
      <c r="G35" s="50" t="s">
        <v>4723</v>
      </c>
      <c r="H35" s="51">
        <v>1981</v>
      </c>
      <c r="I35" s="45">
        <v>3353</v>
      </c>
      <c r="J35" s="52">
        <v>7</v>
      </c>
      <c r="K35" s="53">
        <f t="shared" si="0"/>
        <v>46.496051000000001</v>
      </c>
      <c r="L35" s="54" t="s">
        <v>4750</v>
      </c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 t="s">
        <v>4749</v>
      </c>
      <c r="H36" s="51">
        <v>1981</v>
      </c>
      <c r="I36" s="45">
        <v>3353</v>
      </c>
      <c r="J36" s="52">
        <v>7</v>
      </c>
      <c r="K36" s="53">
        <f t="shared" si="0"/>
        <v>46.496051000000001</v>
      </c>
      <c r="L36" s="54" t="s">
        <v>4751</v>
      </c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4752</v>
      </c>
      <c r="B38" s="45" t="s">
        <v>4747</v>
      </c>
      <c r="C38" s="46">
        <v>43</v>
      </c>
      <c r="D38" s="47" t="s">
        <v>4748</v>
      </c>
      <c r="E38" s="48">
        <v>28</v>
      </c>
      <c r="F38" s="49">
        <v>48.07</v>
      </c>
      <c r="G38" s="50" t="s">
        <v>4723</v>
      </c>
      <c r="H38" s="51">
        <v>1981</v>
      </c>
      <c r="I38" s="45">
        <v>3353</v>
      </c>
      <c r="J38" s="52">
        <v>8</v>
      </c>
      <c r="K38" s="53">
        <f t="shared" si="0"/>
        <v>53.138344000000004</v>
      </c>
      <c r="L38" s="54" t="s">
        <v>4750</v>
      </c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 t="s">
        <v>4749</v>
      </c>
      <c r="H39" s="51">
        <v>1981</v>
      </c>
      <c r="I39" s="45">
        <v>3353</v>
      </c>
      <c r="J39" s="52">
        <v>8</v>
      </c>
      <c r="K39" s="53">
        <f t="shared" si="0"/>
        <v>53.138344000000004</v>
      </c>
      <c r="L39" s="54" t="s">
        <v>4751</v>
      </c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4758</v>
      </c>
      <c r="B41" s="45" t="s">
        <v>4747</v>
      </c>
      <c r="C41" s="46">
        <v>43</v>
      </c>
      <c r="D41" s="47" t="s">
        <v>4748</v>
      </c>
      <c r="E41" s="48">
        <v>39</v>
      </c>
      <c r="F41" s="49">
        <v>63.56</v>
      </c>
      <c r="G41" s="50" t="s">
        <v>4723</v>
      </c>
      <c r="H41" s="51">
        <v>2438</v>
      </c>
      <c r="I41" s="45">
        <v>3353</v>
      </c>
      <c r="J41" s="52">
        <v>9</v>
      </c>
      <c r="K41" s="53">
        <f t="shared" ref="K41:K42" si="1">(H41/1000*I41/1000)*J41</f>
        <v>73.571526000000006</v>
      </c>
      <c r="L41" s="54" t="s">
        <v>4750</v>
      </c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 t="s">
        <v>4749</v>
      </c>
      <c r="H42" s="51">
        <v>2438</v>
      </c>
      <c r="I42" s="45">
        <v>3353</v>
      </c>
      <c r="J42" s="52">
        <v>9</v>
      </c>
      <c r="K42" s="53">
        <f t="shared" si="1"/>
        <v>73.571526000000006</v>
      </c>
      <c r="L42" s="54" t="s">
        <v>4751</v>
      </c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4759</v>
      </c>
      <c r="B44" s="45" t="s">
        <v>4760</v>
      </c>
      <c r="C44" s="46">
        <v>43</v>
      </c>
      <c r="D44" s="47" t="s">
        <v>2802</v>
      </c>
      <c r="E44" s="48">
        <v>1</v>
      </c>
      <c r="F44" s="49">
        <v>4.1500000000000004</v>
      </c>
      <c r="G44" s="50" t="s">
        <v>4761</v>
      </c>
      <c r="H44" s="51">
        <v>2134</v>
      </c>
      <c r="I44" s="45">
        <v>3048</v>
      </c>
      <c r="J44" s="52">
        <v>2</v>
      </c>
      <c r="K44" s="53">
        <f t="shared" si="0"/>
        <v>13.008863999999999</v>
      </c>
      <c r="L44" s="54" t="s">
        <v>4762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4763</v>
      </c>
      <c r="B46" s="45" t="s">
        <v>4764</v>
      </c>
      <c r="C46" s="46">
        <v>24</v>
      </c>
      <c r="D46" s="47" t="s">
        <v>4765</v>
      </c>
      <c r="E46" s="48">
        <v>1</v>
      </c>
      <c r="F46" s="49">
        <v>6.43</v>
      </c>
      <c r="G46" s="50" t="s">
        <v>4766</v>
      </c>
      <c r="H46" s="51">
        <v>2286</v>
      </c>
      <c r="I46" s="45">
        <v>3048</v>
      </c>
      <c r="J46" s="52">
        <v>1</v>
      </c>
      <c r="K46" s="53">
        <f t="shared" si="0"/>
        <v>6.9677280000000001</v>
      </c>
      <c r="L46" s="54" t="s">
        <v>4767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4768</v>
      </c>
      <c r="B48" s="45" t="s">
        <v>4769</v>
      </c>
      <c r="C48" s="46">
        <v>28</v>
      </c>
      <c r="D48" s="47" t="s">
        <v>4770</v>
      </c>
      <c r="E48" s="48">
        <v>2</v>
      </c>
      <c r="F48" s="49">
        <f>4.6/10</f>
        <v>0.45999999999999996</v>
      </c>
      <c r="G48" s="50" t="s">
        <v>4772</v>
      </c>
      <c r="H48" s="51">
        <v>2438</v>
      </c>
      <c r="I48" s="45">
        <v>3353</v>
      </c>
      <c r="J48" s="52">
        <v>1</v>
      </c>
      <c r="K48" s="53">
        <f t="shared" si="0"/>
        <v>8.174614</v>
      </c>
      <c r="L48" s="54" t="s">
        <v>4774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/>
      <c r="L49" s="54"/>
    </row>
    <row r="50" spans="1:12" s="55" customFormat="1" ht="19.5" customHeight="1" x14ac:dyDescent="0.3">
      <c r="A50" s="44"/>
      <c r="B50" s="45"/>
      <c r="C50" s="46">
        <v>28</v>
      </c>
      <c r="D50" s="47" t="s">
        <v>4771</v>
      </c>
      <c r="E50" s="48">
        <v>2</v>
      </c>
      <c r="F50" s="49">
        <f>96.6/35+4.68/2</f>
        <v>5.0999999999999996</v>
      </c>
      <c r="G50" s="50" t="s">
        <v>4772</v>
      </c>
      <c r="H50" s="51"/>
      <c r="I50" s="45"/>
      <c r="J50" s="52"/>
      <c r="K50" s="53">
        <f t="shared" si="0"/>
        <v>0</v>
      </c>
      <c r="L50" s="54" t="s">
        <v>4774</v>
      </c>
    </row>
    <row r="51" spans="1:12" s="55" customFormat="1" ht="19.5" customHeight="1" x14ac:dyDescent="0.3">
      <c r="A51" s="44"/>
      <c r="B51" s="45"/>
      <c r="C51" s="46">
        <v>28</v>
      </c>
      <c r="D51" s="47" t="s">
        <v>3770</v>
      </c>
      <c r="E51" s="48">
        <v>2</v>
      </c>
      <c r="F51" s="49">
        <f>96.6/35+2.48/4</f>
        <v>3.38</v>
      </c>
      <c r="G51" s="50" t="s">
        <v>4773</v>
      </c>
      <c r="H51" s="51">
        <v>2590</v>
      </c>
      <c r="I51" s="45">
        <v>3048</v>
      </c>
      <c r="J51" s="52">
        <v>1</v>
      </c>
      <c r="K51" s="53">
        <f t="shared" si="0"/>
        <v>7.8943199999999996</v>
      </c>
      <c r="L51" s="54" t="s">
        <v>4775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4776</v>
      </c>
      <c r="B53" s="45" t="s">
        <v>4769</v>
      </c>
      <c r="C53" s="46">
        <v>28</v>
      </c>
      <c r="D53" s="47" t="s">
        <v>4770</v>
      </c>
      <c r="E53" s="48">
        <v>6</v>
      </c>
      <c r="F53" s="49">
        <f>1.52+3.68/8*4</f>
        <v>3.3600000000000003</v>
      </c>
      <c r="G53" s="50" t="s">
        <v>4772</v>
      </c>
      <c r="H53" s="51">
        <v>2438</v>
      </c>
      <c r="I53" s="45">
        <v>3353</v>
      </c>
      <c r="J53" s="52">
        <v>1</v>
      </c>
      <c r="K53" s="53">
        <f t="shared" ref="K53:K57" si="2">(H53/1000*I53/1000)*J53</f>
        <v>8.174614</v>
      </c>
      <c r="L53" s="54" t="s">
        <v>4778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/>
      <c r="L54" s="54"/>
    </row>
    <row r="55" spans="1:12" s="55" customFormat="1" ht="19.5" customHeight="1" x14ac:dyDescent="0.3">
      <c r="A55" s="44"/>
      <c r="B55" s="45"/>
      <c r="C55" s="46">
        <v>28</v>
      </c>
      <c r="D55" s="47" t="s">
        <v>4771</v>
      </c>
      <c r="E55" s="48">
        <v>1</v>
      </c>
      <c r="F55" s="49">
        <f>4.44/2</f>
        <v>2.2200000000000002</v>
      </c>
      <c r="G55" s="50" t="s">
        <v>4773</v>
      </c>
      <c r="H55" s="51">
        <v>2590</v>
      </c>
      <c r="I55" s="45">
        <v>3048</v>
      </c>
      <c r="J55" s="52">
        <v>1</v>
      </c>
      <c r="K55" s="53">
        <f t="shared" si="2"/>
        <v>7.8943199999999996</v>
      </c>
      <c r="L55" s="54" t="s">
        <v>4779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/>
      <c r="L56" s="54"/>
    </row>
    <row r="57" spans="1:12" s="55" customFormat="1" ht="19.5" customHeight="1" x14ac:dyDescent="0.3">
      <c r="A57" s="44"/>
      <c r="B57" s="45"/>
      <c r="C57" s="46">
        <v>28</v>
      </c>
      <c r="D57" s="47" t="s">
        <v>4771</v>
      </c>
      <c r="E57" s="48">
        <v>2</v>
      </c>
      <c r="F57" s="49">
        <f>96.6/35+10/4</f>
        <v>5.26</v>
      </c>
      <c r="G57" s="50" t="s">
        <v>4777</v>
      </c>
      <c r="H57" s="51"/>
      <c r="I57" s="45"/>
      <c r="J57" s="52"/>
      <c r="K57" s="53">
        <f t="shared" si="2"/>
        <v>0</v>
      </c>
      <c r="L57" s="54" t="s">
        <v>4778</v>
      </c>
    </row>
    <row r="58" spans="1:12" s="55" customFormat="1" ht="19.5" customHeight="1" x14ac:dyDescent="0.3">
      <c r="A58" s="44"/>
      <c r="B58" s="45"/>
      <c r="C58" s="46">
        <v>28</v>
      </c>
      <c r="D58" s="47" t="s">
        <v>3770</v>
      </c>
      <c r="E58" s="48">
        <v>2</v>
      </c>
      <c r="F58" s="49">
        <f>96.6/35+1.95/3</f>
        <v>3.4099999999999997</v>
      </c>
      <c r="G58" s="50" t="s">
        <v>4773</v>
      </c>
      <c r="H58" s="51"/>
      <c r="I58" s="45"/>
      <c r="J58" s="52"/>
      <c r="K58" s="53">
        <f t="shared" si="0"/>
        <v>0</v>
      </c>
      <c r="L58" s="54" t="s">
        <v>4779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4780</v>
      </c>
      <c r="B60" s="45" t="s">
        <v>4781</v>
      </c>
      <c r="C60" s="46">
        <v>25.76</v>
      </c>
      <c r="D60" s="47" t="s">
        <v>4782</v>
      </c>
      <c r="E60" s="48">
        <v>1</v>
      </c>
      <c r="F60" s="49">
        <f>8.48/16</f>
        <v>0.53</v>
      </c>
      <c r="G60" s="50"/>
      <c r="H60" s="51"/>
      <c r="I60" s="45"/>
      <c r="J60" s="52"/>
      <c r="K60" s="53">
        <f t="shared" si="0"/>
        <v>0</v>
      </c>
      <c r="L60" s="54" t="s">
        <v>4783</v>
      </c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9" customFormat="1" ht="20.100000000000001" customHeight="1" x14ac:dyDescent="0.3">
      <c r="A65" s="44"/>
      <c r="B65" s="45"/>
      <c r="C65" s="46"/>
      <c r="D65" s="47"/>
      <c r="E65" s="56"/>
      <c r="F65" s="57"/>
      <c r="G65" s="50"/>
      <c r="H65" s="51"/>
      <c r="I65" s="45"/>
      <c r="J65" s="52"/>
      <c r="K65" s="53">
        <f t="shared" si="0"/>
        <v>0</v>
      </c>
      <c r="L65" s="58">
        <f>SUM(J30:J66)</f>
        <v>103</v>
      </c>
    </row>
    <row r="66" spans="1:12" s="59" customFormat="1" ht="20.100000000000001" customHeight="1" x14ac:dyDescent="0.3">
      <c r="A66" s="44"/>
      <c r="B66" s="45"/>
      <c r="C66" s="46"/>
      <c r="D66" s="47"/>
      <c r="E66" s="60"/>
      <c r="F66" s="61"/>
      <c r="G66" s="62"/>
      <c r="H66" s="51"/>
      <c r="I66" s="45"/>
      <c r="J66" s="63"/>
      <c r="K66" s="53">
        <f t="shared" si="0"/>
        <v>0</v>
      </c>
      <c r="L66" s="64">
        <f>SUM(K30:K66)</f>
        <v>732.97724599999992</v>
      </c>
    </row>
    <row r="67" spans="1:12" s="59" customFormat="1" ht="20.100000000000001" customHeight="1" thickBot="1" x14ac:dyDescent="0.35">
      <c r="A67" s="114"/>
      <c r="B67" s="115"/>
      <c r="C67" s="115"/>
      <c r="D67" s="115"/>
      <c r="E67" s="115"/>
      <c r="F67" s="115"/>
      <c r="G67" s="115"/>
      <c r="H67" s="115"/>
      <c r="I67" s="115"/>
      <c r="J67" s="65">
        <f>SUM(J7:J66)</f>
        <v>197</v>
      </c>
      <c r="K67" s="66">
        <f>SUM(K7:K66)</f>
        <v>1355.1250660000001</v>
      </c>
      <c r="L67" s="67"/>
    </row>
    <row r="68" spans="1:12" s="59" customFormat="1" ht="20.100000000000001" customHeight="1" thickTop="1" thickBot="1" x14ac:dyDescent="0.35">
      <c r="A68" s="116" t="s">
        <v>52</v>
      </c>
      <c r="B68" s="117"/>
      <c r="C68" s="68"/>
      <c r="D68" s="118">
        <f>J67</f>
        <v>197</v>
      </c>
      <c r="E68" s="119"/>
      <c r="F68" s="119"/>
      <c r="G68" s="120"/>
      <c r="H68" s="121"/>
      <c r="I68" s="121"/>
      <c r="J68" s="122"/>
      <c r="K68" s="119"/>
      <c r="L68" s="123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71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72"/>
      <c r="F74" s="5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5"/>
      <c r="G75" s="73"/>
      <c r="H75" s="5"/>
      <c r="I75" s="74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72"/>
      <c r="I79" s="72"/>
      <c r="J79" s="5"/>
      <c r="K79" s="5"/>
      <c r="L79" s="5"/>
    </row>
    <row r="80" spans="1:12" ht="20.100000000000001" customHeight="1" x14ac:dyDescent="0.3">
      <c r="A80" s="113"/>
      <c r="B80" s="113"/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A83" s="113"/>
      <c r="B83" s="113"/>
      <c r="H83" s="72"/>
      <c r="I83" s="72"/>
    </row>
    <row r="84" spans="1:12" ht="20.100000000000001" customHeight="1" x14ac:dyDescent="0.3">
      <c r="A84" s="113"/>
      <c r="B84" s="113"/>
      <c r="H84" s="72"/>
      <c r="I84" s="72"/>
    </row>
    <row r="85" spans="1:12" ht="20.100000000000001" customHeight="1" x14ac:dyDescent="0.3"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s="72" customFormat="1" ht="20.100000000000001" customHeight="1" x14ac:dyDescent="0.3">
      <c r="A88" s="69"/>
      <c r="B88" s="5"/>
      <c r="C88" s="5"/>
      <c r="D88" s="5"/>
      <c r="E88" s="5"/>
      <c r="F88" s="70"/>
      <c r="G88" s="5"/>
      <c r="J88" s="5"/>
      <c r="K88" s="5"/>
      <c r="L88" s="5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5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5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19.5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ht="19.5" customHeight="1" x14ac:dyDescent="0.3"/>
    <row r="96" spans="1:12" ht="19.5" customHeight="1" x14ac:dyDescent="0.3"/>
    <row r="97" spans="2:12" ht="19.5" customHeight="1" x14ac:dyDescent="0.3"/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>
        <v>2</v>
      </c>
      <c r="C158" s="5"/>
      <c r="D158" s="5"/>
      <c r="E158" s="5"/>
      <c r="F158" s="70"/>
      <c r="G158" s="5"/>
      <c r="H158" s="5"/>
      <c r="I158" s="5"/>
      <c r="J158" s="5"/>
      <c r="K158" s="5"/>
      <c r="L158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3:B73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7:I67"/>
    <mergeCell ref="A68:B68"/>
    <mergeCell ref="D68:G68"/>
    <mergeCell ref="H68:J68"/>
    <mergeCell ref="K68:L68"/>
    <mergeCell ref="A83:B83"/>
    <mergeCell ref="A84:B84"/>
    <mergeCell ref="A74:B74"/>
    <mergeCell ref="A75:B75"/>
    <mergeCell ref="A76:B76"/>
    <mergeCell ref="A78:B78"/>
    <mergeCell ref="A79:B79"/>
    <mergeCell ref="A80:B80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L155"/>
  <sheetViews>
    <sheetView view="pageBreakPreview" topLeftCell="A43" zoomScale="85" zoomScaleNormal="100" zoomScaleSheetLayoutView="85" workbookViewId="0">
      <selection activeCell="A53" sqref="A5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46182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3" si="0">(H7/1000*I7/1000)*J7</f>
        <v>0</v>
      </c>
      <c r="L7" s="26">
        <f>SUM(J7:J29)</f>
        <v>246</v>
      </c>
    </row>
    <row r="8" spans="1:12" s="27" customFormat="1" ht="19.5" customHeight="1" x14ac:dyDescent="0.3">
      <c r="A8" s="28"/>
      <c r="B8" s="16"/>
      <c r="C8" s="17"/>
      <c r="D8" s="18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SUM(K7:K29)</f>
        <v>1634.0040780000004</v>
      </c>
    </row>
    <row r="9" spans="1:12" s="27" customFormat="1" ht="19.5" customHeight="1" x14ac:dyDescent="0.3">
      <c r="A9" s="28" t="s">
        <v>4654</v>
      </c>
      <c r="B9" s="16" t="s">
        <v>4633</v>
      </c>
      <c r="C9" s="17">
        <v>22</v>
      </c>
      <c r="D9" s="18" t="s">
        <v>4660</v>
      </c>
      <c r="E9" s="41">
        <v>220</v>
      </c>
      <c r="F9" s="42">
        <v>277.8</v>
      </c>
      <c r="G9" s="34" t="s">
        <v>4661</v>
      </c>
      <c r="H9" s="35">
        <v>1981</v>
      </c>
      <c r="I9" s="36">
        <v>3353</v>
      </c>
      <c r="J9" s="37">
        <v>45</v>
      </c>
      <c r="K9" s="25">
        <f t="shared" si="0"/>
        <v>298.90318500000001</v>
      </c>
      <c r="L9" s="39" t="s">
        <v>4665</v>
      </c>
    </row>
    <row r="10" spans="1:12" s="27" customFormat="1" ht="19.5" customHeight="1" x14ac:dyDescent="0.3">
      <c r="A10" s="28"/>
      <c r="B10" s="16"/>
      <c r="C10" s="17">
        <v>22</v>
      </c>
      <c r="D10" s="18" t="s">
        <v>17</v>
      </c>
      <c r="E10" s="41">
        <v>220</v>
      </c>
      <c r="F10" s="42">
        <v>277.8</v>
      </c>
      <c r="G10" s="34" t="s">
        <v>4662</v>
      </c>
      <c r="H10" s="35">
        <v>1981</v>
      </c>
      <c r="I10" s="36">
        <v>3353</v>
      </c>
      <c r="J10" s="37">
        <v>41</v>
      </c>
      <c r="K10" s="25">
        <f t="shared" si="0"/>
        <v>272.33401300000003</v>
      </c>
      <c r="L10" s="39" t="s">
        <v>4664</v>
      </c>
    </row>
    <row r="11" spans="1:12" s="27" customFormat="1" ht="19.5" customHeight="1" x14ac:dyDescent="0.3">
      <c r="A11" s="28"/>
      <c r="B11" s="16"/>
      <c r="C11" s="17">
        <v>22</v>
      </c>
      <c r="D11" s="18" t="s">
        <v>4660</v>
      </c>
      <c r="E11" s="41">
        <v>60</v>
      </c>
      <c r="F11" s="42">
        <v>35.6</v>
      </c>
      <c r="G11" s="34" t="s">
        <v>4663</v>
      </c>
      <c r="H11" s="35">
        <v>1981</v>
      </c>
      <c r="I11" s="36">
        <v>3353</v>
      </c>
      <c r="J11" s="37">
        <v>46</v>
      </c>
      <c r="K11" s="25">
        <f t="shared" si="0"/>
        <v>305.545478</v>
      </c>
      <c r="L11" s="39" t="s">
        <v>4665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 t="s">
        <v>4666</v>
      </c>
      <c r="B13" s="16" t="s">
        <v>4667</v>
      </c>
      <c r="C13" s="17">
        <v>24</v>
      </c>
      <c r="D13" s="18" t="s">
        <v>4668</v>
      </c>
      <c r="E13" s="41">
        <v>10</v>
      </c>
      <c r="F13" s="42">
        <v>33.299999999999997</v>
      </c>
      <c r="G13" s="34" t="s">
        <v>70</v>
      </c>
      <c r="H13" s="35">
        <v>1981</v>
      </c>
      <c r="I13" s="36">
        <v>3353</v>
      </c>
      <c r="J13" s="37">
        <v>22</v>
      </c>
      <c r="K13" s="25">
        <f t="shared" si="0"/>
        <v>146.13044600000001</v>
      </c>
      <c r="L13" s="39" t="s">
        <v>4669</v>
      </c>
    </row>
    <row r="14" spans="1:12" s="27" customFormat="1" ht="19.5" customHeight="1" x14ac:dyDescent="0.3">
      <c r="A14" s="28"/>
      <c r="B14" s="16"/>
      <c r="C14" s="17">
        <v>24</v>
      </c>
      <c r="D14" s="18" t="s">
        <v>4660</v>
      </c>
      <c r="E14" s="41">
        <v>80</v>
      </c>
      <c r="F14" s="42">
        <v>81.5</v>
      </c>
      <c r="G14" s="34"/>
      <c r="H14" s="35"/>
      <c r="I14" s="36"/>
      <c r="J14" s="37"/>
      <c r="K14" s="25">
        <f t="shared" si="0"/>
        <v>0</v>
      </c>
      <c r="L14" s="39" t="s">
        <v>4669</v>
      </c>
    </row>
    <row r="15" spans="1:12" s="27" customFormat="1" ht="19.5" customHeight="1" x14ac:dyDescent="0.3">
      <c r="A15" s="28"/>
      <c r="B15" s="16"/>
      <c r="C15" s="17">
        <v>22</v>
      </c>
      <c r="D15" s="18" t="s">
        <v>45</v>
      </c>
      <c r="E15" s="41">
        <v>20</v>
      </c>
      <c r="F15" s="42">
        <v>23</v>
      </c>
      <c r="G15" s="34"/>
      <c r="H15" s="35"/>
      <c r="I15" s="36"/>
      <c r="J15" s="37"/>
      <c r="K15" s="25">
        <f t="shared" si="0"/>
        <v>0</v>
      </c>
      <c r="L15" s="39" t="s">
        <v>106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ref="K16" si="1">(H16/1000*I16/1000)*J16</f>
        <v>0</v>
      </c>
      <c r="L16" s="39"/>
    </row>
    <row r="17" spans="1:12" s="27" customFormat="1" ht="19.5" customHeight="1" x14ac:dyDescent="0.3">
      <c r="A17" s="28" t="s">
        <v>4670</v>
      </c>
      <c r="B17" s="16"/>
      <c r="C17" s="17"/>
      <c r="D17" s="18"/>
      <c r="E17" s="41"/>
      <c r="F17" s="42"/>
      <c r="G17" s="34"/>
      <c r="H17" s="35"/>
      <c r="I17" s="36"/>
      <c r="J17" s="37"/>
      <c r="K17" s="25">
        <f t="shared" si="0"/>
        <v>0</v>
      </c>
      <c r="L17" s="39"/>
    </row>
    <row r="18" spans="1:12" s="27" customFormat="1" ht="19.5" customHeight="1" x14ac:dyDescent="0.3">
      <c r="A18" s="28" t="s">
        <v>4682</v>
      </c>
      <c r="B18" s="16" t="s">
        <v>4683</v>
      </c>
      <c r="C18" s="17">
        <v>24</v>
      </c>
      <c r="D18" s="18" t="s">
        <v>146</v>
      </c>
      <c r="E18" s="41">
        <v>10</v>
      </c>
      <c r="F18" s="42">
        <v>33.299999999999997</v>
      </c>
      <c r="G18" s="34" t="s">
        <v>4685</v>
      </c>
      <c r="H18" s="35">
        <v>1981</v>
      </c>
      <c r="I18" s="36">
        <v>3353</v>
      </c>
      <c r="J18" s="37">
        <v>44</v>
      </c>
      <c r="K18" s="25">
        <f t="shared" si="0"/>
        <v>292.26089200000001</v>
      </c>
      <c r="L18" s="39" t="s">
        <v>4687</v>
      </c>
    </row>
    <row r="19" spans="1:12" s="27" customFormat="1" ht="19.5" customHeight="1" x14ac:dyDescent="0.3">
      <c r="A19" s="28"/>
      <c r="B19" s="16"/>
      <c r="C19" s="17">
        <v>24</v>
      </c>
      <c r="D19" s="18" t="s">
        <v>45</v>
      </c>
      <c r="E19" s="41">
        <v>80</v>
      </c>
      <c r="F19" s="42">
        <v>81.5</v>
      </c>
      <c r="G19" s="34" t="s">
        <v>4686</v>
      </c>
      <c r="H19" s="35">
        <v>1981</v>
      </c>
      <c r="I19" s="36">
        <v>3353</v>
      </c>
      <c r="J19" s="37">
        <v>19</v>
      </c>
      <c r="K19" s="25">
        <f t="shared" si="0"/>
        <v>126.20356700000001</v>
      </c>
      <c r="L19" s="39" t="s">
        <v>4687</v>
      </c>
    </row>
    <row r="20" spans="1:12" s="27" customFormat="1" ht="19.5" customHeight="1" x14ac:dyDescent="0.3">
      <c r="A20" s="28"/>
      <c r="B20" s="16"/>
      <c r="C20" s="17">
        <v>24</v>
      </c>
      <c r="D20" s="18" t="s">
        <v>4684</v>
      </c>
      <c r="E20" s="41">
        <v>90</v>
      </c>
      <c r="F20" s="42">
        <v>114.8</v>
      </c>
      <c r="G20" s="34" t="s">
        <v>70</v>
      </c>
      <c r="H20" s="35">
        <v>1981</v>
      </c>
      <c r="I20" s="36">
        <v>3353</v>
      </c>
      <c r="J20" s="37">
        <v>19</v>
      </c>
      <c r="K20" s="25">
        <f t="shared" si="0"/>
        <v>126.20356700000001</v>
      </c>
      <c r="L20" s="39" t="s">
        <v>4688</v>
      </c>
    </row>
    <row r="21" spans="1:12" s="27" customFormat="1" ht="19.5" customHeight="1" x14ac:dyDescent="0.3">
      <c r="A21" s="28"/>
      <c r="B21" s="16"/>
      <c r="C21" s="17">
        <v>22</v>
      </c>
      <c r="D21" s="18" t="s">
        <v>45</v>
      </c>
      <c r="E21" s="41">
        <v>20</v>
      </c>
      <c r="F21" s="42">
        <v>23</v>
      </c>
      <c r="G21" s="34"/>
      <c r="H21" s="35"/>
      <c r="I21" s="36"/>
      <c r="J21" s="37"/>
      <c r="K21" s="25">
        <f t="shared" si="0"/>
        <v>0</v>
      </c>
      <c r="L21" s="39" t="s">
        <v>4687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 t="s">
        <v>4689</v>
      </c>
      <c r="B23" s="16" t="s">
        <v>4683</v>
      </c>
      <c r="C23" s="17">
        <v>24</v>
      </c>
      <c r="D23" s="18" t="s">
        <v>146</v>
      </c>
      <c r="E23" s="41">
        <v>10</v>
      </c>
      <c r="F23" s="42">
        <v>31.4</v>
      </c>
      <c r="G23" s="34" t="s">
        <v>4685</v>
      </c>
      <c r="H23" s="35">
        <v>1981</v>
      </c>
      <c r="I23" s="36">
        <v>3353</v>
      </c>
      <c r="J23" s="37">
        <v>5</v>
      </c>
      <c r="K23" s="25">
        <f t="shared" si="0"/>
        <v>33.211465000000004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70</v>
      </c>
      <c r="H24" s="35">
        <v>1981</v>
      </c>
      <c r="I24" s="36">
        <v>3353</v>
      </c>
      <c r="J24" s="37">
        <v>5</v>
      </c>
      <c r="K24" s="25">
        <f t="shared" si="0"/>
        <v>33.211465000000004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/>
      <c r="B29" s="29"/>
      <c r="C29" s="30"/>
      <c r="D29" s="31"/>
      <c r="E29" s="41"/>
      <c r="F29" s="42"/>
      <c r="G29" s="43"/>
      <c r="H29" s="35"/>
      <c r="I29" s="36"/>
      <c r="J29" s="37"/>
      <c r="K29" s="25">
        <f t="shared" si="0"/>
        <v>0</v>
      </c>
      <c r="L29" s="39"/>
    </row>
    <row r="30" spans="1:12" s="55" customFormat="1" ht="19.5" customHeight="1" x14ac:dyDescent="0.3">
      <c r="A30" s="44"/>
      <c r="B30" s="45"/>
      <c r="C30" s="46"/>
      <c r="D30" s="47"/>
      <c r="E30" s="48"/>
      <c r="F30" s="49"/>
      <c r="G30" s="50"/>
      <c r="H30" s="51"/>
      <c r="I30" s="45"/>
      <c r="J30" s="52"/>
      <c r="K30" s="53">
        <f t="shared" si="0"/>
        <v>0</v>
      </c>
      <c r="L30" s="54"/>
    </row>
    <row r="31" spans="1:12" s="55" customFormat="1" ht="19.5" customHeight="1" x14ac:dyDescent="0.3">
      <c r="A31" s="44" t="s">
        <v>4671</v>
      </c>
      <c r="B31" s="45" t="s">
        <v>4672</v>
      </c>
      <c r="C31" s="46">
        <v>24</v>
      </c>
      <c r="D31" s="47" t="s">
        <v>4673</v>
      </c>
      <c r="E31" s="48">
        <v>98</v>
      </c>
      <c r="F31" s="49">
        <v>103.96</v>
      </c>
      <c r="G31" s="50" t="s">
        <v>4674</v>
      </c>
      <c r="H31" s="51">
        <v>1829</v>
      </c>
      <c r="I31" s="45">
        <v>3353</v>
      </c>
      <c r="J31" s="52">
        <v>29</v>
      </c>
      <c r="K31" s="53">
        <f t="shared" si="0"/>
        <v>177.846473</v>
      </c>
      <c r="L31" s="54" t="s">
        <v>4677</v>
      </c>
    </row>
    <row r="32" spans="1:12" s="55" customFormat="1" ht="19.5" customHeight="1" x14ac:dyDescent="0.3">
      <c r="A32" s="44" t="s">
        <v>4675</v>
      </c>
      <c r="B32" s="45" t="s">
        <v>4672</v>
      </c>
      <c r="C32" s="46">
        <v>24</v>
      </c>
      <c r="D32" s="47" t="s">
        <v>4676</v>
      </c>
      <c r="E32" s="48">
        <v>70</v>
      </c>
      <c r="F32" s="49">
        <v>80</v>
      </c>
      <c r="G32" s="50" t="s">
        <v>4674</v>
      </c>
      <c r="H32" s="51">
        <v>2438</v>
      </c>
      <c r="I32" s="45">
        <v>3353</v>
      </c>
      <c r="J32" s="52">
        <v>3</v>
      </c>
      <c r="K32" s="53">
        <f t="shared" si="0"/>
        <v>24.523842000000002</v>
      </c>
      <c r="L32" s="54" t="s">
        <v>4677</v>
      </c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 t="s">
        <v>4662</v>
      </c>
      <c r="H33" s="51">
        <v>1829</v>
      </c>
      <c r="I33" s="45">
        <v>3353</v>
      </c>
      <c r="J33" s="52">
        <v>29</v>
      </c>
      <c r="K33" s="53">
        <f t="shared" si="0"/>
        <v>177.846473</v>
      </c>
      <c r="L33" s="54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 t="s">
        <v>4662</v>
      </c>
      <c r="H34" s="51">
        <v>2438</v>
      </c>
      <c r="I34" s="45">
        <v>3353</v>
      </c>
      <c r="J34" s="52">
        <v>3</v>
      </c>
      <c r="K34" s="53">
        <f t="shared" si="0"/>
        <v>24.523842000000002</v>
      </c>
      <c r="L34" s="54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4678</v>
      </c>
      <c r="B36" s="45" t="s">
        <v>363</v>
      </c>
      <c r="C36" s="46">
        <v>43</v>
      </c>
      <c r="D36" s="47" t="s">
        <v>2802</v>
      </c>
      <c r="E36" s="48">
        <v>2</v>
      </c>
      <c r="F36" s="49">
        <v>4.6399999999999997</v>
      </c>
      <c r="G36" s="50" t="s">
        <v>4679</v>
      </c>
      <c r="H36" s="51">
        <v>2134</v>
      </c>
      <c r="I36" s="45">
        <v>3048</v>
      </c>
      <c r="J36" s="52">
        <v>3</v>
      </c>
      <c r="K36" s="53">
        <f t="shared" si="0"/>
        <v>19.513295999999997</v>
      </c>
      <c r="L36" s="54" t="s">
        <v>4680</v>
      </c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4681</v>
      </c>
      <c r="B38" s="45" t="s">
        <v>4672</v>
      </c>
      <c r="C38" s="46">
        <v>24</v>
      </c>
      <c r="D38" s="47" t="s">
        <v>4676</v>
      </c>
      <c r="E38" s="48">
        <v>144</v>
      </c>
      <c r="F38" s="49">
        <v>184.44</v>
      </c>
      <c r="G38" s="50" t="s">
        <v>4674</v>
      </c>
      <c r="H38" s="51">
        <v>2438</v>
      </c>
      <c r="I38" s="45">
        <v>3353</v>
      </c>
      <c r="J38" s="52">
        <v>11</v>
      </c>
      <c r="K38" s="53">
        <f t="shared" si="0"/>
        <v>89.920754000000002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 t="s">
        <v>4674</v>
      </c>
      <c r="H39" s="51">
        <v>1829</v>
      </c>
      <c r="I39" s="45">
        <v>3353</v>
      </c>
      <c r="J39" s="52">
        <v>18</v>
      </c>
      <c r="K39" s="53">
        <f t="shared" si="0"/>
        <v>110.387466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 t="s">
        <v>4662</v>
      </c>
      <c r="H40" s="51">
        <v>2438</v>
      </c>
      <c r="I40" s="45">
        <v>3353</v>
      </c>
      <c r="J40" s="52">
        <v>13</v>
      </c>
      <c r="K40" s="53">
        <f t="shared" si="0"/>
        <v>106.269982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 t="s">
        <v>4662</v>
      </c>
      <c r="H41" s="51">
        <v>1829</v>
      </c>
      <c r="I41" s="45">
        <v>3353</v>
      </c>
      <c r="J41" s="52">
        <v>16</v>
      </c>
      <c r="K41" s="53">
        <f t="shared" si="0"/>
        <v>98.122191999999998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4670</v>
      </c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4690</v>
      </c>
      <c r="B44" s="45" t="s">
        <v>4691</v>
      </c>
      <c r="C44" s="46">
        <v>39</v>
      </c>
      <c r="D44" s="47" t="s">
        <v>4692</v>
      </c>
      <c r="E44" s="48">
        <v>13</v>
      </c>
      <c r="F44" s="49">
        <v>8.76</v>
      </c>
      <c r="G44" s="50" t="s">
        <v>4693</v>
      </c>
      <c r="H44" s="51">
        <v>1829</v>
      </c>
      <c r="I44" s="45">
        <v>3353</v>
      </c>
      <c r="J44" s="52">
        <v>3</v>
      </c>
      <c r="K44" s="53">
        <f t="shared" si="0"/>
        <v>18.397911000000001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4686</v>
      </c>
      <c r="H45" s="51">
        <v>2438</v>
      </c>
      <c r="I45" s="45">
        <v>3353</v>
      </c>
      <c r="J45" s="52">
        <v>1</v>
      </c>
      <c r="K45" s="53">
        <f t="shared" ref="K45:K59" si="2">(H45/1000*I45/1000)*J45</f>
        <v>8.174614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2"/>
        <v>0</v>
      </c>
      <c r="L46" s="54"/>
    </row>
    <row r="47" spans="1:12" s="55" customFormat="1" ht="19.5" customHeight="1" x14ac:dyDescent="0.3">
      <c r="A47" s="44" t="s">
        <v>4694</v>
      </c>
      <c r="B47" s="45" t="s">
        <v>4695</v>
      </c>
      <c r="C47" s="46">
        <v>26.76</v>
      </c>
      <c r="D47" s="47" t="s">
        <v>4696</v>
      </c>
      <c r="E47" s="48">
        <v>24</v>
      </c>
      <c r="F47" s="49">
        <v>48.96</v>
      </c>
      <c r="G47" s="50" t="s">
        <v>3576</v>
      </c>
      <c r="H47" s="51">
        <v>2438</v>
      </c>
      <c r="I47" s="45">
        <v>3353</v>
      </c>
      <c r="J47" s="52">
        <v>8</v>
      </c>
      <c r="K47" s="53">
        <f t="shared" si="2"/>
        <v>65.396912</v>
      </c>
      <c r="L47" s="54"/>
    </row>
    <row r="48" spans="1:12" s="55" customFormat="1" ht="19.5" customHeight="1" x14ac:dyDescent="0.3">
      <c r="A48" s="44"/>
      <c r="B48" s="45"/>
      <c r="C48" s="46">
        <v>28</v>
      </c>
      <c r="D48" s="47" t="s">
        <v>4697</v>
      </c>
      <c r="E48" s="48">
        <v>1</v>
      </c>
      <c r="F48" s="49">
        <v>3.63</v>
      </c>
      <c r="G48" s="50"/>
      <c r="H48" s="51"/>
      <c r="I48" s="45"/>
      <c r="J48" s="52"/>
      <c r="K48" s="53">
        <f t="shared" si="2"/>
        <v>0</v>
      </c>
      <c r="L48" s="54" t="s">
        <v>4699</v>
      </c>
    </row>
    <row r="49" spans="1:12" s="55" customFormat="1" ht="19.5" customHeight="1" x14ac:dyDescent="0.3">
      <c r="A49" s="44"/>
      <c r="B49" s="45"/>
      <c r="C49" s="46">
        <v>28</v>
      </c>
      <c r="D49" s="47" t="s">
        <v>4698</v>
      </c>
      <c r="E49" s="48">
        <v>1</v>
      </c>
      <c r="F49" s="49">
        <v>1.02</v>
      </c>
      <c r="G49" s="50"/>
      <c r="H49" s="51"/>
      <c r="I49" s="45"/>
      <c r="J49" s="52"/>
      <c r="K49" s="53">
        <f t="shared" ref="K49:K57" si="3">(H49/1000*I49/1000)*J49</f>
        <v>0</v>
      </c>
      <c r="L49" s="54" t="s">
        <v>4700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3"/>
        <v>0</v>
      </c>
      <c r="L50" s="54"/>
    </row>
    <row r="51" spans="1:12" s="55" customFormat="1" ht="19.5" customHeight="1" x14ac:dyDescent="0.3">
      <c r="A51" s="44" t="s">
        <v>4701</v>
      </c>
      <c r="B51" s="45" t="s">
        <v>4695</v>
      </c>
      <c r="C51" s="46">
        <v>24</v>
      </c>
      <c r="D51" s="47" t="s">
        <v>4702</v>
      </c>
      <c r="E51" s="48">
        <v>2</v>
      </c>
      <c r="F51" s="49">
        <v>5.7</v>
      </c>
      <c r="G51" s="50" t="s">
        <v>4703</v>
      </c>
      <c r="H51" s="51">
        <v>1981</v>
      </c>
      <c r="I51" s="45">
        <v>3658</v>
      </c>
      <c r="J51" s="52">
        <v>2</v>
      </c>
      <c r="K51" s="53">
        <f t="shared" si="3"/>
        <v>14.492996000000002</v>
      </c>
      <c r="L51" s="54" t="s">
        <v>4699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3"/>
        <v>0</v>
      </c>
      <c r="L52" s="54"/>
    </row>
    <row r="53" spans="1:12" s="55" customFormat="1" ht="19.5" customHeight="1" x14ac:dyDescent="0.3">
      <c r="A53" s="44" t="s">
        <v>4704</v>
      </c>
      <c r="B53" s="45" t="s">
        <v>4695</v>
      </c>
      <c r="C53" s="46">
        <v>24</v>
      </c>
      <c r="D53" s="47" t="s">
        <v>4702</v>
      </c>
      <c r="E53" s="48">
        <v>1</v>
      </c>
      <c r="F53" s="49">
        <v>2.85</v>
      </c>
      <c r="G53" s="50" t="s">
        <v>4703</v>
      </c>
      <c r="H53" s="51">
        <v>1981</v>
      </c>
      <c r="I53" s="45">
        <v>3658</v>
      </c>
      <c r="J53" s="52">
        <v>1</v>
      </c>
      <c r="K53" s="53">
        <f t="shared" si="3"/>
        <v>7.2464980000000008</v>
      </c>
      <c r="L53" s="54" t="s">
        <v>4699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3"/>
        <v>0</v>
      </c>
      <c r="L54" s="54"/>
    </row>
    <row r="55" spans="1:12" s="55" customFormat="1" ht="19.5" customHeight="1" x14ac:dyDescent="0.3">
      <c r="A55" s="44" t="s">
        <v>4705</v>
      </c>
      <c r="B55" s="45" t="s">
        <v>4706</v>
      </c>
      <c r="C55" s="46">
        <v>43</v>
      </c>
      <c r="D55" s="47" t="s">
        <v>4707</v>
      </c>
      <c r="E55" s="48">
        <v>30</v>
      </c>
      <c r="F55" s="49">
        <v>44.83</v>
      </c>
      <c r="G55" s="50" t="s">
        <v>4708</v>
      </c>
      <c r="H55" s="51">
        <v>2438</v>
      </c>
      <c r="I55" s="45">
        <v>3353</v>
      </c>
      <c r="J55" s="52">
        <v>7</v>
      </c>
      <c r="K55" s="53">
        <f t="shared" si="3"/>
        <v>57.222298000000002</v>
      </c>
      <c r="L55" s="54" t="s">
        <v>4709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3"/>
        <v>0</v>
      </c>
      <c r="L56" s="54"/>
    </row>
    <row r="57" spans="1:12" s="55" customFormat="1" ht="19.5" customHeight="1" x14ac:dyDescent="0.3">
      <c r="A57" s="44" t="s">
        <v>4710</v>
      </c>
      <c r="B57" s="45" t="s">
        <v>4706</v>
      </c>
      <c r="C57" s="46">
        <v>43</v>
      </c>
      <c r="D57" s="47" t="s">
        <v>4707</v>
      </c>
      <c r="E57" s="48">
        <v>28</v>
      </c>
      <c r="F57" s="49">
        <v>48.07</v>
      </c>
      <c r="G57" s="50" t="s">
        <v>4708</v>
      </c>
      <c r="H57" s="51">
        <v>2438</v>
      </c>
      <c r="I57" s="45">
        <v>3353</v>
      </c>
      <c r="J57" s="52">
        <v>7</v>
      </c>
      <c r="K57" s="53">
        <f t="shared" si="3"/>
        <v>57.222298000000002</v>
      </c>
      <c r="L57" s="54" t="s">
        <v>4709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2"/>
        <v>0</v>
      </c>
      <c r="L58" s="54"/>
    </row>
    <row r="59" spans="1:12" s="55" customFormat="1" ht="19.5" customHeight="1" x14ac:dyDescent="0.3">
      <c r="A59" s="44" t="s">
        <v>4711</v>
      </c>
      <c r="B59" s="45" t="s">
        <v>4706</v>
      </c>
      <c r="C59" s="46">
        <v>43</v>
      </c>
      <c r="D59" s="47" t="s">
        <v>4707</v>
      </c>
      <c r="E59" s="48">
        <v>39</v>
      </c>
      <c r="F59" s="49">
        <v>63.56</v>
      </c>
      <c r="G59" s="50" t="s">
        <v>4708</v>
      </c>
      <c r="H59" s="51">
        <v>2438</v>
      </c>
      <c r="I59" s="45">
        <v>3353</v>
      </c>
      <c r="J59" s="52">
        <v>9</v>
      </c>
      <c r="K59" s="53">
        <f t="shared" si="2"/>
        <v>73.571526000000006</v>
      </c>
      <c r="L59" s="54" t="s">
        <v>4709</v>
      </c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9" customFormat="1" ht="20.100000000000001" customHeight="1" x14ac:dyDescent="0.3">
      <c r="A62" s="44"/>
      <c r="B62" s="45"/>
      <c r="C62" s="46"/>
      <c r="D62" s="47"/>
      <c r="E62" s="56"/>
      <c r="F62" s="57"/>
      <c r="G62" s="50"/>
      <c r="H62" s="51"/>
      <c r="I62" s="45"/>
      <c r="J62" s="52"/>
      <c r="K62" s="53">
        <f t="shared" si="0"/>
        <v>0</v>
      </c>
      <c r="L62" s="58">
        <f>SUM(J30:J63)</f>
        <v>163</v>
      </c>
    </row>
    <row r="63" spans="1:12" s="59" customFormat="1" ht="20.100000000000001" customHeight="1" x14ac:dyDescent="0.3">
      <c r="A63" s="44"/>
      <c r="B63" s="45"/>
      <c r="C63" s="46"/>
      <c r="D63" s="47"/>
      <c r="E63" s="60"/>
      <c r="F63" s="61"/>
      <c r="G63" s="62"/>
      <c r="H63" s="51"/>
      <c r="I63" s="45"/>
      <c r="J63" s="63"/>
      <c r="K63" s="53">
        <f t="shared" si="0"/>
        <v>0</v>
      </c>
      <c r="L63" s="64">
        <f>SUM(K30:K63)</f>
        <v>1130.6793729999999</v>
      </c>
    </row>
    <row r="64" spans="1:12" s="59" customFormat="1" ht="20.100000000000001" customHeight="1" thickBot="1" x14ac:dyDescent="0.35">
      <c r="A64" s="114"/>
      <c r="B64" s="115"/>
      <c r="C64" s="115"/>
      <c r="D64" s="115"/>
      <c r="E64" s="115"/>
      <c r="F64" s="115"/>
      <c r="G64" s="115"/>
      <c r="H64" s="115"/>
      <c r="I64" s="115"/>
      <c r="J64" s="65">
        <f>SUM(J7:J63)</f>
        <v>409</v>
      </c>
      <c r="K64" s="66">
        <f>SUM(K7:K63)</f>
        <v>2764.6834510000012</v>
      </c>
      <c r="L64" s="67"/>
    </row>
    <row r="65" spans="1:12" s="59" customFormat="1" ht="20.100000000000001" customHeight="1" thickTop="1" thickBot="1" x14ac:dyDescent="0.35">
      <c r="A65" s="116" t="s">
        <v>52</v>
      </c>
      <c r="B65" s="117"/>
      <c r="C65" s="68"/>
      <c r="D65" s="118">
        <f>J64</f>
        <v>409</v>
      </c>
      <c r="E65" s="119"/>
      <c r="F65" s="119"/>
      <c r="G65" s="120"/>
      <c r="H65" s="121"/>
      <c r="I65" s="121"/>
      <c r="J65" s="122"/>
      <c r="K65" s="119"/>
      <c r="L65" s="123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71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72"/>
      <c r="F71" s="5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5"/>
      <c r="G72" s="73"/>
      <c r="H72" s="5"/>
      <c r="I72" s="74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72"/>
      <c r="I76" s="72"/>
      <c r="J76" s="5"/>
      <c r="K76" s="5"/>
      <c r="L76" s="5"/>
    </row>
    <row r="77" spans="1:12" ht="20.100000000000001" customHeight="1" x14ac:dyDescent="0.3">
      <c r="A77" s="113"/>
      <c r="B77" s="113"/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A80" s="113"/>
      <c r="B80" s="113"/>
      <c r="H80" s="72"/>
      <c r="I80" s="72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J85" s="5"/>
      <c r="K85" s="5"/>
      <c r="L85" s="5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5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5" customFormat="1" ht="19.5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ht="19.5" customHeight="1" x14ac:dyDescent="0.3"/>
    <row r="93" spans="1:12" ht="19.5" customHeight="1" x14ac:dyDescent="0.3"/>
    <row r="94" spans="1:12" ht="19.5" customHeight="1" x14ac:dyDescent="0.3"/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>
        <v>2</v>
      </c>
      <c r="C155" s="5"/>
      <c r="D155" s="5"/>
      <c r="E155" s="5"/>
      <c r="F155" s="70"/>
      <c r="G155" s="5"/>
      <c r="H155" s="5"/>
      <c r="I155" s="5"/>
      <c r="J155" s="5"/>
      <c r="K155" s="5"/>
      <c r="L155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0:B7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4:I64"/>
    <mergeCell ref="A65:B65"/>
    <mergeCell ref="D65:G65"/>
    <mergeCell ref="H65:J65"/>
    <mergeCell ref="K65:L65"/>
    <mergeCell ref="A80:B80"/>
    <mergeCell ref="A81:B81"/>
    <mergeCell ref="A71:B71"/>
    <mergeCell ref="A72:B72"/>
    <mergeCell ref="A73:B73"/>
    <mergeCell ref="A75:B75"/>
    <mergeCell ref="A76:B76"/>
    <mergeCell ref="A77:B77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L154"/>
  <sheetViews>
    <sheetView view="pageBreakPreview" zoomScale="85" zoomScaleNormal="100" zoomScaleSheetLayoutView="85" workbookViewId="0">
      <selection activeCell="A9" sqref="A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46181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2" si="0">(H7/1000*I7/1000)*J7</f>
        <v>0</v>
      </c>
      <c r="L7" s="26">
        <f>SUM(J7:J42)</f>
        <v>232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SUM(K7:K42)</f>
        <v>1511.5935050000003</v>
      </c>
    </row>
    <row r="9" spans="1:12" s="27" customFormat="1" ht="19.5" customHeight="1" x14ac:dyDescent="0.3">
      <c r="A9" s="28" t="s">
        <v>4612</v>
      </c>
      <c r="B9" s="16" t="s">
        <v>4613</v>
      </c>
      <c r="C9" s="17">
        <v>5</v>
      </c>
      <c r="D9" s="18" t="s">
        <v>4615</v>
      </c>
      <c r="E9" s="41">
        <v>2</v>
      </c>
      <c r="F9" s="42">
        <v>1.06</v>
      </c>
      <c r="G9" s="34"/>
      <c r="H9" s="35"/>
      <c r="I9" s="36"/>
      <c r="J9" s="37"/>
      <c r="K9" s="25">
        <f t="shared" si="0"/>
        <v>0</v>
      </c>
      <c r="L9" s="39" t="s">
        <v>4617</v>
      </c>
    </row>
    <row r="10" spans="1:12" s="27" customFormat="1" ht="19.5" customHeight="1" x14ac:dyDescent="0.3">
      <c r="A10" s="28"/>
      <c r="B10" s="16"/>
      <c r="C10" s="17">
        <v>10</v>
      </c>
      <c r="D10" s="18" t="s">
        <v>4616</v>
      </c>
      <c r="E10" s="41">
        <v>6</v>
      </c>
      <c r="F10" s="42">
        <v>7.6</v>
      </c>
      <c r="G10" s="34" t="s">
        <v>4618</v>
      </c>
      <c r="H10" s="35">
        <v>2134</v>
      </c>
      <c r="I10" s="36">
        <v>3048</v>
      </c>
      <c r="J10" s="37">
        <v>1</v>
      </c>
      <c r="K10" s="25">
        <f t="shared" si="0"/>
        <v>6.5044319999999995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4619</v>
      </c>
      <c r="B12" s="16" t="s">
        <v>4620</v>
      </c>
      <c r="C12" s="17">
        <v>5</v>
      </c>
      <c r="D12" s="18" t="s">
        <v>4615</v>
      </c>
      <c r="E12" s="41">
        <v>14</v>
      </c>
      <c r="F12" s="42">
        <v>5.04</v>
      </c>
      <c r="G12" s="34" t="s">
        <v>4621</v>
      </c>
      <c r="H12" s="35">
        <v>1981</v>
      </c>
      <c r="I12" s="36">
        <v>3048</v>
      </c>
      <c r="J12" s="37">
        <v>1</v>
      </c>
      <c r="K12" s="25">
        <f t="shared" si="0"/>
        <v>6.038088000000001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 t="s">
        <v>4622</v>
      </c>
      <c r="B14" s="16" t="s">
        <v>4620</v>
      </c>
      <c r="C14" s="17">
        <v>8</v>
      </c>
      <c r="D14" s="18" t="s">
        <v>4623</v>
      </c>
      <c r="E14" s="41">
        <v>2</v>
      </c>
      <c r="F14" s="42">
        <v>5.91</v>
      </c>
      <c r="G14" s="34" t="s">
        <v>4624</v>
      </c>
      <c r="H14" s="35">
        <v>2286</v>
      </c>
      <c r="I14" s="36">
        <v>3048</v>
      </c>
      <c r="J14" s="37">
        <v>1</v>
      </c>
      <c r="K14" s="25">
        <f t="shared" si="0"/>
        <v>6.9677280000000001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25">
        <f t="shared" si="0"/>
        <v>0</v>
      </c>
      <c r="L15" s="39"/>
    </row>
    <row r="16" spans="1:12" s="27" customFormat="1" ht="19.5" customHeight="1" x14ac:dyDescent="0.3">
      <c r="A16" s="28" t="s">
        <v>4625</v>
      </c>
      <c r="B16" s="16" t="s">
        <v>4626</v>
      </c>
      <c r="C16" s="17">
        <v>22</v>
      </c>
      <c r="D16" s="18" t="s">
        <v>4627</v>
      </c>
      <c r="E16" s="41">
        <v>144</v>
      </c>
      <c r="F16" s="42">
        <v>88.14</v>
      </c>
      <c r="G16" s="34" t="s">
        <v>4628</v>
      </c>
      <c r="H16" s="35">
        <v>1981</v>
      </c>
      <c r="I16" s="36">
        <v>3353</v>
      </c>
      <c r="J16" s="37">
        <v>14</v>
      </c>
      <c r="K16" s="25">
        <f t="shared" si="0"/>
        <v>92.992102000000003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 t="s">
        <v>4629</v>
      </c>
      <c r="H17" s="35">
        <v>1981</v>
      </c>
      <c r="I17" s="36">
        <v>3353</v>
      </c>
      <c r="J17" s="37">
        <v>14</v>
      </c>
      <c r="K17" s="25">
        <f t="shared" si="0"/>
        <v>92.992102000000003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 t="s">
        <v>4630</v>
      </c>
      <c r="B19" s="16" t="s">
        <v>4626</v>
      </c>
      <c r="C19" s="17">
        <v>22</v>
      </c>
      <c r="D19" s="18" t="s">
        <v>4627</v>
      </c>
      <c r="E19" s="41">
        <v>144</v>
      </c>
      <c r="F19" s="42">
        <v>88.14</v>
      </c>
      <c r="G19" s="34" t="s">
        <v>4628</v>
      </c>
      <c r="H19" s="35">
        <v>1981</v>
      </c>
      <c r="I19" s="36">
        <v>3353</v>
      </c>
      <c r="J19" s="37">
        <v>14</v>
      </c>
      <c r="K19" s="25">
        <f t="shared" si="0"/>
        <v>92.992102000000003</v>
      </c>
      <c r="L19" s="39"/>
    </row>
    <row r="20" spans="1:12" s="27" customFormat="1" ht="19.5" customHeight="1" x14ac:dyDescent="0.3">
      <c r="A20" s="28"/>
      <c r="B20" s="16"/>
      <c r="C20" s="17">
        <v>22</v>
      </c>
      <c r="D20" s="18" t="s">
        <v>4614</v>
      </c>
      <c r="E20" s="41">
        <v>162</v>
      </c>
      <c r="F20" s="42">
        <v>135.84</v>
      </c>
      <c r="G20" s="34" t="s">
        <v>4621</v>
      </c>
      <c r="H20" s="35">
        <v>1981</v>
      </c>
      <c r="I20" s="36">
        <v>3353</v>
      </c>
      <c r="J20" s="37">
        <v>20</v>
      </c>
      <c r="K20" s="25">
        <f t="shared" si="0"/>
        <v>132.84586000000002</v>
      </c>
      <c r="L20" s="39"/>
    </row>
    <row r="21" spans="1:12" s="27" customFormat="1" ht="19.5" customHeight="1" x14ac:dyDescent="0.3">
      <c r="A21" s="28"/>
      <c r="B21" s="16"/>
      <c r="C21" s="17">
        <v>22</v>
      </c>
      <c r="D21" s="18" t="s">
        <v>4627</v>
      </c>
      <c r="E21" s="41">
        <v>36</v>
      </c>
      <c r="F21" s="42">
        <v>10.08</v>
      </c>
      <c r="G21" s="34" t="s">
        <v>4629</v>
      </c>
      <c r="H21" s="35">
        <v>1981</v>
      </c>
      <c r="I21" s="36">
        <v>3353</v>
      </c>
      <c r="J21" s="37">
        <v>34</v>
      </c>
      <c r="K21" s="25">
        <f t="shared" si="0"/>
        <v>225.837962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 t="s">
        <v>4632</v>
      </c>
      <c r="B23" s="16" t="s">
        <v>4633</v>
      </c>
      <c r="C23" s="17">
        <v>22</v>
      </c>
      <c r="D23" s="18" t="s">
        <v>4627</v>
      </c>
      <c r="E23" s="41">
        <v>180</v>
      </c>
      <c r="F23" s="42">
        <v>144.54</v>
      </c>
      <c r="G23" s="34" t="s">
        <v>4628</v>
      </c>
      <c r="H23" s="35">
        <v>1981</v>
      </c>
      <c r="I23" s="36">
        <v>3353</v>
      </c>
      <c r="J23" s="37">
        <v>24</v>
      </c>
      <c r="K23" s="25">
        <f t="shared" si="0"/>
        <v>159.415032</v>
      </c>
      <c r="L23" s="39" t="s">
        <v>4634</v>
      </c>
    </row>
    <row r="24" spans="1:12" s="27" customFormat="1" ht="19.5" customHeight="1" x14ac:dyDescent="0.3">
      <c r="A24" s="28"/>
      <c r="B24" s="16"/>
      <c r="C24" s="17">
        <v>22</v>
      </c>
      <c r="D24" s="18" t="s">
        <v>4627</v>
      </c>
      <c r="E24" s="41">
        <v>54</v>
      </c>
      <c r="F24" s="42">
        <v>28.26</v>
      </c>
      <c r="G24" s="34"/>
      <c r="H24" s="35"/>
      <c r="I24" s="36"/>
      <c r="J24" s="37"/>
      <c r="K24" s="25">
        <f t="shared" si="0"/>
        <v>0</v>
      </c>
      <c r="L24" s="39" t="s">
        <v>4634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 t="s">
        <v>4635</v>
      </c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 t="s">
        <v>4650</v>
      </c>
      <c r="B27" s="16" t="s">
        <v>4633</v>
      </c>
      <c r="C27" s="17">
        <v>22</v>
      </c>
      <c r="D27" s="18" t="s">
        <v>45</v>
      </c>
      <c r="E27" s="41">
        <v>180</v>
      </c>
      <c r="F27" s="42">
        <v>144.54</v>
      </c>
      <c r="G27" s="34" t="s">
        <v>4655</v>
      </c>
      <c r="H27" s="35">
        <v>1981</v>
      </c>
      <c r="I27" s="36">
        <v>3048</v>
      </c>
      <c r="J27" s="37">
        <v>26</v>
      </c>
      <c r="K27" s="25">
        <f t="shared" si="0"/>
        <v>156.99028800000002</v>
      </c>
      <c r="L27" s="39" t="s">
        <v>4651</v>
      </c>
    </row>
    <row r="28" spans="1:12" s="27" customFormat="1" ht="19.5" customHeight="1" x14ac:dyDescent="0.3">
      <c r="A28" s="28"/>
      <c r="B28" s="16"/>
      <c r="C28" s="17">
        <v>22</v>
      </c>
      <c r="D28" s="18" t="s">
        <v>45</v>
      </c>
      <c r="E28" s="41">
        <v>54</v>
      </c>
      <c r="F28" s="42">
        <v>28.26</v>
      </c>
      <c r="G28" s="34"/>
      <c r="H28" s="35"/>
      <c r="I28" s="36"/>
      <c r="J28" s="37"/>
      <c r="K28" s="25">
        <f t="shared" ref="K28:K35" si="1">(H28/1000*I28/1000)*J28</f>
        <v>0</v>
      </c>
      <c r="L28" s="39" t="s">
        <v>4651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1"/>
        <v>0</v>
      </c>
      <c r="L29" s="39"/>
    </row>
    <row r="30" spans="1:12" s="27" customFormat="1" ht="19.5" customHeight="1" x14ac:dyDescent="0.3">
      <c r="A30" s="28" t="s">
        <v>4650</v>
      </c>
      <c r="B30" s="16" t="s">
        <v>4633</v>
      </c>
      <c r="C30" s="17">
        <v>22</v>
      </c>
      <c r="D30" s="18" t="s">
        <v>4652</v>
      </c>
      <c r="E30" s="41">
        <v>180</v>
      </c>
      <c r="F30" s="42">
        <v>144.54</v>
      </c>
      <c r="G30" s="34" t="s">
        <v>4653</v>
      </c>
      <c r="H30" s="35">
        <v>1981</v>
      </c>
      <c r="I30" s="36">
        <v>3353</v>
      </c>
      <c r="J30" s="37">
        <v>20</v>
      </c>
      <c r="K30" s="25">
        <f t="shared" si="1"/>
        <v>132.84586000000002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 t="s">
        <v>4655</v>
      </c>
      <c r="H31" s="35">
        <v>1981</v>
      </c>
      <c r="I31" s="36">
        <v>3048</v>
      </c>
      <c r="J31" s="37">
        <v>22</v>
      </c>
      <c r="K31" s="25">
        <f t="shared" si="1"/>
        <v>132.83793600000001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1"/>
        <v>0</v>
      </c>
      <c r="L32" s="39"/>
    </row>
    <row r="33" spans="1:12" s="27" customFormat="1" ht="19.5" customHeight="1" x14ac:dyDescent="0.3">
      <c r="A33" s="28" t="s">
        <v>4654</v>
      </c>
      <c r="B33" s="16" t="s">
        <v>4633</v>
      </c>
      <c r="C33" s="17">
        <v>22</v>
      </c>
      <c r="D33" s="18" t="s">
        <v>4652</v>
      </c>
      <c r="E33" s="41">
        <v>220</v>
      </c>
      <c r="F33" s="42">
        <v>277.8</v>
      </c>
      <c r="G33" s="34" t="s">
        <v>4655</v>
      </c>
      <c r="H33" s="35">
        <v>1981</v>
      </c>
      <c r="I33" s="36">
        <v>3353</v>
      </c>
      <c r="J33" s="37">
        <v>41</v>
      </c>
      <c r="K33" s="25">
        <f t="shared" si="1"/>
        <v>272.33401300000003</v>
      </c>
      <c r="L33" s="39" t="s">
        <v>4651</v>
      </c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1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1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29"/>
      <c r="C42" s="30"/>
      <c r="D42" s="31"/>
      <c r="E42" s="41"/>
      <c r="F42" s="42"/>
      <c r="G42" s="43"/>
      <c r="H42" s="35"/>
      <c r="I42" s="36"/>
      <c r="J42" s="37"/>
      <c r="K42" s="25">
        <f t="shared" si="0"/>
        <v>0</v>
      </c>
      <c r="L42" s="39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4636</v>
      </c>
      <c r="B44" s="45" t="s">
        <v>4637</v>
      </c>
      <c r="C44" s="46">
        <v>28</v>
      </c>
      <c r="D44" s="47" t="s">
        <v>4638</v>
      </c>
      <c r="E44" s="48">
        <v>76</v>
      </c>
      <c r="F44" s="49">
        <v>82.74</v>
      </c>
      <c r="G44" s="50" t="s">
        <v>4639</v>
      </c>
      <c r="H44" s="51">
        <v>2438</v>
      </c>
      <c r="I44" s="45">
        <v>3048</v>
      </c>
      <c r="J44" s="52">
        <v>14</v>
      </c>
      <c r="K44" s="53">
        <f t="shared" si="0"/>
        <v>104.03433600000001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4640</v>
      </c>
      <c r="H45" s="51">
        <v>2438</v>
      </c>
      <c r="I45" s="45">
        <v>3048</v>
      </c>
      <c r="J45" s="52">
        <v>13</v>
      </c>
      <c r="K45" s="53">
        <f t="shared" si="0"/>
        <v>96.603312000000017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4641</v>
      </c>
      <c r="B47" s="45" t="s">
        <v>4642</v>
      </c>
      <c r="C47" s="46">
        <v>24</v>
      </c>
      <c r="D47" s="47" t="s">
        <v>4643</v>
      </c>
      <c r="E47" s="48">
        <v>149</v>
      </c>
      <c r="F47" s="49">
        <v>189.22</v>
      </c>
      <c r="G47" s="50" t="s">
        <v>4644</v>
      </c>
      <c r="H47" s="51">
        <v>3048</v>
      </c>
      <c r="I47" s="45">
        <v>3658</v>
      </c>
      <c r="J47" s="52">
        <v>39</v>
      </c>
      <c r="K47" s="53">
        <f t="shared" si="0"/>
        <v>434.83377600000006</v>
      </c>
      <c r="L47" s="54" t="s">
        <v>4648</v>
      </c>
    </row>
    <row r="48" spans="1:12" s="55" customFormat="1" ht="19.5" customHeight="1" x14ac:dyDescent="0.3">
      <c r="A48" s="44" t="s">
        <v>4645</v>
      </c>
      <c r="B48" s="45" t="s">
        <v>4646</v>
      </c>
      <c r="C48" s="46">
        <v>39</v>
      </c>
      <c r="D48" s="47" t="s">
        <v>4647</v>
      </c>
      <c r="E48" s="48">
        <v>79</v>
      </c>
      <c r="F48" s="49">
        <v>207.23</v>
      </c>
      <c r="G48" s="50" t="s">
        <v>4621</v>
      </c>
      <c r="H48" s="51">
        <v>2590</v>
      </c>
      <c r="I48" s="45">
        <v>3353</v>
      </c>
      <c r="J48" s="52">
        <v>46</v>
      </c>
      <c r="K48" s="53">
        <f t="shared" si="0"/>
        <v>399.47641999999991</v>
      </c>
      <c r="L48" s="54" t="s">
        <v>4649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4621</v>
      </c>
      <c r="H49" s="51">
        <v>1829</v>
      </c>
      <c r="I49" s="45">
        <v>3353</v>
      </c>
      <c r="J49" s="52">
        <v>11</v>
      </c>
      <c r="K49" s="53">
        <f t="shared" si="0"/>
        <v>67.459007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4635</v>
      </c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4656</v>
      </c>
      <c r="B52" s="45" t="s">
        <v>4568</v>
      </c>
      <c r="C52" s="46">
        <v>24</v>
      </c>
      <c r="D52" s="47" t="s">
        <v>501</v>
      </c>
      <c r="E52" s="48">
        <v>98</v>
      </c>
      <c r="F52" s="49">
        <v>103.96</v>
      </c>
      <c r="G52" s="50" t="s">
        <v>56</v>
      </c>
      <c r="H52" s="51">
        <v>3048</v>
      </c>
      <c r="I52" s="45">
        <v>3658</v>
      </c>
      <c r="J52" s="52">
        <v>29</v>
      </c>
      <c r="K52" s="53">
        <f t="shared" si="0"/>
        <v>323.33793600000001</v>
      </c>
      <c r="L52" s="54" t="s">
        <v>4658</v>
      </c>
    </row>
    <row r="53" spans="1:12" s="55" customFormat="1" ht="19.5" customHeight="1" x14ac:dyDescent="0.3">
      <c r="A53" s="44" t="s">
        <v>4645</v>
      </c>
      <c r="B53" s="45" t="s">
        <v>3134</v>
      </c>
      <c r="C53" s="46">
        <v>39</v>
      </c>
      <c r="D53" s="47" t="s">
        <v>3135</v>
      </c>
      <c r="E53" s="48">
        <v>79</v>
      </c>
      <c r="F53" s="49">
        <v>207.23</v>
      </c>
      <c r="G53" s="50" t="s">
        <v>56</v>
      </c>
      <c r="H53" s="51">
        <v>1829</v>
      </c>
      <c r="I53" s="45">
        <v>3353</v>
      </c>
      <c r="J53" s="52">
        <v>5</v>
      </c>
      <c r="K53" s="53">
        <f t="shared" si="0"/>
        <v>30.663184999999999</v>
      </c>
      <c r="L53" s="54" t="s">
        <v>4659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 t="s">
        <v>4657</v>
      </c>
      <c r="H54" s="51">
        <v>1829</v>
      </c>
      <c r="I54" s="45">
        <v>3353</v>
      </c>
      <c r="J54" s="52">
        <v>13</v>
      </c>
      <c r="K54" s="53">
        <f t="shared" si="0"/>
        <v>79.724281000000005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9" customFormat="1" ht="20.100000000000001" customHeight="1" x14ac:dyDescent="0.3">
      <c r="A61" s="44"/>
      <c r="B61" s="45"/>
      <c r="C61" s="46"/>
      <c r="D61" s="47"/>
      <c r="E61" s="56"/>
      <c r="F61" s="57"/>
      <c r="G61" s="50"/>
      <c r="H61" s="51"/>
      <c r="I61" s="45"/>
      <c r="J61" s="52"/>
      <c r="K61" s="53">
        <f t="shared" si="0"/>
        <v>0</v>
      </c>
      <c r="L61" s="58">
        <f>SUM(J43:J62)</f>
        <v>170</v>
      </c>
    </row>
    <row r="62" spans="1:12" s="59" customFormat="1" ht="20.100000000000001" customHeight="1" x14ac:dyDescent="0.3">
      <c r="A62" s="44"/>
      <c r="B62" s="45"/>
      <c r="C62" s="46"/>
      <c r="D62" s="47"/>
      <c r="E62" s="60"/>
      <c r="F62" s="61"/>
      <c r="G62" s="62"/>
      <c r="H62" s="51"/>
      <c r="I62" s="45"/>
      <c r="J62" s="63"/>
      <c r="K62" s="53">
        <f t="shared" si="0"/>
        <v>0</v>
      </c>
      <c r="L62" s="64">
        <f>SUM(K43:K62)</f>
        <v>1536.132253</v>
      </c>
    </row>
    <row r="63" spans="1:12" s="59" customFormat="1" ht="20.100000000000001" customHeight="1" thickBot="1" x14ac:dyDescent="0.35">
      <c r="A63" s="114"/>
      <c r="B63" s="115"/>
      <c r="C63" s="115"/>
      <c r="D63" s="115"/>
      <c r="E63" s="115"/>
      <c r="F63" s="115"/>
      <c r="G63" s="115"/>
      <c r="H63" s="115"/>
      <c r="I63" s="115"/>
      <c r="J63" s="65">
        <f>SUM(J7:J62)</f>
        <v>402</v>
      </c>
      <c r="K63" s="66">
        <f>SUM(K7:K62)</f>
        <v>3047.7257579999996</v>
      </c>
      <c r="L63" s="67"/>
    </row>
    <row r="64" spans="1:12" s="59" customFormat="1" ht="20.100000000000001" customHeight="1" thickTop="1" thickBot="1" x14ac:dyDescent="0.35">
      <c r="A64" s="116" t="s">
        <v>52</v>
      </c>
      <c r="B64" s="117"/>
      <c r="C64" s="68"/>
      <c r="D64" s="118">
        <f>J63</f>
        <v>402</v>
      </c>
      <c r="E64" s="119"/>
      <c r="F64" s="119"/>
      <c r="G64" s="120"/>
      <c r="H64" s="121"/>
      <c r="I64" s="121"/>
      <c r="J64" s="122"/>
      <c r="K64" s="119"/>
      <c r="L64" s="123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71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72"/>
      <c r="F70" s="5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5"/>
      <c r="G71" s="73"/>
      <c r="H71" s="5"/>
      <c r="I71" s="74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72"/>
      <c r="I75" s="72"/>
      <c r="J75" s="5"/>
      <c r="K75" s="5"/>
      <c r="L75" s="5"/>
    </row>
    <row r="76" spans="1:12" ht="20.100000000000001" customHeight="1" x14ac:dyDescent="0.3">
      <c r="A76" s="113"/>
      <c r="B76" s="113"/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A79" s="113"/>
      <c r="B79" s="113"/>
      <c r="H79" s="72"/>
      <c r="I79" s="72"/>
    </row>
    <row r="80" spans="1:12" ht="20.100000000000001" customHeight="1" x14ac:dyDescent="0.3">
      <c r="A80" s="113"/>
      <c r="B80" s="113"/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J84" s="5"/>
      <c r="K84" s="5"/>
      <c r="L84" s="5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5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5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19.5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ht="19.5" customHeight="1" x14ac:dyDescent="0.3"/>
    <row r="92" spans="1:12" ht="19.5" customHeight="1" x14ac:dyDescent="0.3"/>
    <row r="93" spans="1:12" ht="19.5" customHeight="1" x14ac:dyDescent="0.3"/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>
        <v>2</v>
      </c>
      <c r="C154" s="5"/>
      <c r="D154" s="5"/>
      <c r="E154" s="5"/>
      <c r="F154" s="70"/>
      <c r="G154" s="5"/>
      <c r="H154" s="5"/>
      <c r="I154" s="5"/>
      <c r="J154" s="5"/>
      <c r="K154" s="5"/>
      <c r="L154" s="5"/>
    </row>
  </sheetData>
  <mergeCells count="30">
    <mergeCell ref="A79:B79"/>
    <mergeCell ref="A80:B80"/>
    <mergeCell ref="A70:B70"/>
    <mergeCell ref="A71:B71"/>
    <mergeCell ref="A72:B72"/>
    <mergeCell ref="A74:B74"/>
    <mergeCell ref="A75:B75"/>
    <mergeCell ref="A76:B76"/>
    <mergeCell ref="A69:B6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3:I63"/>
    <mergeCell ref="A64:B64"/>
    <mergeCell ref="D64:G64"/>
    <mergeCell ref="H64:J64"/>
    <mergeCell ref="K64:L64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L160"/>
  <sheetViews>
    <sheetView view="pageBreakPreview" topLeftCell="A22" zoomScale="85" zoomScaleNormal="100" zoomScaleSheetLayoutView="85" workbookViewId="0">
      <selection activeCell="J32" sqref="J32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46179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8" si="0">(H7/1000*I7/1000)*J7</f>
        <v>0</v>
      </c>
      <c r="L7" s="26">
        <f>SUM(J7:J35)</f>
        <v>124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SUM(K7:K35)</f>
        <v>823.13467600000001</v>
      </c>
    </row>
    <row r="9" spans="1:12" s="27" customFormat="1" ht="19.5" customHeight="1" x14ac:dyDescent="0.3">
      <c r="A9" s="28" t="s">
        <v>4585</v>
      </c>
      <c r="B9" s="16" t="s">
        <v>4586</v>
      </c>
      <c r="C9" s="17">
        <v>24</v>
      </c>
      <c r="D9" s="18" t="s">
        <v>4587</v>
      </c>
      <c r="E9" s="41">
        <v>5</v>
      </c>
      <c r="F9" s="42">
        <v>16.649999999999999</v>
      </c>
      <c r="G9" s="34" t="s">
        <v>70</v>
      </c>
      <c r="H9" s="35">
        <v>1981</v>
      </c>
      <c r="I9" s="36">
        <v>3353</v>
      </c>
      <c r="J9" s="37">
        <v>15</v>
      </c>
      <c r="K9" s="25">
        <f t="shared" si="0"/>
        <v>99.634395000000012</v>
      </c>
      <c r="L9" s="39" t="s">
        <v>106</v>
      </c>
    </row>
    <row r="10" spans="1:12" s="27" customFormat="1" ht="19.5" customHeight="1" x14ac:dyDescent="0.3">
      <c r="A10" s="28"/>
      <c r="B10" s="16"/>
      <c r="C10" s="17">
        <v>24</v>
      </c>
      <c r="D10" s="18" t="s">
        <v>4588</v>
      </c>
      <c r="E10" s="41">
        <v>100</v>
      </c>
      <c r="F10" s="42">
        <v>101.1</v>
      </c>
      <c r="G10" s="34"/>
      <c r="H10" s="35"/>
      <c r="I10" s="36"/>
      <c r="J10" s="37"/>
      <c r="K10" s="25">
        <f t="shared" si="0"/>
        <v>0</v>
      </c>
      <c r="L10" s="39" t="s">
        <v>106</v>
      </c>
    </row>
    <row r="11" spans="1:12" s="27" customFormat="1" ht="19.5" customHeight="1" x14ac:dyDescent="0.3">
      <c r="A11" s="28"/>
      <c r="B11" s="16"/>
      <c r="C11" s="17">
        <v>24</v>
      </c>
      <c r="D11" s="18" t="s">
        <v>4588</v>
      </c>
      <c r="E11" s="41">
        <v>10</v>
      </c>
      <c r="F11" s="42">
        <v>11.3</v>
      </c>
      <c r="G11" s="34"/>
      <c r="H11" s="35"/>
      <c r="I11" s="36"/>
      <c r="J11" s="37"/>
      <c r="K11" s="25">
        <f t="shared" si="0"/>
        <v>0</v>
      </c>
      <c r="L11" s="39" t="s">
        <v>106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 t="s">
        <v>4585</v>
      </c>
      <c r="B13" s="16" t="s">
        <v>4586</v>
      </c>
      <c r="C13" s="17">
        <v>24</v>
      </c>
      <c r="D13" s="18" t="s">
        <v>17</v>
      </c>
      <c r="E13" s="41">
        <v>105</v>
      </c>
      <c r="F13" s="42">
        <v>117.75</v>
      </c>
      <c r="G13" s="34" t="s">
        <v>18</v>
      </c>
      <c r="H13" s="35">
        <v>1981</v>
      </c>
      <c r="I13" s="36">
        <v>3353</v>
      </c>
      <c r="J13" s="37">
        <v>19</v>
      </c>
      <c r="K13" s="25">
        <f t="shared" si="0"/>
        <v>126.20356700000001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19</v>
      </c>
      <c r="H14" s="35">
        <v>1981</v>
      </c>
      <c r="I14" s="36">
        <v>3353</v>
      </c>
      <c r="J14" s="37">
        <v>19</v>
      </c>
      <c r="K14" s="25">
        <f t="shared" si="0"/>
        <v>126.20356700000001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25">
        <f t="shared" si="0"/>
        <v>0</v>
      </c>
      <c r="L15" s="39"/>
    </row>
    <row r="16" spans="1:12" s="27" customFormat="1" ht="19.5" customHeight="1" x14ac:dyDescent="0.3">
      <c r="A16" s="28" t="s">
        <v>4599</v>
      </c>
      <c r="B16" s="16" t="s">
        <v>4586</v>
      </c>
      <c r="C16" s="17">
        <v>24</v>
      </c>
      <c r="D16" s="18" t="s">
        <v>4588</v>
      </c>
      <c r="E16" s="41">
        <v>48</v>
      </c>
      <c r="F16" s="42">
        <v>42.12</v>
      </c>
      <c r="G16" s="34" t="s">
        <v>49</v>
      </c>
      <c r="H16" s="35">
        <v>1981</v>
      </c>
      <c r="I16" s="36">
        <v>3353</v>
      </c>
      <c r="J16" s="37">
        <v>7</v>
      </c>
      <c r="K16" s="25">
        <f t="shared" si="0"/>
        <v>46.496051000000001</v>
      </c>
      <c r="L16" s="39"/>
    </row>
    <row r="17" spans="1:12" s="27" customFormat="1" ht="19.5" customHeight="1" x14ac:dyDescent="0.3">
      <c r="A17" s="28"/>
      <c r="B17" s="16"/>
      <c r="C17" s="17">
        <v>24</v>
      </c>
      <c r="D17" s="18" t="s">
        <v>17</v>
      </c>
      <c r="E17" s="41">
        <v>54</v>
      </c>
      <c r="F17" s="42">
        <v>60.96</v>
      </c>
      <c r="G17" s="34" t="s">
        <v>49</v>
      </c>
      <c r="H17" s="35">
        <v>1829</v>
      </c>
      <c r="I17" s="36">
        <v>3353</v>
      </c>
      <c r="J17" s="37">
        <v>1</v>
      </c>
      <c r="K17" s="25">
        <f t="shared" si="0"/>
        <v>6.1326369999999999</v>
      </c>
      <c r="L17" s="39"/>
    </row>
    <row r="18" spans="1:12" s="27" customFormat="1" ht="19.5" customHeight="1" x14ac:dyDescent="0.3">
      <c r="A18" s="28"/>
      <c r="B18" s="16"/>
      <c r="C18" s="17">
        <v>24</v>
      </c>
      <c r="D18" s="18" t="s">
        <v>4588</v>
      </c>
      <c r="E18" s="41">
        <v>6</v>
      </c>
      <c r="F18" s="42">
        <v>7.02</v>
      </c>
      <c r="G18" s="34" t="s">
        <v>18</v>
      </c>
      <c r="H18" s="35">
        <v>1981</v>
      </c>
      <c r="I18" s="36">
        <v>3353</v>
      </c>
      <c r="J18" s="37">
        <v>10</v>
      </c>
      <c r="K18" s="25">
        <f t="shared" si="0"/>
        <v>66.422930000000008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 t="s">
        <v>70</v>
      </c>
      <c r="H19" s="35">
        <v>1981</v>
      </c>
      <c r="I19" s="36">
        <v>3353</v>
      </c>
      <c r="J19" s="37">
        <v>8</v>
      </c>
      <c r="K19" s="25">
        <f t="shared" si="0"/>
        <v>53.138344000000004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 t="s">
        <v>19</v>
      </c>
      <c r="H20" s="35">
        <v>1981</v>
      </c>
      <c r="I20" s="36">
        <v>3353</v>
      </c>
      <c r="J20" s="37">
        <v>10</v>
      </c>
      <c r="K20" s="25">
        <f t="shared" si="0"/>
        <v>66.422930000000008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 t="s">
        <v>4600</v>
      </c>
      <c r="B22" s="16" t="s">
        <v>2662</v>
      </c>
      <c r="C22" s="17">
        <v>22</v>
      </c>
      <c r="D22" s="18" t="s">
        <v>4601</v>
      </c>
      <c r="E22" s="41">
        <v>12</v>
      </c>
      <c r="F22" s="42">
        <v>28.32</v>
      </c>
      <c r="G22" s="34" t="s">
        <v>49</v>
      </c>
      <c r="H22" s="35">
        <v>1981</v>
      </c>
      <c r="I22" s="36">
        <v>3353</v>
      </c>
      <c r="J22" s="37">
        <v>15</v>
      </c>
      <c r="K22" s="25">
        <f t="shared" si="0"/>
        <v>99.634395000000012</v>
      </c>
      <c r="L22" s="39" t="s">
        <v>4631</v>
      </c>
    </row>
    <row r="23" spans="1:12" s="27" customFormat="1" ht="19.5" customHeight="1" x14ac:dyDescent="0.3">
      <c r="A23" s="28"/>
      <c r="B23" s="16"/>
      <c r="C23" s="17">
        <v>22</v>
      </c>
      <c r="D23" s="18" t="s">
        <v>4587</v>
      </c>
      <c r="E23" s="41">
        <v>6</v>
      </c>
      <c r="F23" s="42">
        <v>19.38</v>
      </c>
      <c r="G23" s="34" t="s">
        <v>4603</v>
      </c>
      <c r="H23" s="35">
        <v>1981</v>
      </c>
      <c r="I23" s="36">
        <v>3353</v>
      </c>
      <c r="J23" s="37">
        <v>20</v>
      </c>
      <c r="K23" s="25">
        <f t="shared" si="0"/>
        <v>132.84586000000002</v>
      </c>
      <c r="L23" s="39" t="s">
        <v>4631</v>
      </c>
    </row>
    <row r="24" spans="1:12" s="27" customFormat="1" ht="19.5" customHeight="1" x14ac:dyDescent="0.3">
      <c r="A24" s="28" t="s">
        <v>4602</v>
      </c>
      <c r="B24" s="16" t="s">
        <v>2662</v>
      </c>
      <c r="C24" s="17">
        <v>22</v>
      </c>
      <c r="D24" s="18" t="s">
        <v>4601</v>
      </c>
      <c r="E24" s="41">
        <v>12</v>
      </c>
      <c r="F24" s="42">
        <v>28.32</v>
      </c>
      <c r="G24" s="34"/>
      <c r="H24" s="35"/>
      <c r="I24" s="36"/>
      <c r="J24" s="37"/>
      <c r="K24" s="25">
        <f t="shared" si="0"/>
        <v>0</v>
      </c>
      <c r="L24" s="39" t="s">
        <v>4631</v>
      </c>
    </row>
    <row r="25" spans="1:12" s="27" customFormat="1" ht="19.5" customHeight="1" x14ac:dyDescent="0.3">
      <c r="A25" s="28"/>
      <c r="B25" s="16"/>
      <c r="C25" s="17">
        <v>22</v>
      </c>
      <c r="D25" s="18" t="s">
        <v>4587</v>
      </c>
      <c r="E25" s="41">
        <v>6</v>
      </c>
      <c r="F25" s="42">
        <v>19.38</v>
      </c>
      <c r="G25" s="34"/>
      <c r="H25" s="35"/>
      <c r="I25" s="36"/>
      <c r="J25" s="37"/>
      <c r="K25" s="25">
        <f t="shared" si="0"/>
        <v>0</v>
      </c>
      <c r="L25" s="39" t="s">
        <v>4631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29"/>
      <c r="C35" s="30"/>
      <c r="D35" s="31"/>
      <c r="E35" s="41"/>
      <c r="F35" s="42"/>
      <c r="G35" s="43"/>
      <c r="H35" s="35"/>
      <c r="I35" s="36"/>
      <c r="J35" s="37"/>
      <c r="K35" s="25">
        <f t="shared" si="0"/>
        <v>0</v>
      </c>
      <c r="L35" s="39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4604</v>
      </c>
      <c r="B37" s="45" t="s">
        <v>4510</v>
      </c>
      <c r="C37" s="46">
        <v>24</v>
      </c>
      <c r="D37" s="47" t="s">
        <v>4511</v>
      </c>
      <c r="E37" s="48">
        <v>98</v>
      </c>
      <c r="F37" s="49">
        <v>104.36</v>
      </c>
      <c r="G37" s="50" t="s">
        <v>18</v>
      </c>
      <c r="H37" s="51">
        <v>1829</v>
      </c>
      <c r="I37" s="45">
        <v>3353</v>
      </c>
      <c r="J37" s="52">
        <v>18</v>
      </c>
      <c r="K37" s="53">
        <f t="shared" si="0"/>
        <v>110.387466</v>
      </c>
      <c r="L37" s="54" t="s">
        <v>4605</v>
      </c>
    </row>
    <row r="38" spans="1:12" s="55" customFormat="1" ht="19.5" customHeight="1" x14ac:dyDescent="0.3">
      <c r="A38" s="44" t="s">
        <v>4583</v>
      </c>
      <c r="B38" s="45" t="s">
        <v>3134</v>
      </c>
      <c r="C38" s="46">
        <v>39</v>
      </c>
      <c r="D38" s="47" t="s">
        <v>3135</v>
      </c>
      <c r="E38" s="48">
        <v>63</v>
      </c>
      <c r="F38" s="49">
        <v>168.36</v>
      </c>
      <c r="G38" s="50" t="s">
        <v>56</v>
      </c>
      <c r="H38" s="51">
        <v>3048</v>
      </c>
      <c r="I38" s="45">
        <v>3658</v>
      </c>
      <c r="J38" s="52">
        <v>20</v>
      </c>
      <c r="K38" s="53">
        <f t="shared" si="0"/>
        <v>222.99168000000003</v>
      </c>
      <c r="L38" s="54" t="s">
        <v>4606</v>
      </c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 t="s">
        <v>56</v>
      </c>
      <c r="H39" s="51">
        <v>1829</v>
      </c>
      <c r="I39" s="45">
        <v>3353</v>
      </c>
      <c r="J39" s="52">
        <v>13</v>
      </c>
      <c r="K39" s="53">
        <f t="shared" si="0"/>
        <v>79.724281000000005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4607</v>
      </c>
      <c r="B41" s="45" t="s">
        <v>363</v>
      </c>
      <c r="C41" s="46">
        <v>43</v>
      </c>
      <c r="D41" s="47" t="s">
        <v>2802</v>
      </c>
      <c r="E41" s="48">
        <v>21</v>
      </c>
      <c r="F41" s="49">
        <v>25.36</v>
      </c>
      <c r="G41" s="50" t="s">
        <v>421</v>
      </c>
      <c r="H41" s="51">
        <v>2438</v>
      </c>
      <c r="I41" s="45">
        <v>3353</v>
      </c>
      <c r="J41" s="52">
        <v>7</v>
      </c>
      <c r="K41" s="53">
        <f t="shared" si="0"/>
        <v>57.222298000000002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 t="s">
        <v>18</v>
      </c>
      <c r="H42" s="51">
        <v>2438</v>
      </c>
      <c r="I42" s="45">
        <v>3353</v>
      </c>
      <c r="J42" s="52">
        <v>4</v>
      </c>
      <c r="K42" s="53">
        <f t="shared" si="0"/>
        <v>32.698456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4608</v>
      </c>
      <c r="B44" s="45" t="s">
        <v>908</v>
      </c>
      <c r="C44" s="46">
        <v>24</v>
      </c>
      <c r="D44" s="47" t="s">
        <v>89</v>
      </c>
      <c r="E44" s="48">
        <v>73</v>
      </c>
      <c r="F44" s="49">
        <v>74.239999999999995</v>
      </c>
      <c r="G44" s="50" t="s">
        <v>18</v>
      </c>
      <c r="H44" s="51">
        <v>2438</v>
      </c>
      <c r="I44" s="45">
        <v>3353</v>
      </c>
      <c r="J44" s="52">
        <v>12</v>
      </c>
      <c r="K44" s="53">
        <f t="shared" si="0"/>
        <v>98.095368000000008</v>
      </c>
      <c r="L44" s="54" t="s">
        <v>4611</v>
      </c>
    </row>
    <row r="45" spans="1:12" s="55" customFormat="1" ht="19.5" customHeight="1" x14ac:dyDescent="0.3">
      <c r="A45" s="44" t="s">
        <v>4609</v>
      </c>
      <c r="B45" s="45" t="s">
        <v>2013</v>
      </c>
      <c r="C45" s="46">
        <v>24</v>
      </c>
      <c r="D45" s="47" t="s">
        <v>89</v>
      </c>
      <c r="E45" s="48">
        <v>15</v>
      </c>
      <c r="F45" s="49">
        <v>4.2</v>
      </c>
      <c r="G45" s="50" t="s">
        <v>91</v>
      </c>
      <c r="H45" s="51">
        <v>2134</v>
      </c>
      <c r="I45" s="45">
        <v>3353</v>
      </c>
      <c r="J45" s="52">
        <v>12</v>
      </c>
      <c r="K45" s="53">
        <f t="shared" si="0"/>
        <v>85.863624000000002</v>
      </c>
      <c r="L45" s="54" t="s">
        <v>4611</v>
      </c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4609</v>
      </c>
      <c r="B48" s="45" t="s">
        <v>2013</v>
      </c>
      <c r="C48" s="46">
        <v>42</v>
      </c>
      <c r="D48" s="47" t="s">
        <v>4610</v>
      </c>
      <c r="E48" s="48">
        <v>15</v>
      </c>
      <c r="F48" s="49">
        <v>4.2</v>
      </c>
      <c r="G48" s="50" t="s">
        <v>822</v>
      </c>
      <c r="H48" s="51">
        <v>2134</v>
      </c>
      <c r="I48" s="45">
        <v>3353</v>
      </c>
      <c r="J48" s="52">
        <v>1</v>
      </c>
      <c r="K48" s="53">
        <f t="shared" si="0"/>
        <v>7.1553019999999998</v>
      </c>
      <c r="L48" s="54" t="s">
        <v>166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9" customFormat="1" ht="20.100000000000001" customHeight="1" x14ac:dyDescent="0.3">
      <c r="A67" s="44"/>
      <c r="B67" s="45"/>
      <c r="C67" s="46"/>
      <c r="D67" s="47"/>
      <c r="E67" s="56"/>
      <c r="F67" s="57"/>
      <c r="G67" s="50"/>
      <c r="H67" s="51"/>
      <c r="I67" s="45"/>
      <c r="J67" s="52"/>
      <c r="K67" s="53">
        <f t="shared" si="0"/>
        <v>0</v>
      </c>
      <c r="L67" s="58">
        <f>SUM(J36:J68)</f>
        <v>87</v>
      </c>
    </row>
    <row r="68" spans="1:12" s="59" customFormat="1" ht="20.100000000000001" customHeight="1" x14ac:dyDescent="0.3">
      <c r="A68" s="44"/>
      <c r="B68" s="45"/>
      <c r="C68" s="46"/>
      <c r="D68" s="47"/>
      <c r="E68" s="60"/>
      <c r="F68" s="61"/>
      <c r="G68" s="62"/>
      <c r="H68" s="51"/>
      <c r="I68" s="45"/>
      <c r="J68" s="63"/>
      <c r="K68" s="53">
        <f t="shared" si="0"/>
        <v>0</v>
      </c>
      <c r="L68" s="64">
        <f>SUM(K36:K68)</f>
        <v>694.13847500000008</v>
      </c>
    </row>
    <row r="69" spans="1:12" s="59" customFormat="1" ht="20.100000000000001" customHeight="1" thickBot="1" x14ac:dyDescent="0.35">
      <c r="A69" s="114"/>
      <c r="B69" s="115"/>
      <c r="C69" s="115"/>
      <c r="D69" s="115"/>
      <c r="E69" s="115"/>
      <c r="F69" s="115"/>
      <c r="G69" s="115"/>
      <c r="H69" s="115"/>
      <c r="I69" s="115"/>
      <c r="J69" s="65">
        <f>SUM(J7:J68)</f>
        <v>211</v>
      </c>
      <c r="K69" s="66">
        <f>SUM(K7:K68)</f>
        <v>1517.2731510000001</v>
      </c>
      <c r="L69" s="67"/>
    </row>
    <row r="70" spans="1:12" s="59" customFormat="1" ht="20.100000000000001" customHeight="1" thickTop="1" thickBot="1" x14ac:dyDescent="0.35">
      <c r="A70" s="116" t="s">
        <v>52</v>
      </c>
      <c r="B70" s="117"/>
      <c r="C70" s="68"/>
      <c r="D70" s="118">
        <f>J69</f>
        <v>211</v>
      </c>
      <c r="E70" s="119"/>
      <c r="F70" s="119"/>
      <c r="G70" s="120"/>
      <c r="H70" s="121"/>
      <c r="I70" s="121"/>
      <c r="J70" s="122"/>
      <c r="K70" s="119"/>
      <c r="L70" s="123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71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72"/>
      <c r="F76" s="5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5"/>
      <c r="G77" s="73"/>
      <c r="H77" s="5"/>
      <c r="I77" s="74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72"/>
      <c r="I81" s="72"/>
      <c r="J81" s="5"/>
      <c r="K81" s="5"/>
      <c r="L81" s="5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H89" s="72"/>
      <c r="I89" s="72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5" customFormat="1" ht="19.5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ht="19.5" customHeight="1" x14ac:dyDescent="0.3"/>
    <row r="98" spans="2:12" ht="19.5" customHeight="1" x14ac:dyDescent="0.3"/>
    <row r="99" spans="2:12" ht="19.5" customHeight="1" x14ac:dyDescent="0.3"/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>
        <v>2</v>
      </c>
      <c r="C160" s="5"/>
      <c r="D160" s="5"/>
      <c r="E160" s="5"/>
      <c r="F160" s="70"/>
      <c r="G160" s="5"/>
      <c r="H160" s="5"/>
      <c r="I160" s="5"/>
      <c r="J160" s="5"/>
      <c r="K160" s="5"/>
      <c r="L160" s="5"/>
    </row>
  </sheetData>
  <mergeCells count="30">
    <mergeCell ref="A85:B85"/>
    <mergeCell ref="A86:B86"/>
    <mergeCell ref="A76:B76"/>
    <mergeCell ref="A77:B77"/>
    <mergeCell ref="A78:B78"/>
    <mergeCell ref="A80:B80"/>
    <mergeCell ref="A81:B81"/>
    <mergeCell ref="A82:B82"/>
    <mergeCell ref="A75:B7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9:I69"/>
    <mergeCell ref="A70:B70"/>
    <mergeCell ref="D70:G70"/>
    <mergeCell ref="H70:J70"/>
    <mergeCell ref="K70:L70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L168"/>
  <sheetViews>
    <sheetView view="pageBreakPreview" topLeftCell="A16" zoomScale="85" zoomScaleNormal="100" zoomScaleSheetLayoutView="85" workbookViewId="0">
      <selection activeCell="A41" sqref="A4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46178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6" si="0">(H7/1000*I7/1000)*J7</f>
        <v>0</v>
      </c>
      <c r="L7" s="26">
        <f>SUM(J7:J46)</f>
        <v>158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SUM(K7:K46)</f>
        <v>1110.992305</v>
      </c>
    </row>
    <row r="9" spans="1:12" s="27" customFormat="1" ht="19.5" customHeight="1" x14ac:dyDescent="0.3">
      <c r="A9" s="28" t="s">
        <v>4534</v>
      </c>
      <c r="B9" s="16" t="s">
        <v>145</v>
      </c>
      <c r="C9" s="17">
        <v>24</v>
      </c>
      <c r="D9" s="18" t="s">
        <v>17</v>
      </c>
      <c r="E9" s="41">
        <v>66</v>
      </c>
      <c r="F9" s="42">
        <v>64.319999999999993</v>
      </c>
      <c r="G9" s="34" t="s">
        <v>18</v>
      </c>
      <c r="H9" s="35">
        <v>1981</v>
      </c>
      <c r="I9" s="36">
        <v>3353</v>
      </c>
      <c r="J9" s="37">
        <v>10</v>
      </c>
      <c r="K9" s="25">
        <f t="shared" si="0"/>
        <v>66.422930000000008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19</v>
      </c>
      <c r="H10" s="35">
        <v>1981</v>
      </c>
      <c r="I10" s="36">
        <v>3353</v>
      </c>
      <c r="J10" s="37">
        <v>10</v>
      </c>
      <c r="K10" s="25">
        <f t="shared" si="0"/>
        <v>66.422930000000008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4528</v>
      </c>
      <c r="B12" s="16" t="s">
        <v>145</v>
      </c>
      <c r="C12" s="17">
        <v>24</v>
      </c>
      <c r="D12" s="18" t="s">
        <v>17</v>
      </c>
      <c r="E12" s="41">
        <v>54</v>
      </c>
      <c r="F12" s="42">
        <v>68.88</v>
      </c>
      <c r="G12" s="34" t="s">
        <v>18</v>
      </c>
      <c r="H12" s="35">
        <v>1981</v>
      </c>
      <c r="I12" s="36">
        <v>3353</v>
      </c>
      <c r="J12" s="37">
        <v>11</v>
      </c>
      <c r="K12" s="25">
        <f t="shared" si="0"/>
        <v>73.065223000000003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19</v>
      </c>
      <c r="H13" s="35">
        <v>1981</v>
      </c>
      <c r="I13" s="36">
        <v>3353</v>
      </c>
      <c r="J13" s="37">
        <v>11</v>
      </c>
      <c r="K13" s="25">
        <f t="shared" si="0"/>
        <v>73.065223000000003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0"/>
        <v>0</v>
      </c>
      <c r="L14" s="39"/>
    </row>
    <row r="15" spans="1:12" s="27" customFormat="1" ht="19.5" customHeight="1" x14ac:dyDescent="0.3">
      <c r="A15" s="28" t="s">
        <v>4573</v>
      </c>
      <c r="B15" s="16" t="s">
        <v>939</v>
      </c>
      <c r="C15" s="17">
        <v>22</v>
      </c>
      <c r="D15" s="18" t="s">
        <v>4574</v>
      </c>
      <c r="E15" s="41">
        <v>9</v>
      </c>
      <c r="F15" s="42">
        <v>4.5999999999999996</v>
      </c>
      <c r="G15" s="34" t="s">
        <v>336</v>
      </c>
      <c r="H15" s="35">
        <v>1829</v>
      </c>
      <c r="I15" s="36">
        <v>3048</v>
      </c>
      <c r="J15" s="37">
        <v>1</v>
      </c>
      <c r="K15" s="25">
        <f t="shared" si="0"/>
        <v>5.5747919999999995</v>
      </c>
      <c r="L15" s="39"/>
    </row>
    <row r="16" spans="1:12" s="27" customFormat="1" ht="19.5" customHeight="1" x14ac:dyDescent="0.3">
      <c r="A16" s="28"/>
      <c r="B16" s="16"/>
      <c r="C16" s="17">
        <v>22</v>
      </c>
      <c r="D16" s="18" t="s">
        <v>4574</v>
      </c>
      <c r="E16" s="41">
        <v>4</v>
      </c>
      <c r="F16" s="42">
        <v>1.1200000000000001</v>
      </c>
      <c r="G16" s="34" t="s">
        <v>19</v>
      </c>
      <c r="H16" s="35">
        <v>1981</v>
      </c>
      <c r="I16" s="36">
        <v>3353</v>
      </c>
      <c r="J16" s="37">
        <v>2</v>
      </c>
      <c r="K16" s="25">
        <f t="shared" si="0"/>
        <v>13.284586000000001</v>
      </c>
      <c r="L16" s="39"/>
    </row>
    <row r="17" spans="1:12" s="27" customFormat="1" ht="19.5" customHeight="1" x14ac:dyDescent="0.3">
      <c r="A17" s="28"/>
      <c r="B17" s="16"/>
      <c r="C17" s="17">
        <v>22</v>
      </c>
      <c r="D17" s="18" t="s">
        <v>320</v>
      </c>
      <c r="E17" s="41">
        <v>9</v>
      </c>
      <c r="F17" s="42">
        <v>4.5999999999999996</v>
      </c>
      <c r="G17" s="34" t="s">
        <v>18</v>
      </c>
      <c r="H17" s="35">
        <v>1981</v>
      </c>
      <c r="I17" s="36">
        <v>3353</v>
      </c>
      <c r="J17" s="37">
        <v>1</v>
      </c>
      <c r="K17" s="25">
        <f t="shared" si="0"/>
        <v>6.6422930000000004</v>
      </c>
      <c r="L17" s="39"/>
    </row>
    <row r="18" spans="1:12" s="27" customFormat="1" ht="19.5" customHeight="1" x14ac:dyDescent="0.3">
      <c r="A18" s="28"/>
      <c r="B18" s="16"/>
      <c r="C18" s="17">
        <v>22</v>
      </c>
      <c r="D18" s="18" t="s">
        <v>3345</v>
      </c>
      <c r="E18" s="41">
        <v>4</v>
      </c>
      <c r="F18" s="42">
        <v>1.1200000000000001</v>
      </c>
      <c r="G18" s="34"/>
      <c r="H18" s="35"/>
      <c r="I18" s="36"/>
      <c r="J18" s="37"/>
      <c r="K18" s="25">
        <f t="shared" si="0"/>
        <v>0</v>
      </c>
      <c r="L18" s="39" t="s">
        <v>4575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0"/>
        <v>0</v>
      </c>
      <c r="L19" s="39"/>
    </row>
    <row r="20" spans="1:12" s="27" customFormat="1" ht="19.5" customHeight="1" x14ac:dyDescent="0.3">
      <c r="A20" s="28" t="s">
        <v>4576</v>
      </c>
      <c r="B20" s="16" t="s">
        <v>191</v>
      </c>
      <c r="C20" s="17">
        <v>16</v>
      </c>
      <c r="D20" s="18" t="s">
        <v>199</v>
      </c>
      <c r="E20" s="41">
        <v>1</v>
      </c>
      <c r="F20" s="42">
        <v>1.03</v>
      </c>
      <c r="G20" s="34"/>
      <c r="H20" s="35"/>
      <c r="I20" s="36"/>
      <c r="J20" s="37"/>
      <c r="K20" s="25">
        <f t="shared" si="0"/>
        <v>0</v>
      </c>
      <c r="L20" s="39" t="s">
        <v>31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 t="s">
        <v>4577</v>
      </c>
      <c r="B22" s="16" t="s">
        <v>4520</v>
      </c>
      <c r="C22" s="17">
        <v>26.76</v>
      </c>
      <c r="D22" s="18" t="s">
        <v>2352</v>
      </c>
      <c r="E22" s="41">
        <v>35</v>
      </c>
      <c r="F22" s="42">
        <v>54.15</v>
      </c>
      <c r="G22" s="34" t="s">
        <v>189</v>
      </c>
      <c r="H22" s="35">
        <v>2438</v>
      </c>
      <c r="I22" s="36">
        <v>3353</v>
      </c>
      <c r="J22" s="37">
        <v>27</v>
      </c>
      <c r="K22" s="25">
        <f t="shared" si="0"/>
        <v>220.71457799999999</v>
      </c>
      <c r="L22" s="39" t="s">
        <v>4579</v>
      </c>
    </row>
    <row r="23" spans="1:12" s="27" customFormat="1" ht="19.5" customHeight="1" x14ac:dyDescent="0.3">
      <c r="A23" s="28"/>
      <c r="B23" s="16"/>
      <c r="C23" s="17">
        <v>24</v>
      </c>
      <c r="D23" s="18" t="s">
        <v>2349</v>
      </c>
      <c r="E23" s="41">
        <v>40</v>
      </c>
      <c r="F23" s="42">
        <v>12.6</v>
      </c>
      <c r="G23" s="34" t="s">
        <v>189</v>
      </c>
      <c r="H23" s="35">
        <v>2590</v>
      </c>
      <c r="I23" s="36">
        <v>3048</v>
      </c>
      <c r="J23" s="37">
        <v>5</v>
      </c>
      <c r="K23" s="25">
        <f t="shared" si="0"/>
        <v>39.471599999999995</v>
      </c>
      <c r="L23" s="39" t="s">
        <v>4579</v>
      </c>
    </row>
    <row r="24" spans="1:12" s="27" customFormat="1" ht="19.5" customHeight="1" x14ac:dyDescent="0.3">
      <c r="A24" s="28"/>
      <c r="B24" s="16"/>
      <c r="C24" s="17">
        <v>24</v>
      </c>
      <c r="D24" s="18" t="s">
        <v>539</v>
      </c>
      <c r="E24" s="41">
        <v>75</v>
      </c>
      <c r="F24" s="42">
        <v>50.95</v>
      </c>
      <c r="G24" s="34" t="s">
        <v>822</v>
      </c>
      <c r="H24" s="35">
        <v>2438</v>
      </c>
      <c r="I24" s="36">
        <v>3048</v>
      </c>
      <c r="J24" s="37">
        <v>10</v>
      </c>
      <c r="K24" s="25">
        <f t="shared" si="0"/>
        <v>74.310240000000007</v>
      </c>
      <c r="L24" s="39" t="s">
        <v>4579</v>
      </c>
    </row>
    <row r="25" spans="1:12" s="27" customFormat="1" ht="19.5" customHeight="1" x14ac:dyDescent="0.3">
      <c r="A25" s="28" t="s">
        <v>4578</v>
      </c>
      <c r="B25" s="16" t="s">
        <v>4520</v>
      </c>
      <c r="C25" s="17">
        <v>24</v>
      </c>
      <c r="D25" s="18" t="s">
        <v>2349</v>
      </c>
      <c r="E25" s="41">
        <v>60</v>
      </c>
      <c r="F25" s="42">
        <v>82.3</v>
      </c>
      <c r="G25" s="34" t="s">
        <v>822</v>
      </c>
      <c r="H25" s="35">
        <v>2438</v>
      </c>
      <c r="I25" s="36">
        <v>3353</v>
      </c>
      <c r="J25" s="37">
        <v>5</v>
      </c>
      <c r="K25" s="25">
        <f t="shared" si="0"/>
        <v>40.873069999999998</v>
      </c>
      <c r="L25" s="39" t="s">
        <v>4579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 t="s">
        <v>4305</v>
      </c>
      <c r="B27" s="16" t="s">
        <v>2662</v>
      </c>
      <c r="C27" s="17">
        <v>22</v>
      </c>
      <c r="D27" s="18" t="s">
        <v>4584</v>
      </c>
      <c r="E27" s="41">
        <v>3</v>
      </c>
      <c r="F27" s="42">
        <v>9.69</v>
      </c>
      <c r="G27" s="34" t="s">
        <v>4399</v>
      </c>
      <c r="H27" s="35">
        <v>1981</v>
      </c>
      <c r="I27" s="36">
        <v>3353</v>
      </c>
      <c r="J27" s="37">
        <v>1</v>
      </c>
      <c r="K27" s="25">
        <f t="shared" si="0"/>
        <v>6.6422930000000004</v>
      </c>
      <c r="L27" s="39" t="s">
        <v>1283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 t="s">
        <v>57</v>
      </c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 t="s">
        <v>4585</v>
      </c>
      <c r="B30" s="16" t="s">
        <v>4586</v>
      </c>
      <c r="C30" s="17">
        <v>24</v>
      </c>
      <c r="D30" s="18" t="s">
        <v>4587</v>
      </c>
      <c r="E30" s="41">
        <v>5</v>
      </c>
      <c r="F30" s="42">
        <v>16.649999999999999</v>
      </c>
      <c r="G30" s="34" t="s">
        <v>4589</v>
      </c>
      <c r="H30" s="35">
        <v>1981</v>
      </c>
      <c r="I30" s="36">
        <v>3353</v>
      </c>
      <c r="J30" s="37">
        <v>21</v>
      </c>
      <c r="K30" s="25">
        <f t="shared" si="0"/>
        <v>139.48815300000001</v>
      </c>
      <c r="L30" s="39" t="s">
        <v>4590</v>
      </c>
    </row>
    <row r="31" spans="1:12" s="27" customFormat="1" ht="19.5" customHeight="1" x14ac:dyDescent="0.3">
      <c r="A31" s="28"/>
      <c r="B31" s="16"/>
      <c r="C31" s="17">
        <v>24</v>
      </c>
      <c r="D31" s="18" t="s">
        <v>4588</v>
      </c>
      <c r="E31" s="41">
        <v>100</v>
      </c>
      <c r="F31" s="42">
        <v>101.1</v>
      </c>
      <c r="G31" s="34"/>
      <c r="H31" s="35"/>
      <c r="I31" s="36"/>
      <c r="J31" s="37"/>
      <c r="K31" s="25">
        <f t="shared" si="0"/>
        <v>0</v>
      </c>
      <c r="L31" s="39" t="s">
        <v>4590</v>
      </c>
    </row>
    <row r="32" spans="1:12" s="27" customFormat="1" ht="19.5" customHeight="1" x14ac:dyDescent="0.3">
      <c r="A32" s="28"/>
      <c r="B32" s="16"/>
      <c r="C32" s="17">
        <v>24</v>
      </c>
      <c r="D32" s="18" t="s">
        <v>4588</v>
      </c>
      <c r="E32" s="41">
        <v>10</v>
      </c>
      <c r="F32" s="42">
        <v>11.3</v>
      </c>
      <c r="G32" s="34"/>
      <c r="H32" s="35"/>
      <c r="I32" s="36"/>
      <c r="J32" s="37"/>
      <c r="K32" s="25">
        <f t="shared" si="0"/>
        <v>0</v>
      </c>
      <c r="L32" s="39" t="s">
        <v>4590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 t="s">
        <v>4591</v>
      </c>
      <c r="B34" s="16" t="s">
        <v>4586</v>
      </c>
      <c r="C34" s="17">
        <v>24</v>
      </c>
      <c r="D34" s="18" t="s">
        <v>4587</v>
      </c>
      <c r="E34" s="41">
        <v>6</v>
      </c>
      <c r="F34" s="42">
        <v>18.84</v>
      </c>
      <c r="G34" s="34" t="s">
        <v>4589</v>
      </c>
      <c r="H34" s="35">
        <v>1981</v>
      </c>
      <c r="I34" s="36">
        <v>3353</v>
      </c>
      <c r="J34" s="37">
        <v>3</v>
      </c>
      <c r="K34" s="25">
        <f t="shared" si="0"/>
        <v>19.926879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 t="s">
        <v>4592</v>
      </c>
      <c r="H35" s="35">
        <v>1981</v>
      </c>
      <c r="I35" s="36">
        <v>3353</v>
      </c>
      <c r="J35" s="37">
        <v>3</v>
      </c>
      <c r="K35" s="25">
        <f t="shared" si="0"/>
        <v>19.926879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 t="s">
        <v>4593</v>
      </c>
      <c r="B37" s="16" t="s">
        <v>4586</v>
      </c>
      <c r="C37" s="17">
        <v>24</v>
      </c>
      <c r="D37" s="18" t="s">
        <v>4594</v>
      </c>
      <c r="E37" s="41">
        <v>90</v>
      </c>
      <c r="F37" s="42">
        <v>114.8</v>
      </c>
      <c r="G37" s="34" t="s">
        <v>4595</v>
      </c>
      <c r="H37" s="35">
        <v>1981</v>
      </c>
      <c r="I37" s="36">
        <v>3353</v>
      </c>
      <c r="J37" s="37">
        <v>18</v>
      </c>
      <c r="K37" s="25">
        <f t="shared" si="0"/>
        <v>119.56127400000001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 t="s">
        <v>4595</v>
      </c>
      <c r="H38" s="35">
        <v>1981</v>
      </c>
      <c r="I38" s="36">
        <v>3048</v>
      </c>
      <c r="J38" s="37">
        <v>1</v>
      </c>
      <c r="K38" s="25">
        <f t="shared" si="0"/>
        <v>6.038088000000001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 t="s">
        <v>19</v>
      </c>
      <c r="H39" s="35">
        <v>1981</v>
      </c>
      <c r="I39" s="36">
        <v>3353</v>
      </c>
      <c r="J39" s="37">
        <v>18</v>
      </c>
      <c r="K39" s="25">
        <f t="shared" si="0"/>
        <v>119.56127400000001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ref="K40:K44" si="1">(H40/1000*I40/1000)*J40</f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1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1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1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1"/>
        <v>0</v>
      </c>
      <c r="L44" s="39"/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25">
        <f t="shared" si="0"/>
        <v>0</v>
      </c>
      <c r="L45" s="39"/>
    </row>
    <row r="46" spans="1:12" s="27" customFormat="1" ht="19.5" customHeight="1" x14ac:dyDescent="0.3">
      <c r="A46" s="28"/>
      <c r="B46" s="29"/>
      <c r="C46" s="30"/>
      <c r="D46" s="31"/>
      <c r="E46" s="41"/>
      <c r="F46" s="42"/>
      <c r="G46" s="43"/>
      <c r="H46" s="35"/>
      <c r="I46" s="36"/>
      <c r="J46" s="37"/>
      <c r="K46" s="25">
        <f t="shared" si="0"/>
        <v>0</v>
      </c>
      <c r="L46" s="39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4085</v>
      </c>
      <c r="B48" s="45" t="s">
        <v>3872</v>
      </c>
      <c r="C48" s="46">
        <v>24</v>
      </c>
      <c r="D48" s="47" t="s">
        <v>2186</v>
      </c>
      <c r="E48" s="48">
        <v>5</v>
      </c>
      <c r="F48" s="49">
        <v>9.99</v>
      </c>
      <c r="G48" s="50" t="s">
        <v>18</v>
      </c>
      <c r="H48" s="51">
        <v>2286</v>
      </c>
      <c r="I48" s="45">
        <v>3048</v>
      </c>
      <c r="J48" s="52">
        <v>2</v>
      </c>
      <c r="K48" s="53">
        <f t="shared" si="0"/>
        <v>13.935456</v>
      </c>
      <c r="L48" s="54" t="s">
        <v>4581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4514</v>
      </c>
      <c r="B50" s="45" t="s">
        <v>4568</v>
      </c>
      <c r="C50" s="46">
        <v>24</v>
      </c>
      <c r="D50" s="47" t="s">
        <v>501</v>
      </c>
      <c r="E50" s="48">
        <v>149</v>
      </c>
      <c r="F50" s="49">
        <v>191.49</v>
      </c>
      <c r="G50" s="50" t="s">
        <v>56</v>
      </c>
      <c r="H50" s="51">
        <v>2438</v>
      </c>
      <c r="I50" s="45">
        <v>3353</v>
      </c>
      <c r="J50" s="52">
        <v>14</v>
      </c>
      <c r="K50" s="53">
        <f t="shared" si="0"/>
        <v>114.444596</v>
      </c>
      <c r="L50" s="54" t="s">
        <v>106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 t="s">
        <v>56</v>
      </c>
      <c r="H51" s="51">
        <v>1829</v>
      </c>
      <c r="I51" s="45">
        <v>3353</v>
      </c>
      <c r="J51" s="52">
        <v>15</v>
      </c>
      <c r="K51" s="53">
        <f t="shared" si="0"/>
        <v>91.989554999999996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4509</v>
      </c>
      <c r="B53" s="45" t="s">
        <v>4510</v>
      </c>
      <c r="C53" s="46">
        <v>24</v>
      </c>
      <c r="D53" s="47" t="s">
        <v>4511</v>
      </c>
      <c r="E53" s="48">
        <v>98</v>
      </c>
      <c r="F53" s="49">
        <v>104.36</v>
      </c>
      <c r="G53" s="50" t="s">
        <v>56</v>
      </c>
      <c r="H53" s="51">
        <v>1829</v>
      </c>
      <c r="I53" s="45">
        <v>3353</v>
      </c>
      <c r="J53" s="52">
        <v>18</v>
      </c>
      <c r="K53" s="53">
        <f t="shared" si="0"/>
        <v>110.387466</v>
      </c>
      <c r="L53" s="54" t="s">
        <v>106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4582</v>
      </c>
      <c r="B55" s="45" t="s">
        <v>4568</v>
      </c>
      <c r="C55" s="46">
        <v>24</v>
      </c>
      <c r="D55" s="47" t="s">
        <v>501</v>
      </c>
      <c r="E55" s="48">
        <v>144</v>
      </c>
      <c r="F55" s="49">
        <v>182.47</v>
      </c>
      <c r="G55" s="50" t="s">
        <v>56</v>
      </c>
      <c r="H55" s="51">
        <v>1829</v>
      </c>
      <c r="I55" s="45">
        <v>3353</v>
      </c>
      <c r="J55" s="52">
        <v>27</v>
      </c>
      <c r="K55" s="53">
        <f t="shared" si="0"/>
        <v>165.581199</v>
      </c>
      <c r="L55" s="54" t="s">
        <v>4596</v>
      </c>
    </row>
    <row r="56" spans="1:12" s="55" customFormat="1" ht="19.5" customHeight="1" x14ac:dyDescent="0.3">
      <c r="A56" s="44" t="s">
        <v>4583</v>
      </c>
      <c r="B56" s="45" t="s">
        <v>3134</v>
      </c>
      <c r="C56" s="46">
        <v>39</v>
      </c>
      <c r="D56" s="47" t="s">
        <v>3135</v>
      </c>
      <c r="E56" s="48">
        <v>63</v>
      </c>
      <c r="F56" s="49">
        <v>168.36</v>
      </c>
      <c r="G56" s="50" t="s">
        <v>56</v>
      </c>
      <c r="H56" s="51">
        <v>3048</v>
      </c>
      <c r="I56" s="45">
        <v>3658</v>
      </c>
      <c r="J56" s="52">
        <v>20</v>
      </c>
      <c r="K56" s="53">
        <f t="shared" si="0"/>
        <v>222.99168000000003</v>
      </c>
      <c r="L56" s="54" t="s">
        <v>4597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57</v>
      </c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4582</v>
      </c>
      <c r="B59" s="45" t="s">
        <v>4568</v>
      </c>
      <c r="C59" s="46">
        <v>24</v>
      </c>
      <c r="D59" s="47" t="s">
        <v>501</v>
      </c>
      <c r="E59" s="48">
        <v>144</v>
      </c>
      <c r="F59" s="49">
        <v>182.47</v>
      </c>
      <c r="G59" s="50" t="s">
        <v>4595</v>
      </c>
      <c r="H59" s="51">
        <v>2590</v>
      </c>
      <c r="I59" s="45">
        <v>3353</v>
      </c>
      <c r="J59" s="52">
        <v>47</v>
      </c>
      <c r="K59" s="53">
        <f t="shared" si="0"/>
        <v>408.16068999999993</v>
      </c>
      <c r="L59" s="54" t="s">
        <v>4598</v>
      </c>
    </row>
    <row r="60" spans="1:12" s="55" customFormat="1" ht="19.5" customHeight="1" x14ac:dyDescent="0.3">
      <c r="A60" s="44" t="s">
        <v>4583</v>
      </c>
      <c r="B60" s="45" t="s">
        <v>3134</v>
      </c>
      <c r="C60" s="46">
        <v>39</v>
      </c>
      <c r="D60" s="47" t="s">
        <v>3135</v>
      </c>
      <c r="E60" s="48">
        <v>63</v>
      </c>
      <c r="F60" s="49">
        <v>168.36</v>
      </c>
      <c r="G60" s="50"/>
      <c r="H60" s="51"/>
      <c r="I60" s="45"/>
      <c r="J60" s="52"/>
      <c r="K60" s="53">
        <f t="shared" si="0"/>
        <v>0</v>
      </c>
      <c r="L60" s="54" t="s">
        <v>4598</v>
      </c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9" customFormat="1" ht="20.100000000000001" customHeight="1" x14ac:dyDescent="0.3">
      <c r="A75" s="44"/>
      <c r="B75" s="45"/>
      <c r="C75" s="46"/>
      <c r="D75" s="47"/>
      <c r="E75" s="56"/>
      <c r="F75" s="57"/>
      <c r="G75" s="50"/>
      <c r="H75" s="51"/>
      <c r="I75" s="45"/>
      <c r="J75" s="52"/>
      <c r="K75" s="53">
        <f t="shared" si="0"/>
        <v>0</v>
      </c>
      <c r="L75" s="58">
        <f>SUM(J47:J76)</f>
        <v>143</v>
      </c>
    </row>
    <row r="76" spans="1:12" s="59" customFormat="1" ht="20.100000000000001" customHeight="1" x14ac:dyDescent="0.3">
      <c r="A76" s="44"/>
      <c r="B76" s="45"/>
      <c r="C76" s="46"/>
      <c r="D76" s="47"/>
      <c r="E76" s="60"/>
      <c r="F76" s="61"/>
      <c r="G76" s="62"/>
      <c r="H76" s="51"/>
      <c r="I76" s="45"/>
      <c r="J76" s="63"/>
      <c r="K76" s="53">
        <f t="shared" si="0"/>
        <v>0</v>
      </c>
      <c r="L76" s="64">
        <f>SUM(K47:K76)</f>
        <v>1127.490642</v>
      </c>
    </row>
    <row r="77" spans="1:12" s="59" customFormat="1" ht="20.100000000000001" customHeight="1" thickBot="1" x14ac:dyDescent="0.35">
      <c r="A77" s="114"/>
      <c r="B77" s="115"/>
      <c r="C77" s="115"/>
      <c r="D77" s="115"/>
      <c r="E77" s="115"/>
      <c r="F77" s="115"/>
      <c r="G77" s="115"/>
      <c r="H77" s="115"/>
      <c r="I77" s="115"/>
      <c r="J77" s="65">
        <f>SUM(J7:J76)</f>
        <v>301</v>
      </c>
      <c r="K77" s="66">
        <f>SUM(K7:K76)</f>
        <v>2238.4829469999995</v>
      </c>
      <c r="L77" s="67"/>
    </row>
    <row r="78" spans="1:12" s="59" customFormat="1" ht="20.100000000000001" customHeight="1" thickTop="1" thickBot="1" x14ac:dyDescent="0.35">
      <c r="A78" s="116" t="s">
        <v>52</v>
      </c>
      <c r="B78" s="117"/>
      <c r="C78" s="68"/>
      <c r="D78" s="118">
        <f>J77</f>
        <v>301</v>
      </c>
      <c r="E78" s="119"/>
      <c r="F78" s="119"/>
      <c r="G78" s="120"/>
      <c r="H78" s="121"/>
      <c r="I78" s="121"/>
      <c r="J78" s="122"/>
      <c r="K78" s="119"/>
      <c r="L78" s="123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71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72"/>
      <c r="F84" s="5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5"/>
      <c r="G85" s="73"/>
      <c r="H85" s="5"/>
      <c r="I85" s="74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70"/>
      <c r="G89" s="5"/>
      <c r="H89" s="72"/>
      <c r="I89" s="72"/>
      <c r="J89" s="5"/>
      <c r="K89" s="5"/>
      <c r="L89" s="5"/>
    </row>
    <row r="90" spans="1:12" ht="20.100000000000001" customHeight="1" x14ac:dyDescent="0.3">
      <c r="A90" s="113"/>
      <c r="B90" s="113"/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A93" s="113"/>
      <c r="B93" s="113"/>
      <c r="H93" s="72"/>
      <c r="I93" s="72"/>
    </row>
    <row r="94" spans="1:12" ht="20.100000000000001" customHeight="1" x14ac:dyDescent="0.3">
      <c r="A94" s="113"/>
      <c r="B94" s="113"/>
      <c r="H94" s="72"/>
      <c r="I94" s="72"/>
    </row>
    <row r="95" spans="1:12" ht="20.100000000000001" customHeight="1" x14ac:dyDescent="0.3">
      <c r="H95" s="72"/>
      <c r="I95" s="72"/>
    </row>
    <row r="96" spans="1:12" ht="20.100000000000001" customHeight="1" x14ac:dyDescent="0.3">
      <c r="H96" s="72"/>
      <c r="I96" s="72"/>
    </row>
    <row r="97" spans="1:12" ht="20.100000000000001" customHeight="1" x14ac:dyDescent="0.3">
      <c r="H97" s="72"/>
      <c r="I97" s="72"/>
    </row>
    <row r="98" spans="1:12" s="72" customFormat="1" ht="20.100000000000001" customHeight="1" x14ac:dyDescent="0.3">
      <c r="A98" s="69"/>
      <c r="B98" s="5"/>
      <c r="C98" s="5"/>
      <c r="D98" s="5"/>
      <c r="E98" s="5"/>
      <c r="F98" s="70"/>
      <c r="G98" s="5"/>
      <c r="J98" s="5"/>
      <c r="K98" s="5"/>
      <c r="L98" s="5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5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5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5" customFormat="1" ht="19.5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2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2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ht="19.5" customHeight="1" x14ac:dyDescent="0.3"/>
    <row r="106" spans="1:12" ht="19.5" customHeight="1" x14ac:dyDescent="0.3"/>
    <row r="107" spans="1:12" ht="19.5" customHeight="1" x14ac:dyDescent="0.3"/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>
        <v>2</v>
      </c>
      <c r="C168" s="5"/>
      <c r="D168" s="5"/>
      <c r="E168" s="5"/>
      <c r="F168" s="70"/>
      <c r="G168" s="5"/>
      <c r="H168" s="5"/>
      <c r="I168" s="5"/>
      <c r="J168" s="5"/>
      <c r="K168" s="5"/>
      <c r="L168" s="5"/>
    </row>
  </sheetData>
  <mergeCells count="30">
    <mergeCell ref="A93:B93"/>
    <mergeCell ref="A94:B94"/>
    <mergeCell ref="A84:B84"/>
    <mergeCell ref="A85:B85"/>
    <mergeCell ref="A86:B86"/>
    <mergeCell ref="A88:B88"/>
    <mergeCell ref="A89:B89"/>
    <mergeCell ref="A90:B90"/>
    <mergeCell ref="A83:B83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7:I77"/>
    <mergeCell ref="A78:B78"/>
    <mergeCell ref="D78:G78"/>
    <mergeCell ref="H78:J78"/>
    <mergeCell ref="K78:L78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L176"/>
  <sheetViews>
    <sheetView view="pageBreakPreview" topLeftCell="A7" zoomScale="85" zoomScaleNormal="100" zoomScaleSheetLayoutView="85" workbookViewId="0">
      <selection activeCell="A29" sqref="A2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46177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4" si="0">(H7/1000*I7/1000)*J7</f>
        <v>0</v>
      </c>
      <c r="L7" s="26">
        <f>SUM(J7:J42)</f>
        <v>172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SUM(K7:K42)</f>
        <v>1258.7810450000002</v>
      </c>
    </row>
    <row r="9" spans="1:12" s="27" customFormat="1" ht="19.5" customHeight="1" x14ac:dyDescent="0.3">
      <c r="A9" s="28" t="s">
        <v>4562</v>
      </c>
      <c r="B9" s="16" t="s">
        <v>4516</v>
      </c>
      <c r="C9" s="17">
        <v>24</v>
      </c>
      <c r="D9" s="18" t="s">
        <v>4517</v>
      </c>
      <c r="E9" s="41">
        <v>1</v>
      </c>
      <c r="F9" s="42">
        <v>0.28999999999999998</v>
      </c>
      <c r="G9" s="34" t="s">
        <v>4518</v>
      </c>
      <c r="H9" s="35">
        <v>2134</v>
      </c>
      <c r="I9" s="36">
        <v>3353</v>
      </c>
      <c r="J9" s="37">
        <v>1</v>
      </c>
      <c r="K9" s="25">
        <f t="shared" si="0"/>
        <v>7.1553019999999998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>
        <f t="shared" si="0"/>
        <v>0</v>
      </c>
      <c r="L10" s="39"/>
    </row>
    <row r="11" spans="1:12" s="27" customFormat="1" ht="19.5" customHeight="1" x14ac:dyDescent="0.3">
      <c r="A11" s="28" t="s">
        <v>4519</v>
      </c>
      <c r="B11" s="16" t="s">
        <v>4520</v>
      </c>
      <c r="C11" s="17">
        <v>24</v>
      </c>
      <c r="D11" s="18" t="s">
        <v>4521</v>
      </c>
      <c r="E11" s="41">
        <v>72</v>
      </c>
      <c r="F11" s="42">
        <v>22.68</v>
      </c>
      <c r="G11" s="34" t="s">
        <v>4525</v>
      </c>
      <c r="H11" s="35">
        <v>2438</v>
      </c>
      <c r="I11" s="36">
        <v>3353</v>
      </c>
      <c r="J11" s="37">
        <v>57</v>
      </c>
      <c r="K11" s="25">
        <f t="shared" si="0"/>
        <v>465.95299799999998</v>
      </c>
      <c r="L11" s="39" t="s">
        <v>4527</v>
      </c>
    </row>
    <row r="12" spans="1:12" s="27" customFormat="1" ht="19.5" customHeight="1" x14ac:dyDescent="0.3">
      <c r="A12" s="28"/>
      <c r="B12" s="16"/>
      <c r="C12" s="17">
        <v>24</v>
      </c>
      <c r="D12" s="18" t="s">
        <v>4522</v>
      </c>
      <c r="E12" s="41">
        <v>135</v>
      </c>
      <c r="F12" s="42">
        <v>91.71</v>
      </c>
      <c r="G12" s="34"/>
      <c r="H12" s="35"/>
      <c r="I12" s="36"/>
      <c r="J12" s="37"/>
      <c r="K12" s="25">
        <f t="shared" si="0"/>
        <v>0</v>
      </c>
      <c r="L12" s="39" t="s">
        <v>4526</v>
      </c>
    </row>
    <row r="13" spans="1:12" s="27" customFormat="1" ht="19.5" customHeight="1" x14ac:dyDescent="0.3">
      <c r="A13" s="28" t="s">
        <v>4523</v>
      </c>
      <c r="B13" s="16" t="s">
        <v>4520</v>
      </c>
      <c r="C13" s="17">
        <v>24</v>
      </c>
      <c r="D13" s="18" t="s">
        <v>4521</v>
      </c>
      <c r="E13" s="41">
        <v>54</v>
      </c>
      <c r="F13" s="42">
        <v>74.069999999999993</v>
      </c>
      <c r="G13" s="34"/>
      <c r="H13" s="35"/>
      <c r="I13" s="36"/>
      <c r="J13" s="37"/>
      <c r="K13" s="25">
        <f t="shared" si="0"/>
        <v>0</v>
      </c>
      <c r="L13" s="39" t="s">
        <v>4527</v>
      </c>
    </row>
    <row r="14" spans="1:12" s="27" customFormat="1" ht="19.5" customHeight="1" x14ac:dyDescent="0.3">
      <c r="A14" s="28" t="s">
        <v>4524</v>
      </c>
      <c r="B14" s="16" t="s">
        <v>4520</v>
      </c>
      <c r="C14" s="17">
        <v>24</v>
      </c>
      <c r="D14" s="18" t="s">
        <v>4521</v>
      </c>
      <c r="E14" s="41">
        <v>54</v>
      </c>
      <c r="F14" s="42">
        <v>74.069999999999993</v>
      </c>
      <c r="G14" s="34"/>
      <c r="H14" s="35"/>
      <c r="I14" s="36"/>
      <c r="J14" s="37"/>
      <c r="K14" s="25">
        <f t="shared" si="0"/>
        <v>0</v>
      </c>
      <c r="L14" s="39" t="s">
        <v>4527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25">
        <f t="shared" si="0"/>
        <v>0</v>
      </c>
      <c r="L15" s="39"/>
    </row>
    <row r="16" spans="1:12" s="27" customFormat="1" ht="19.5" customHeight="1" x14ac:dyDescent="0.3">
      <c r="A16" s="28" t="s">
        <v>4528</v>
      </c>
      <c r="B16" s="16" t="s">
        <v>4529</v>
      </c>
      <c r="C16" s="17">
        <v>24</v>
      </c>
      <c r="D16" s="18" t="s">
        <v>4530</v>
      </c>
      <c r="E16" s="41">
        <v>6</v>
      </c>
      <c r="F16" s="42">
        <v>19.98</v>
      </c>
      <c r="G16" s="34" t="s">
        <v>4532</v>
      </c>
      <c r="H16" s="35">
        <v>1981</v>
      </c>
      <c r="I16" s="36">
        <v>3353</v>
      </c>
      <c r="J16" s="37">
        <v>12</v>
      </c>
      <c r="K16" s="25">
        <f t="shared" si="0"/>
        <v>79.707515999999998</v>
      </c>
      <c r="L16" s="39"/>
    </row>
    <row r="17" spans="1:12" s="27" customFormat="1" ht="19.5" customHeight="1" x14ac:dyDescent="0.3">
      <c r="A17" s="28"/>
      <c r="B17" s="16"/>
      <c r="C17" s="17">
        <v>24</v>
      </c>
      <c r="D17" s="18" t="s">
        <v>4531</v>
      </c>
      <c r="E17" s="41">
        <v>48</v>
      </c>
      <c r="F17" s="42">
        <v>48.9</v>
      </c>
      <c r="G17" s="34" t="s">
        <v>4533</v>
      </c>
      <c r="H17" s="35">
        <v>1981</v>
      </c>
      <c r="I17" s="36">
        <v>3353</v>
      </c>
      <c r="J17" s="37">
        <v>12</v>
      </c>
      <c r="K17" s="25">
        <f t="shared" si="0"/>
        <v>79.707515999999998</v>
      </c>
      <c r="L17" s="39"/>
    </row>
    <row r="18" spans="1:12" s="27" customFormat="1" ht="19.5" customHeight="1" x14ac:dyDescent="0.3">
      <c r="A18" s="28"/>
      <c r="B18" s="16"/>
      <c r="C18" s="17">
        <v>22</v>
      </c>
      <c r="D18" s="18" t="s">
        <v>4531</v>
      </c>
      <c r="E18" s="41">
        <v>6</v>
      </c>
      <c r="F18" s="42">
        <v>7.02</v>
      </c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0"/>
        <v>0</v>
      </c>
      <c r="L19" s="39"/>
    </row>
    <row r="20" spans="1:12" s="27" customFormat="1" ht="19.5" customHeight="1" x14ac:dyDescent="0.3">
      <c r="A20" s="28" t="s">
        <v>4534</v>
      </c>
      <c r="B20" s="16" t="s">
        <v>4529</v>
      </c>
      <c r="C20" s="17">
        <v>24</v>
      </c>
      <c r="D20" s="18" t="s">
        <v>4530</v>
      </c>
      <c r="E20" s="41">
        <v>6</v>
      </c>
      <c r="F20" s="42">
        <v>18.84</v>
      </c>
      <c r="G20" s="34" t="s">
        <v>4532</v>
      </c>
      <c r="H20" s="35">
        <v>1981</v>
      </c>
      <c r="I20" s="36">
        <v>3353</v>
      </c>
      <c r="J20" s="37">
        <v>11</v>
      </c>
      <c r="K20" s="25">
        <f t="shared" si="0"/>
        <v>73.065223000000003</v>
      </c>
      <c r="L20" s="39"/>
    </row>
    <row r="21" spans="1:12" s="27" customFormat="1" ht="19.5" customHeight="1" x14ac:dyDescent="0.3">
      <c r="A21" s="28"/>
      <c r="B21" s="16"/>
      <c r="C21" s="17">
        <v>24</v>
      </c>
      <c r="D21" s="18" t="s">
        <v>4531</v>
      </c>
      <c r="E21" s="41">
        <v>60</v>
      </c>
      <c r="F21" s="42">
        <v>45.48</v>
      </c>
      <c r="G21" s="34" t="s">
        <v>4533</v>
      </c>
      <c r="H21" s="35">
        <v>1981</v>
      </c>
      <c r="I21" s="36">
        <v>3353</v>
      </c>
      <c r="J21" s="37">
        <v>11</v>
      </c>
      <c r="K21" s="25">
        <f t="shared" si="0"/>
        <v>73.065223000000003</v>
      </c>
      <c r="L21" s="39"/>
    </row>
    <row r="22" spans="1:12" s="27" customFormat="1" ht="19.5" customHeight="1" x14ac:dyDescent="0.3">
      <c r="A22" s="28"/>
      <c r="B22" s="16"/>
      <c r="C22" s="17">
        <v>22</v>
      </c>
      <c r="D22" s="18" t="s">
        <v>4531</v>
      </c>
      <c r="E22" s="41">
        <v>6</v>
      </c>
      <c r="F22" s="42">
        <v>7.02</v>
      </c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0"/>
        <v>0</v>
      </c>
      <c r="L23" s="39"/>
    </row>
    <row r="24" spans="1:12" s="27" customFormat="1" ht="19.5" customHeight="1" x14ac:dyDescent="0.3">
      <c r="A24" s="28" t="s">
        <v>4535</v>
      </c>
      <c r="B24" s="16" t="s">
        <v>4529</v>
      </c>
      <c r="C24" s="17">
        <v>24</v>
      </c>
      <c r="D24" s="18" t="s">
        <v>4530</v>
      </c>
      <c r="E24" s="41">
        <v>10</v>
      </c>
      <c r="F24" s="42">
        <v>33.299999999999997</v>
      </c>
      <c r="G24" s="34" t="s">
        <v>4532</v>
      </c>
      <c r="H24" s="35">
        <v>1981</v>
      </c>
      <c r="I24" s="36">
        <v>3353</v>
      </c>
      <c r="J24" s="37">
        <v>21</v>
      </c>
      <c r="K24" s="25">
        <f t="shared" si="0"/>
        <v>139.48815300000001</v>
      </c>
      <c r="L24" s="39"/>
    </row>
    <row r="25" spans="1:12" s="27" customFormat="1" ht="19.5" customHeight="1" x14ac:dyDescent="0.3">
      <c r="A25" s="28"/>
      <c r="B25" s="16"/>
      <c r="C25" s="17">
        <v>24</v>
      </c>
      <c r="D25" s="18" t="s">
        <v>4531</v>
      </c>
      <c r="E25" s="41">
        <v>80</v>
      </c>
      <c r="F25" s="42">
        <v>81.5</v>
      </c>
      <c r="G25" s="34" t="s">
        <v>4533</v>
      </c>
      <c r="H25" s="35">
        <v>1981</v>
      </c>
      <c r="I25" s="36">
        <v>3353</v>
      </c>
      <c r="J25" s="37">
        <v>20</v>
      </c>
      <c r="K25" s="25">
        <f t="shared" si="0"/>
        <v>132.84586000000002</v>
      </c>
      <c r="L25" s="39"/>
    </row>
    <row r="26" spans="1:12" s="27" customFormat="1" ht="19.5" customHeight="1" x14ac:dyDescent="0.3">
      <c r="A26" s="28"/>
      <c r="B26" s="16"/>
      <c r="C26" s="17">
        <v>22</v>
      </c>
      <c r="D26" s="18" t="s">
        <v>4531</v>
      </c>
      <c r="E26" s="41">
        <v>10</v>
      </c>
      <c r="F26" s="42">
        <v>11.7</v>
      </c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 t="s">
        <v>4536</v>
      </c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 t="s">
        <v>4563</v>
      </c>
      <c r="B29" s="16" t="s">
        <v>4520</v>
      </c>
      <c r="C29" s="17">
        <v>26.76</v>
      </c>
      <c r="D29" s="18" t="s">
        <v>4564</v>
      </c>
      <c r="E29" s="41">
        <v>63</v>
      </c>
      <c r="F29" s="42">
        <v>97.47</v>
      </c>
      <c r="G29" s="34" t="s">
        <v>4565</v>
      </c>
      <c r="H29" s="35">
        <v>2590</v>
      </c>
      <c r="I29" s="36">
        <v>3048</v>
      </c>
      <c r="J29" s="37">
        <v>1</v>
      </c>
      <c r="K29" s="25">
        <f t="shared" si="0"/>
        <v>7.8943199999999996</v>
      </c>
      <c r="L29" s="39" t="s">
        <v>4580</v>
      </c>
    </row>
    <row r="30" spans="1:12" s="27" customFormat="1" ht="19.5" customHeight="1" x14ac:dyDescent="0.3">
      <c r="A30" s="28"/>
      <c r="B30" s="16"/>
      <c r="C30" s="17">
        <v>24</v>
      </c>
      <c r="D30" s="18" t="s">
        <v>539</v>
      </c>
      <c r="E30" s="41">
        <v>135</v>
      </c>
      <c r="F30" s="42">
        <v>91.71</v>
      </c>
      <c r="G30" s="34" t="s">
        <v>4565</v>
      </c>
      <c r="H30" s="35">
        <v>2438</v>
      </c>
      <c r="I30" s="36">
        <v>3048</v>
      </c>
      <c r="J30" s="37">
        <v>17</v>
      </c>
      <c r="K30" s="25">
        <f t="shared" ref="K30:K35" si="1">(H30/1000*I30/1000)*J30</f>
        <v>126.32740800000002</v>
      </c>
      <c r="L30" s="39" t="s">
        <v>4580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 t="s">
        <v>822</v>
      </c>
      <c r="H31" s="35">
        <v>2438</v>
      </c>
      <c r="I31" s="36">
        <v>3353</v>
      </c>
      <c r="J31" s="37">
        <v>9</v>
      </c>
      <c r="K31" s="25">
        <f t="shared" si="1"/>
        <v>73.571526000000006</v>
      </c>
      <c r="L31" s="39" t="s">
        <v>4580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1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1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1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1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29"/>
      <c r="C42" s="30"/>
      <c r="D42" s="31"/>
      <c r="E42" s="41"/>
      <c r="F42" s="42"/>
      <c r="G42" s="43"/>
      <c r="H42" s="35"/>
      <c r="I42" s="36"/>
      <c r="J42" s="37"/>
      <c r="K42" s="25">
        <f t="shared" si="0"/>
        <v>0</v>
      </c>
      <c r="L42" s="39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4537</v>
      </c>
      <c r="B44" s="45" t="s">
        <v>4516</v>
      </c>
      <c r="C44" s="46">
        <v>43</v>
      </c>
      <c r="D44" s="47" t="s">
        <v>4538</v>
      </c>
      <c r="E44" s="48">
        <v>2</v>
      </c>
      <c r="F44" s="49">
        <v>5.35</v>
      </c>
      <c r="G44" s="50" t="s">
        <v>4539</v>
      </c>
      <c r="H44" s="51">
        <v>2438</v>
      </c>
      <c r="I44" s="45">
        <v>3353</v>
      </c>
      <c r="J44" s="52">
        <v>1</v>
      </c>
      <c r="K44" s="53">
        <f t="shared" si="0"/>
        <v>8.174614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4539</v>
      </c>
      <c r="H45" s="51">
        <v>2134</v>
      </c>
      <c r="I45" s="45">
        <v>3048</v>
      </c>
      <c r="J45" s="52">
        <v>1</v>
      </c>
      <c r="K45" s="53">
        <f t="shared" si="0"/>
        <v>6.5044319999999995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 t="s">
        <v>4540</v>
      </c>
      <c r="H46" s="51">
        <v>1981</v>
      </c>
      <c r="I46" s="45">
        <v>3353</v>
      </c>
      <c r="J46" s="52">
        <v>1</v>
      </c>
      <c r="K46" s="53">
        <f t="shared" si="0"/>
        <v>6.6422930000000004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4541</v>
      </c>
      <c r="B48" s="45" t="s">
        <v>4542</v>
      </c>
      <c r="C48" s="46">
        <v>24</v>
      </c>
      <c r="D48" s="47" t="s">
        <v>4543</v>
      </c>
      <c r="E48" s="48">
        <v>10</v>
      </c>
      <c r="F48" s="49">
        <v>13.04</v>
      </c>
      <c r="G48" s="50" t="s">
        <v>4540</v>
      </c>
      <c r="H48" s="51">
        <v>2438</v>
      </c>
      <c r="I48" s="45">
        <v>3353</v>
      </c>
      <c r="J48" s="52">
        <v>2</v>
      </c>
      <c r="K48" s="53">
        <f t="shared" si="0"/>
        <v>16.349228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4544</v>
      </c>
      <c r="H49" s="51">
        <v>2438</v>
      </c>
      <c r="I49" s="45">
        <v>3353</v>
      </c>
      <c r="J49" s="52">
        <v>2</v>
      </c>
      <c r="K49" s="53">
        <f t="shared" si="0"/>
        <v>16.349228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4545</v>
      </c>
      <c r="B51" s="45" t="s">
        <v>4546</v>
      </c>
      <c r="C51" s="46">
        <v>24</v>
      </c>
      <c r="D51" s="47" t="s">
        <v>4547</v>
      </c>
      <c r="E51" s="48">
        <v>1</v>
      </c>
      <c r="F51" s="49">
        <v>0.83</v>
      </c>
      <c r="G51" s="50" t="s">
        <v>4550</v>
      </c>
      <c r="H51" s="51">
        <v>1981</v>
      </c>
      <c r="I51" s="45">
        <v>3353</v>
      </c>
      <c r="J51" s="52">
        <v>4</v>
      </c>
      <c r="K51" s="53">
        <f t="shared" si="0"/>
        <v>26.569172000000002</v>
      </c>
      <c r="L51" s="54" t="s">
        <v>4551</v>
      </c>
    </row>
    <row r="52" spans="1:12" s="55" customFormat="1" ht="19.5" customHeight="1" x14ac:dyDescent="0.3">
      <c r="A52" s="44" t="s">
        <v>4548</v>
      </c>
      <c r="B52" s="45" t="s">
        <v>4546</v>
      </c>
      <c r="C52" s="46">
        <v>24</v>
      </c>
      <c r="D52" s="47" t="s">
        <v>4547</v>
      </c>
      <c r="E52" s="48">
        <v>13</v>
      </c>
      <c r="F52" s="49">
        <v>17.649999999999999</v>
      </c>
      <c r="G52" s="50"/>
      <c r="H52" s="51"/>
      <c r="I52" s="45"/>
      <c r="J52" s="52"/>
      <c r="K52" s="53">
        <f t="shared" si="0"/>
        <v>0</v>
      </c>
      <c r="L52" s="54" t="s">
        <v>4551</v>
      </c>
    </row>
    <row r="53" spans="1:12" s="55" customFormat="1" ht="19.5" customHeight="1" x14ac:dyDescent="0.3">
      <c r="A53" s="44" t="s">
        <v>4549</v>
      </c>
      <c r="B53" s="45" t="s">
        <v>4546</v>
      </c>
      <c r="C53" s="46">
        <v>24</v>
      </c>
      <c r="D53" s="47" t="s">
        <v>4547</v>
      </c>
      <c r="E53" s="48">
        <v>2</v>
      </c>
      <c r="F53" s="49">
        <v>0.78</v>
      </c>
      <c r="G53" s="50"/>
      <c r="H53" s="51"/>
      <c r="I53" s="45"/>
      <c r="J53" s="52"/>
      <c r="K53" s="53">
        <f t="shared" si="0"/>
        <v>0</v>
      </c>
      <c r="L53" s="54" t="s">
        <v>4551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4548</v>
      </c>
      <c r="B55" s="45" t="s">
        <v>4546</v>
      </c>
      <c r="C55" s="46">
        <v>24</v>
      </c>
      <c r="D55" s="47" t="s">
        <v>4547</v>
      </c>
      <c r="E55" s="48">
        <v>1</v>
      </c>
      <c r="F55" s="49">
        <v>1.41</v>
      </c>
      <c r="G55" s="50"/>
      <c r="H55" s="51"/>
      <c r="I55" s="45"/>
      <c r="J55" s="52"/>
      <c r="K55" s="53">
        <f t="shared" si="0"/>
        <v>0</v>
      </c>
      <c r="L55" s="54" t="s">
        <v>4552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4553</v>
      </c>
      <c r="B57" s="45" t="s">
        <v>4554</v>
      </c>
      <c r="C57" s="46">
        <v>24</v>
      </c>
      <c r="D57" s="47" t="s">
        <v>4555</v>
      </c>
      <c r="E57" s="48">
        <v>2</v>
      </c>
      <c r="F57" s="49">
        <v>1.03</v>
      </c>
      <c r="G57" s="50"/>
      <c r="H57" s="51"/>
      <c r="I57" s="45"/>
      <c r="J57" s="52"/>
      <c r="K57" s="53">
        <f t="shared" si="0"/>
        <v>0</v>
      </c>
      <c r="L57" s="54" t="s">
        <v>4556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4553</v>
      </c>
      <c r="B59" s="45" t="s">
        <v>4554</v>
      </c>
      <c r="C59" s="46">
        <v>24</v>
      </c>
      <c r="D59" s="47" t="s">
        <v>4555</v>
      </c>
      <c r="E59" s="48">
        <v>1</v>
      </c>
      <c r="F59" s="49">
        <v>0.38</v>
      </c>
      <c r="G59" s="50"/>
      <c r="H59" s="51"/>
      <c r="I59" s="45"/>
      <c r="J59" s="52"/>
      <c r="K59" s="53">
        <f t="shared" si="0"/>
        <v>0</v>
      </c>
      <c r="L59" s="54" t="s">
        <v>4557</v>
      </c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4558</v>
      </c>
      <c r="B61" s="45" t="s">
        <v>4554</v>
      </c>
      <c r="C61" s="46">
        <v>24</v>
      </c>
      <c r="D61" s="47" t="s">
        <v>4555</v>
      </c>
      <c r="E61" s="48">
        <v>2</v>
      </c>
      <c r="F61" s="49">
        <v>1.04</v>
      </c>
      <c r="G61" s="50"/>
      <c r="H61" s="51"/>
      <c r="I61" s="45"/>
      <c r="J61" s="52"/>
      <c r="K61" s="53">
        <f t="shared" si="0"/>
        <v>0</v>
      </c>
      <c r="L61" s="54" t="s">
        <v>4556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4559</v>
      </c>
      <c r="B63" s="45" t="s">
        <v>4546</v>
      </c>
      <c r="C63" s="46">
        <v>24</v>
      </c>
      <c r="D63" s="47" t="s">
        <v>4547</v>
      </c>
      <c r="E63" s="48">
        <v>2</v>
      </c>
      <c r="F63" s="49">
        <v>3.18</v>
      </c>
      <c r="G63" s="50"/>
      <c r="H63" s="51"/>
      <c r="I63" s="45"/>
      <c r="J63" s="52"/>
      <c r="K63" s="53">
        <f t="shared" si="0"/>
        <v>0</v>
      </c>
      <c r="L63" s="54" t="s">
        <v>4560</v>
      </c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4493</v>
      </c>
      <c r="B65" s="45" t="s">
        <v>1890</v>
      </c>
      <c r="C65" s="46">
        <v>28</v>
      </c>
      <c r="D65" s="47" t="s">
        <v>3771</v>
      </c>
      <c r="E65" s="48">
        <v>12</v>
      </c>
      <c r="F65" s="49">
        <v>5.52</v>
      </c>
      <c r="G65" s="50" t="s">
        <v>189</v>
      </c>
      <c r="H65" s="51">
        <v>2438</v>
      </c>
      <c r="I65" s="45">
        <v>3353</v>
      </c>
      <c r="J65" s="52">
        <v>20</v>
      </c>
      <c r="K65" s="53">
        <f t="shared" si="0"/>
        <v>163.49227999999999</v>
      </c>
      <c r="L65" s="54" t="s">
        <v>100</v>
      </c>
    </row>
    <row r="66" spans="1:12" s="55" customFormat="1" ht="19.5" customHeight="1" x14ac:dyDescent="0.3">
      <c r="A66" s="44"/>
      <c r="B66" s="45"/>
      <c r="C66" s="46">
        <v>28</v>
      </c>
      <c r="D66" s="47" t="s">
        <v>3771</v>
      </c>
      <c r="E66" s="48">
        <v>76</v>
      </c>
      <c r="F66" s="49">
        <v>153.73000000000002</v>
      </c>
      <c r="G66" s="50"/>
      <c r="H66" s="51"/>
      <c r="I66" s="45"/>
      <c r="J66" s="52"/>
      <c r="K66" s="53">
        <f t="shared" si="0"/>
        <v>0</v>
      </c>
      <c r="L66" s="54" t="s">
        <v>4561</v>
      </c>
    </row>
    <row r="67" spans="1:12" s="55" customFormat="1" ht="19.5" customHeight="1" x14ac:dyDescent="0.3">
      <c r="A67" s="44"/>
      <c r="B67" s="45"/>
      <c r="C67" s="46">
        <v>28</v>
      </c>
      <c r="D67" s="47" t="s">
        <v>4571</v>
      </c>
      <c r="E67" s="48">
        <v>41</v>
      </c>
      <c r="F67" s="49">
        <v>30.34</v>
      </c>
      <c r="G67" s="50"/>
      <c r="H67" s="51"/>
      <c r="I67" s="45"/>
      <c r="J67" s="52"/>
      <c r="K67" s="53"/>
      <c r="L67" s="54" t="s">
        <v>100</v>
      </c>
    </row>
    <row r="68" spans="1:12" s="55" customFormat="1" ht="19.5" customHeight="1" x14ac:dyDescent="0.3">
      <c r="A68" s="44" t="s">
        <v>4536</v>
      </c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4567</v>
      </c>
      <c r="B69" s="45" t="s">
        <v>4568</v>
      </c>
      <c r="C69" s="46">
        <v>24</v>
      </c>
      <c r="D69" s="47" t="s">
        <v>4569</v>
      </c>
      <c r="E69" s="48">
        <v>108</v>
      </c>
      <c r="F69" s="49">
        <v>116.56</v>
      </c>
      <c r="G69" s="50" t="s">
        <v>4570</v>
      </c>
      <c r="H69" s="51">
        <v>1829</v>
      </c>
      <c r="I69" s="45">
        <v>3353</v>
      </c>
      <c r="J69" s="52">
        <v>20</v>
      </c>
      <c r="K69" s="53">
        <f t="shared" ref="K69:K74" si="2">(H69/1000*I69/1000)*J69</f>
        <v>122.65273999999999</v>
      </c>
      <c r="L69" s="54" t="s">
        <v>4566</v>
      </c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2"/>
        <v>0</v>
      </c>
      <c r="L70" s="54"/>
    </row>
    <row r="71" spans="1:12" s="55" customFormat="1" ht="19.5" customHeight="1" x14ac:dyDescent="0.3">
      <c r="A71" s="44" t="s">
        <v>4493</v>
      </c>
      <c r="B71" s="45" t="s">
        <v>1890</v>
      </c>
      <c r="C71" s="46">
        <v>28</v>
      </c>
      <c r="D71" s="47" t="s">
        <v>3771</v>
      </c>
      <c r="E71" s="48">
        <v>12</v>
      </c>
      <c r="F71" s="49">
        <v>5.52</v>
      </c>
      <c r="G71" s="50" t="s">
        <v>4572</v>
      </c>
      <c r="H71" s="51">
        <v>2438</v>
      </c>
      <c r="I71" s="45">
        <v>3353</v>
      </c>
      <c r="J71" s="52">
        <v>51</v>
      </c>
      <c r="K71" s="53">
        <f t="shared" si="2"/>
        <v>416.90531399999998</v>
      </c>
      <c r="L71" s="54" t="s">
        <v>4566</v>
      </c>
    </row>
    <row r="72" spans="1:12" s="55" customFormat="1" ht="19.5" customHeight="1" x14ac:dyDescent="0.3">
      <c r="A72" s="44"/>
      <c r="B72" s="45"/>
      <c r="C72" s="46">
        <v>28</v>
      </c>
      <c r="D72" s="47" t="s">
        <v>3771</v>
      </c>
      <c r="E72" s="48">
        <v>165</v>
      </c>
      <c r="F72" s="49">
        <v>332.48</v>
      </c>
      <c r="G72" s="50"/>
      <c r="H72" s="51"/>
      <c r="I72" s="45"/>
      <c r="J72" s="52"/>
      <c r="K72" s="53">
        <f t="shared" si="2"/>
        <v>0</v>
      </c>
      <c r="L72" s="54"/>
    </row>
    <row r="73" spans="1:12" s="55" customFormat="1" ht="19.5" customHeight="1" x14ac:dyDescent="0.3">
      <c r="A73" s="44"/>
      <c r="B73" s="45"/>
      <c r="C73" s="46">
        <v>28</v>
      </c>
      <c r="D73" s="47" t="s">
        <v>4571</v>
      </c>
      <c r="E73" s="48">
        <v>41</v>
      </c>
      <c r="F73" s="49">
        <v>30.34</v>
      </c>
      <c r="G73" s="50"/>
      <c r="H73" s="51"/>
      <c r="I73" s="45"/>
      <c r="J73" s="52"/>
      <c r="K73" s="53">
        <f t="shared" si="2"/>
        <v>0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2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/>
      <c r="B80" s="45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9" customFormat="1" ht="20.100000000000001" customHeight="1" x14ac:dyDescent="0.3">
      <c r="A83" s="44"/>
      <c r="B83" s="45"/>
      <c r="C83" s="46"/>
      <c r="D83" s="47"/>
      <c r="E83" s="56"/>
      <c r="F83" s="57"/>
      <c r="G83" s="50"/>
      <c r="H83" s="51"/>
      <c r="I83" s="45"/>
      <c r="J83" s="52"/>
      <c r="K83" s="53">
        <f t="shared" si="0"/>
        <v>0</v>
      </c>
      <c r="L83" s="58">
        <f>SUM(J43:J84)</f>
        <v>102</v>
      </c>
    </row>
    <row r="84" spans="1:12" s="59" customFormat="1" ht="20.100000000000001" customHeight="1" x14ac:dyDescent="0.3">
      <c r="A84" s="44"/>
      <c r="B84" s="45"/>
      <c r="C84" s="46"/>
      <c r="D84" s="47"/>
      <c r="E84" s="60"/>
      <c r="F84" s="61"/>
      <c r="G84" s="62"/>
      <c r="H84" s="51"/>
      <c r="I84" s="45"/>
      <c r="J84" s="63"/>
      <c r="K84" s="53">
        <f t="shared" si="0"/>
        <v>0</v>
      </c>
      <c r="L84" s="64">
        <f>SUM(K43:K84)</f>
        <v>783.63930099999993</v>
      </c>
    </row>
    <row r="85" spans="1:12" s="59" customFormat="1" ht="20.100000000000001" customHeight="1" thickBot="1" x14ac:dyDescent="0.35">
      <c r="A85" s="114"/>
      <c r="B85" s="115"/>
      <c r="C85" s="115"/>
      <c r="D85" s="115"/>
      <c r="E85" s="115"/>
      <c r="F85" s="115"/>
      <c r="G85" s="115"/>
      <c r="H85" s="115"/>
      <c r="I85" s="115"/>
      <c r="J85" s="65">
        <f>SUM(J7:J84)</f>
        <v>274</v>
      </c>
      <c r="K85" s="66">
        <f>SUM(K7:K84)</f>
        <v>2042.4203460000003</v>
      </c>
      <c r="L85" s="67"/>
    </row>
    <row r="86" spans="1:12" s="59" customFormat="1" ht="20.100000000000001" customHeight="1" thickTop="1" thickBot="1" x14ac:dyDescent="0.35">
      <c r="A86" s="116" t="s">
        <v>52</v>
      </c>
      <c r="B86" s="117"/>
      <c r="C86" s="68"/>
      <c r="D86" s="118">
        <f>J85</f>
        <v>274</v>
      </c>
      <c r="E86" s="119"/>
      <c r="F86" s="119"/>
      <c r="G86" s="120"/>
      <c r="H86" s="121"/>
      <c r="I86" s="121"/>
      <c r="J86" s="122"/>
      <c r="K86" s="119"/>
      <c r="L86" s="123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71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72"/>
      <c r="F92" s="5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5"/>
      <c r="G93" s="73"/>
      <c r="H93" s="5"/>
      <c r="I93" s="74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72"/>
      <c r="I97" s="72"/>
      <c r="J97" s="5"/>
      <c r="K97" s="5"/>
      <c r="L97" s="5"/>
    </row>
    <row r="98" spans="1:12" ht="20.100000000000001" customHeight="1" x14ac:dyDescent="0.3">
      <c r="A98" s="113"/>
      <c r="B98" s="113"/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A101" s="113"/>
      <c r="B101" s="113"/>
      <c r="H101" s="72"/>
      <c r="I101" s="72"/>
    </row>
    <row r="102" spans="1:12" ht="20.100000000000001" customHeight="1" x14ac:dyDescent="0.3">
      <c r="A102" s="113"/>
      <c r="B102" s="113"/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H105" s="72"/>
      <c r="I105" s="72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5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5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5" customFormat="1" ht="19.5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>
        <v>2</v>
      </c>
      <c r="C176" s="5"/>
      <c r="D176" s="5"/>
      <c r="E176" s="5"/>
      <c r="F176" s="70"/>
      <c r="G176" s="5"/>
      <c r="H176" s="5"/>
      <c r="I176" s="5"/>
      <c r="J176" s="5"/>
      <c r="K176" s="5"/>
      <c r="L17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1:B9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5:I85"/>
    <mergeCell ref="A86:B86"/>
    <mergeCell ref="D86:G86"/>
    <mergeCell ref="H86:J86"/>
    <mergeCell ref="K86:L86"/>
    <mergeCell ref="A101:B101"/>
    <mergeCell ref="A102:B102"/>
    <mergeCell ref="A92:B92"/>
    <mergeCell ref="A93:B93"/>
    <mergeCell ref="A94:B94"/>
    <mergeCell ref="A96:B96"/>
    <mergeCell ref="A97:B97"/>
    <mergeCell ref="A98:B9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L154"/>
  <sheetViews>
    <sheetView view="pageBreakPreview" topLeftCell="A16" zoomScale="85" zoomScaleSheetLayoutView="85" workbookViewId="0">
      <selection activeCell="D34" sqref="D3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46176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2" si="0">(H7/1000*I7/1000)*J7</f>
        <v>0</v>
      </c>
      <c r="L7" s="26">
        <f>SUM(J7:J36)</f>
        <v>148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SUM(K7:K36)</f>
        <v>989.72848099999999</v>
      </c>
    </row>
    <row r="9" spans="1:12" s="27" customFormat="1" ht="19.5" customHeight="1" x14ac:dyDescent="0.3">
      <c r="A9" s="28"/>
      <c r="B9" s="16"/>
      <c r="C9" s="17"/>
      <c r="D9" s="18"/>
      <c r="E9" s="41"/>
      <c r="F9" s="42"/>
      <c r="G9" s="34"/>
      <c r="H9" s="35"/>
      <c r="I9" s="36"/>
      <c r="J9" s="37"/>
      <c r="K9" s="25"/>
      <c r="L9" s="39"/>
    </row>
    <row r="10" spans="1:12" s="27" customFormat="1" ht="19.5" customHeight="1" x14ac:dyDescent="0.3">
      <c r="A10" s="28" t="s">
        <v>4477</v>
      </c>
      <c r="B10" s="16" t="s">
        <v>1213</v>
      </c>
      <c r="C10" s="17">
        <v>24</v>
      </c>
      <c r="D10" s="18" t="s">
        <v>4478</v>
      </c>
      <c r="E10" s="41">
        <v>95</v>
      </c>
      <c r="F10" s="42">
        <v>93.8</v>
      </c>
      <c r="G10" s="34" t="s">
        <v>4479</v>
      </c>
      <c r="H10" s="35">
        <v>1981</v>
      </c>
      <c r="I10" s="36">
        <v>3353</v>
      </c>
      <c r="J10" s="37">
        <v>19</v>
      </c>
      <c r="K10" s="25">
        <f t="shared" si="0"/>
        <v>126.20356700000001</v>
      </c>
      <c r="L10" s="39" t="s">
        <v>4481</v>
      </c>
    </row>
    <row r="11" spans="1:12" s="27" customFormat="1" ht="19.5" customHeight="1" x14ac:dyDescent="0.3">
      <c r="A11" s="28"/>
      <c r="B11" s="16"/>
      <c r="C11" s="17">
        <v>22</v>
      </c>
      <c r="D11" s="18" t="s">
        <v>45</v>
      </c>
      <c r="E11" s="41">
        <v>20</v>
      </c>
      <c r="F11" s="42">
        <v>23.9</v>
      </c>
      <c r="G11" s="34" t="s">
        <v>4482</v>
      </c>
      <c r="H11" s="35">
        <v>1981</v>
      </c>
      <c r="I11" s="36">
        <v>3353</v>
      </c>
      <c r="J11" s="37">
        <v>19</v>
      </c>
      <c r="K11" s="25">
        <f t="shared" si="0"/>
        <v>126.20356700000001</v>
      </c>
      <c r="L11" s="39" t="s">
        <v>4481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/>
      <c r="L12" s="39"/>
    </row>
    <row r="13" spans="1:12" s="27" customFormat="1" ht="19.5" customHeight="1" x14ac:dyDescent="0.3">
      <c r="A13" s="28"/>
      <c r="B13" s="16"/>
      <c r="C13" s="17">
        <v>24</v>
      </c>
      <c r="D13" s="18" t="s">
        <v>1223</v>
      </c>
      <c r="E13" s="41">
        <v>95</v>
      </c>
      <c r="F13" s="42">
        <v>93.8</v>
      </c>
      <c r="G13" s="34" t="s">
        <v>1152</v>
      </c>
      <c r="H13" s="35">
        <v>1981</v>
      </c>
      <c r="I13" s="36">
        <v>3353</v>
      </c>
      <c r="J13" s="37">
        <v>15</v>
      </c>
      <c r="K13" s="25">
        <f t="shared" si="0"/>
        <v>99.634395000000012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4480</v>
      </c>
      <c r="H14" s="35">
        <v>1981</v>
      </c>
      <c r="I14" s="36">
        <v>3353</v>
      </c>
      <c r="J14" s="37">
        <v>16</v>
      </c>
      <c r="K14" s="25">
        <f t="shared" si="0"/>
        <v>106.27668800000001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25"/>
      <c r="L15" s="39"/>
    </row>
    <row r="16" spans="1:12" s="27" customFormat="1" ht="19.5" customHeight="1" x14ac:dyDescent="0.3">
      <c r="A16" s="28" t="s">
        <v>4438</v>
      </c>
      <c r="B16" s="16" t="s">
        <v>1239</v>
      </c>
      <c r="C16" s="17">
        <v>25.76</v>
      </c>
      <c r="D16" s="18" t="s">
        <v>4483</v>
      </c>
      <c r="E16" s="41">
        <v>36</v>
      </c>
      <c r="F16" s="42">
        <v>20.88</v>
      </c>
      <c r="G16" s="34" t="s">
        <v>4484</v>
      </c>
      <c r="H16" s="35">
        <v>2134</v>
      </c>
      <c r="I16" s="36">
        <v>3353</v>
      </c>
      <c r="J16" s="37">
        <v>3</v>
      </c>
      <c r="K16" s="25">
        <f t="shared" si="0"/>
        <v>21.465906</v>
      </c>
      <c r="L16" s="39" t="s">
        <v>4485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/>
      <c r="L17" s="39"/>
    </row>
    <row r="18" spans="1:12" s="27" customFormat="1" ht="19.5" customHeight="1" x14ac:dyDescent="0.3">
      <c r="A18" s="28" t="s">
        <v>4487</v>
      </c>
      <c r="B18" s="16" t="s">
        <v>1239</v>
      </c>
      <c r="C18" s="17">
        <v>25.76</v>
      </c>
      <c r="D18" s="18" t="s">
        <v>4483</v>
      </c>
      <c r="E18" s="41">
        <v>36</v>
      </c>
      <c r="F18" s="42">
        <v>18.48</v>
      </c>
      <c r="G18" s="34" t="s">
        <v>4484</v>
      </c>
      <c r="H18" s="35">
        <v>2134</v>
      </c>
      <c r="I18" s="36">
        <v>3353</v>
      </c>
      <c r="J18" s="37">
        <v>3</v>
      </c>
      <c r="K18" s="25">
        <f t="shared" si="0"/>
        <v>21.465906</v>
      </c>
      <c r="L18" s="39" t="s">
        <v>4485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/>
      <c r="L19" s="39"/>
    </row>
    <row r="20" spans="1:12" s="27" customFormat="1" ht="19.5" customHeight="1" x14ac:dyDescent="0.3">
      <c r="A20" s="28" t="s">
        <v>4440</v>
      </c>
      <c r="B20" s="16" t="s">
        <v>4488</v>
      </c>
      <c r="C20" s="17">
        <v>25.76</v>
      </c>
      <c r="D20" s="18" t="s">
        <v>4483</v>
      </c>
      <c r="E20" s="41">
        <v>28</v>
      </c>
      <c r="F20" s="42">
        <v>13.36</v>
      </c>
      <c r="G20" s="34" t="s">
        <v>4484</v>
      </c>
      <c r="H20" s="35">
        <v>2134</v>
      </c>
      <c r="I20" s="36">
        <v>3353</v>
      </c>
      <c r="J20" s="37">
        <v>2</v>
      </c>
      <c r="K20" s="25">
        <f t="shared" ref="K20:K22" si="1">(H20/1000*I20/1000)*J20</f>
        <v>14.310604</v>
      </c>
      <c r="L20" s="39" t="s">
        <v>4485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/>
      <c r="L21" s="39"/>
    </row>
    <row r="22" spans="1:12" s="27" customFormat="1" ht="19.5" customHeight="1" x14ac:dyDescent="0.3">
      <c r="A22" s="28"/>
      <c r="B22" s="16"/>
      <c r="C22" s="17">
        <v>22</v>
      </c>
      <c r="D22" s="18" t="s">
        <v>4489</v>
      </c>
      <c r="E22" s="41">
        <v>64</v>
      </c>
      <c r="F22" s="42">
        <v>48.04</v>
      </c>
      <c r="G22" s="34" t="s">
        <v>1152</v>
      </c>
      <c r="H22" s="35">
        <v>1981</v>
      </c>
      <c r="I22" s="36">
        <v>3353</v>
      </c>
      <c r="J22" s="37">
        <v>8</v>
      </c>
      <c r="K22" s="25">
        <f t="shared" si="1"/>
        <v>53.138344000000004</v>
      </c>
      <c r="L22" s="39" t="s">
        <v>4490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/>
      <c r="L23" s="39"/>
    </row>
    <row r="24" spans="1:12" s="27" customFormat="1" ht="19.5" customHeight="1" x14ac:dyDescent="0.3">
      <c r="A24" s="28" t="s">
        <v>4491</v>
      </c>
      <c r="B24" s="16" t="s">
        <v>4492</v>
      </c>
      <c r="C24" s="17">
        <v>25.76</v>
      </c>
      <c r="D24" s="18" t="s">
        <v>4483</v>
      </c>
      <c r="E24" s="41">
        <v>56</v>
      </c>
      <c r="F24" s="42">
        <v>33.28</v>
      </c>
      <c r="G24" s="34" t="s">
        <v>4484</v>
      </c>
      <c r="H24" s="35">
        <v>2134</v>
      </c>
      <c r="I24" s="36">
        <v>3353</v>
      </c>
      <c r="J24" s="37">
        <v>5</v>
      </c>
      <c r="K24" s="25">
        <f t="shared" ref="K24:K27" si="2">(H24/1000*I24/1000)*J24</f>
        <v>35.776510000000002</v>
      </c>
      <c r="L24" s="39" t="s">
        <v>4485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/>
      <c r="L25" s="39"/>
    </row>
    <row r="26" spans="1:12" s="27" customFormat="1" ht="19.5" customHeight="1" x14ac:dyDescent="0.3">
      <c r="A26" s="28"/>
      <c r="B26" s="16"/>
      <c r="C26" s="17">
        <v>22</v>
      </c>
      <c r="D26" s="18" t="s">
        <v>4486</v>
      </c>
      <c r="E26" s="41">
        <v>216</v>
      </c>
      <c r="F26" s="42">
        <v>177.36</v>
      </c>
      <c r="G26" s="34" t="s">
        <v>1152</v>
      </c>
      <c r="H26" s="35">
        <v>1981</v>
      </c>
      <c r="I26" s="36">
        <v>3353</v>
      </c>
      <c r="J26" s="37">
        <v>29</v>
      </c>
      <c r="K26" s="25">
        <f t="shared" si="2"/>
        <v>192.626497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 t="s">
        <v>4484</v>
      </c>
      <c r="H27" s="35">
        <v>1981</v>
      </c>
      <c r="I27" s="36">
        <v>3353</v>
      </c>
      <c r="J27" s="37">
        <v>29</v>
      </c>
      <c r="K27" s="25">
        <f t="shared" si="2"/>
        <v>192.626497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/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/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/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/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/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/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29"/>
      <c r="C36" s="30"/>
      <c r="D36" s="31"/>
      <c r="E36" s="41"/>
      <c r="F36" s="42"/>
      <c r="G36" s="43"/>
      <c r="H36" s="35"/>
      <c r="I36" s="36"/>
      <c r="J36" s="37"/>
      <c r="K36" s="38">
        <f t="shared" si="0"/>
        <v>0</v>
      </c>
      <c r="L36" s="39"/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4493</v>
      </c>
      <c r="B38" s="45" t="s">
        <v>1890</v>
      </c>
      <c r="C38" s="46">
        <v>28</v>
      </c>
      <c r="D38" s="47" t="s">
        <v>4494</v>
      </c>
      <c r="E38" s="48">
        <v>89</v>
      </c>
      <c r="F38" s="49">
        <v>178.75</v>
      </c>
      <c r="G38" s="50" t="s">
        <v>189</v>
      </c>
      <c r="H38" s="51">
        <v>2438</v>
      </c>
      <c r="I38" s="45">
        <v>3353</v>
      </c>
      <c r="J38" s="52">
        <v>30</v>
      </c>
      <c r="K38" s="53">
        <f t="shared" si="0"/>
        <v>245.23841999999999</v>
      </c>
      <c r="L38" s="54" t="s">
        <v>4495</v>
      </c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4496</v>
      </c>
      <c r="B40" s="45" t="s">
        <v>4497</v>
      </c>
      <c r="C40" s="46">
        <v>24</v>
      </c>
      <c r="D40" s="47" t="s">
        <v>4498</v>
      </c>
      <c r="E40" s="48">
        <v>6</v>
      </c>
      <c r="F40" s="49">
        <v>5.99</v>
      </c>
      <c r="G40" s="50" t="s">
        <v>27</v>
      </c>
      <c r="H40" s="51">
        <v>1981</v>
      </c>
      <c r="I40" s="45">
        <v>3353</v>
      </c>
      <c r="J40" s="52">
        <v>9</v>
      </c>
      <c r="K40" s="53">
        <f t="shared" si="0"/>
        <v>59.780637000000006</v>
      </c>
      <c r="L40" s="54" t="s">
        <v>4501</v>
      </c>
    </row>
    <row r="41" spans="1:12" s="55" customFormat="1" ht="19.5" customHeight="1" x14ac:dyDescent="0.3">
      <c r="A41" s="44"/>
      <c r="B41" s="45"/>
      <c r="C41" s="46">
        <v>24</v>
      </c>
      <c r="D41" s="47" t="s">
        <v>4500</v>
      </c>
      <c r="E41" s="48">
        <v>46</v>
      </c>
      <c r="F41" s="49">
        <v>43.77</v>
      </c>
      <c r="G41" s="50" t="s">
        <v>4499</v>
      </c>
      <c r="H41" s="51">
        <v>1981</v>
      </c>
      <c r="I41" s="45">
        <v>3353</v>
      </c>
      <c r="J41" s="52">
        <v>8</v>
      </c>
      <c r="K41" s="53">
        <f t="shared" si="0"/>
        <v>53.138344000000004</v>
      </c>
      <c r="L41" s="54" t="s">
        <v>4501</v>
      </c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4502</v>
      </c>
      <c r="B43" s="45" t="s">
        <v>4503</v>
      </c>
      <c r="C43" s="46">
        <v>24</v>
      </c>
      <c r="D43" s="47" t="s">
        <v>4504</v>
      </c>
      <c r="E43" s="48">
        <v>3</v>
      </c>
      <c r="F43" s="49">
        <v>10.35</v>
      </c>
      <c r="G43" s="50" t="s">
        <v>4506</v>
      </c>
      <c r="H43" s="51">
        <v>1981</v>
      </c>
      <c r="I43" s="45">
        <v>3048</v>
      </c>
      <c r="J43" s="52">
        <v>1</v>
      </c>
      <c r="K43" s="53">
        <f t="shared" si="0"/>
        <v>6.038088000000001</v>
      </c>
      <c r="L43" s="54" t="s">
        <v>4507</v>
      </c>
    </row>
    <row r="44" spans="1:12" s="55" customFormat="1" ht="19.5" customHeight="1" x14ac:dyDescent="0.3">
      <c r="A44" s="44"/>
      <c r="B44" s="45"/>
      <c r="C44" s="46">
        <v>24</v>
      </c>
      <c r="D44" s="47" t="s">
        <v>4505</v>
      </c>
      <c r="E44" s="48">
        <v>1</v>
      </c>
      <c r="F44" s="49">
        <v>0.37</v>
      </c>
      <c r="G44" s="50" t="s">
        <v>1152</v>
      </c>
      <c r="H44" s="51">
        <v>2286</v>
      </c>
      <c r="I44" s="45">
        <v>3048</v>
      </c>
      <c r="J44" s="52">
        <v>1</v>
      </c>
      <c r="K44" s="53">
        <f t="shared" si="0"/>
        <v>6.9677280000000001</v>
      </c>
      <c r="L44" s="54" t="s">
        <v>4507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1276</v>
      </c>
      <c r="H45" s="51">
        <v>2134</v>
      </c>
      <c r="I45" s="45">
        <v>3353</v>
      </c>
      <c r="J45" s="52">
        <v>1</v>
      </c>
      <c r="K45" s="53">
        <f t="shared" si="0"/>
        <v>7.1553019999999998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 t="s">
        <v>1276</v>
      </c>
      <c r="H46" s="51">
        <v>2438</v>
      </c>
      <c r="I46" s="45">
        <v>3353</v>
      </c>
      <c r="J46" s="52">
        <v>1</v>
      </c>
      <c r="K46" s="53">
        <f t="shared" si="0"/>
        <v>8.174614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4509</v>
      </c>
      <c r="B48" s="45" t="s">
        <v>4510</v>
      </c>
      <c r="C48" s="46">
        <v>24</v>
      </c>
      <c r="D48" s="47" t="s">
        <v>4511</v>
      </c>
      <c r="E48" s="48">
        <v>98</v>
      </c>
      <c r="F48" s="49">
        <v>104.36</v>
      </c>
      <c r="G48" s="50" t="s">
        <v>4512</v>
      </c>
      <c r="H48" s="51">
        <v>1829</v>
      </c>
      <c r="I48" s="45">
        <v>3353</v>
      </c>
      <c r="J48" s="52">
        <v>18</v>
      </c>
      <c r="K48" s="53">
        <f t="shared" si="0"/>
        <v>110.387466</v>
      </c>
      <c r="L48" s="54" t="s">
        <v>4513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4514</v>
      </c>
      <c r="B50" s="45" t="s">
        <v>4510</v>
      </c>
      <c r="C50" s="46">
        <v>24</v>
      </c>
      <c r="D50" s="47" t="s">
        <v>4511</v>
      </c>
      <c r="E50" s="48">
        <v>149</v>
      </c>
      <c r="F50" s="49">
        <v>191.49</v>
      </c>
      <c r="G50" s="50" t="s">
        <v>4512</v>
      </c>
      <c r="H50" s="51">
        <v>1829</v>
      </c>
      <c r="I50" s="45">
        <v>3353</v>
      </c>
      <c r="J50" s="52">
        <v>16</v>
      </c>
      <c r="K50" s="53">
        <f t="shared" si="0"/>
        <v>98.122191999999998</v>
      </c>
      <c r="L50" s="54" t="s">
        <v>4513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 t="s">
        <v>4512</v>
      </c>
      <c r="H51" s="51">
        <v>2438</v>
      </c>
      <c r="I51" s="45">
        <v>3353</v>
      </c>
      <c r="J51" s="52">
        <v>14</v>
      </c>
      <c r="K51" s="53">
        <f t="shared" si="0"/>
        <v>114.444596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4515</v>
      </c>
      <c r="B53" s="45" t="s">
        <v>4510</v>
      </c>
      <c r="C53" s="46">
        <v>24</v>
      </c>
      <c r="D53" s="47" t="s">
        <v>4511</v>
      </c>
      <c r="E53" s="48">
        <v>108</v>
      </c>
      <c r="F53" s="49">
        <v>116.56</v>
      </c>
      <c r="G53" s="50" t="s">
        <v>4512</v>
      </c>
      <c r="H53" s="51">
        <v>1829</v>
      </c>
      <c r="I53" s="45">
        <v>3353</v>
      </c>
      <c r="J53" s="52">
        <v>20</v>
      </c>
      <c r="K53" s="53">
        <f t="shared" si="0"/>
        <v>122.65273999999999</v>
      </c>
      <c r="L53" s="54" t="s">
        <v>4513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9" customFormat="1" ht="20.100000000000001" customHeight="1" x14ac:dyDescent="0.3">
      <c r="A61" s="44"/>
      <c r="B61" s="45"/>
      <c r="C61" s="46"/>
      <c r="D61" s="47"/>
      <c r="E61" s="56"/>
      <c r="F61" s="57"/>
      <c r="G61" s="50"/>
      <c r="H61" s="51"/>
      <c r="I61" s="45"/>
      <c r="J61" s="52"/>
      <c r="K61" s="53">
        <f t="shared" si="0"/>
        <v>0</v>
      </c>
      <c r="L61" s="58">
        <f>SUM(J37:J62)</f>
        <v>119</v>
      </c>
    </row>
    <row r="62" spans="1:12" s="59" customFormat="1" ht="20.100000000000001" customHeight="1" x14ac:dyDescent="0.3">
      <c r="A62" s="44"/>
      <c r="B62" s="45"/>
      <c r="C62" s="46"/>
      <c r="D62" s="47"/>
      <c r="E62" s="60"/>
      <c r="F62" s="61"/>
      <c r="G62" s="62"/>
      <c r="H62" s="51"/>
      <c r="I62" s="45"/>
      <c r="J62" s="63"/>
      <c r="K62" s="53">
        <f t="shared" si="0"/>
        <v>0</v>
      </c>
      <c r="L62" s="64">
        <f>SUM(K37:K62)</f>
        <v>832.10012700000016</v>
      </c>
    </row>
    <row r="63" spans="1:12" s="59" customFormat="1" ht="20.100000000000001" customHeight="1" thickBot="1" x14ac:dyDescent="0.35">
      <c r="A63" s="114"/>
      <c r="B63" s="115"/>
      <c r="C63" s="115"/>
      <c r="D63" s="115"/>
      <c r="E63" s="115"/>
      <c r="F63" s="115"/>
      <c r="G63" s="115"/>
      <c r="H63" s="115"/>
      <c r="I63" s="115"/>
      <c r="J63" s="65">
        <f>SUM(J7:J62)</f>
        <v>267</v>
      </c>
      <c r="K63" s="66">
        <f>SUM(K7:K62)</f>
        <v>1821.828608</v>
      </c>
      <c r="L63" s="67"/>
    </row>
    <row r="64" spans="1:12" s="59" customFormat="1" ht="20.100000000000001" customHeight="1" thickTop="1" thickBot="1" x14ac:dyDescent="0.35">
      <c r="A64" s="116" t="s">
        <v>52</v>
      </c>
      <c r="B64" s="117"/>
      <c r="C64" s="68"/>
      <c r="D64" s="118">
        <f>J63</f>
        <v>267</v>
      </c>
      <c r="E64" s="119"/>
      <c r="F64" s="119"/>
      <c r="G64" s="120"/>
      <c r="H64" s="121"/>
      <c r="I64" s="121"/>
      <c r="J64" s="122"/>
      <c r="K64" s="119"/>
      <c r="L64" s="123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71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72"/>
      <c r="F70" s="5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5"/>
      <c r="G71" s="73"/>
      <c r="H71" s="5"/>
      <c r="I71" s="74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72"/>
      <c r="I75" s="72"/>
      <c r="J75" s="5"/>
      <c r="K75" s="5"/>
      <c r="L75" s="5"/>
    </row>
    <row r="76" spans="1:12" ht="20.100000000000001" customHeight="1" x14ac:dyDescent="0.3">
      <c r="A76" s="113"/>
      <c r="B76" s="113"/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A79" s="113"/>
      <c r="B79" s="113"/>
      <c r="H79" s="72"/>
      <c r="I79" s="72"/>
    </row>
    <row r="80" spans="1:12" ht="20.100000000000001" customHeight="1" x14ac:dyDescent="0.3">
      <c r="A80" s="113"/>
      <c r="B80" s="113"/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J84" s="5"/>
      <c r="K84" s="5"/>
      <c r="L84" s="5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5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5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19.5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ht="19.5" customHeight="1" x14ac:dyDescent="0.3"/>
    <row r="92" spans="1:12" ht="19.5" customHeight="1" x14ac:dyDescent="0.3"/>
    <row r="93" spans="1:12" ht="19.5" customHeight="1" x14ac:dyDescent="0.3"/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>
        <v>2</v>
      </c>
      <c r="C154" s="5"/>
      <c r="D154" s="5"/>
      <c r="E154" s="5"/>
      <c r="F154" s="70"/>
      <c r="G154" s="5"/>
      <c r="H154" s="5"/>
      <c r="I154" s="5"/>
      <c r="J154" s="5"/>
      <c r="K154" s="5"/>
      <c r="L154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9:B6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3:I63"/>
    <mergeCell ref="A64:B64"/>
    <mergeCell ref="D64:G64"/>
    <mergeCell ref="H64:J64"/>
    <mergeCell ref="K64:L64"/>
    <mergeCell ref="A79:B79"/>
    <mergeCell ref="A80:B80"/>
    <mergeCell ref="A70:B70"/>
    <mergeCell ref="A71:B71"/>
    <mergeCell ref="A72:B72"/>
    <mergeCell ref="A74:B74"/>
    <mergeCell ref="A75:B75"/>
    <mergeCell ref="A76:B76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L156"/>
  <sheetViews>
    <sheetView view="pageBreakPreview" topLeftCell="A17" zoomScale="85" zoomScaleSheetLayoutView="85" workbookViewId="0">
      <selection activeCell="C37" sqref="C3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46175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4" si="0">(H7/1000*I7/1000)*J7</f>
        <v>0</v>
      </c>
      <c r="L7" s="26">
        <f>SUM(J7:J45)</f>
        <v>177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SUM(K7:K45)</f>
        <v>1176.1311450000001</v>
      </c>
    </row>
    <row r="9" spans="1:12" s="27" customFormat="1" ht="19.5" customHeight="1" x14ac:dyDescent="0.3">
      <c r="A9" s="28" t="s">
        <v>4437</v>
      </c>
      <c r="B9" s="16" t="s">
        <v>145</v>
      </c>
      <c r="C9" s="17">
        <v>24</v>
      </c>
      <c r="D9" s="18" t="s">
        <v>146</v>
      </c>
      <c r="E9" s="41">
        <v>5</v>
      </c>
      <c r="F9" s="42">
        <v>16.649999999999999</v>
      </c>
      <c r="G9" s="34" t="s">
        <v>49</v>
      </c>
      <c r="H9" s="35">
        <v>1981</v>
      </c>
      <c r="I9" s="36">
        <v>3353</v>
      </c>
      <c r="J9" s="37">
        <v>18</v>
      </c>
      <c r="K9" s="25">
        <f t="shared" si="0"/>
        <v>119.56127400000001</v>
      </c>
      <c r="L9" s="39"/>
    </row>
    <row r="10" spans="1:12" s="27" customFormat="1" ht="19.5" customHeight="1" x14ac:dyDescent="0.3">
      <c r="A10" s="28"/>
      <c r="B10" s="16"/>
      <c r="C10" s="17">
        <v>24</v>
      </c>
      <c r="D10" s="18" t="s">
        <v>45</v>
      </c>
      <c r="E10" s="41">
        <v>75</v>
      </c>
      <c r="F10" s="42">
        <v>74.2</v>
      </c>
      <c r="G10" s="34" t="s">
        <v>18</v>
      </c>
      <c r="H10" s="35">
        <v>1981</v>
      </c>
      <c r="I10" s="36">
        <v>3353</v>
      </c>
      <c r="J10" s="37">
        <v>14</v>
      </c>
      <c r="K10" s="25">
        <f t="shared" si="0"/>
        <v>92.992102000000003</v>
      </c>
      <c r="L10" s="39"/>
    </row>
    <row r="11" spans="1:12" s="27" customFormat="1" ht="19.5" customHeight="1" x14ac:dyDescent="0.3">
      <c r="A11" s="28"/>
      <c r="B11" s="16"/>
      <c r="C11" s="17">
        <v>24</v>
      </c>
      <c r="D11" s="18" t="s">
        <v>17</v>
      </c>
      <c r="E11" s="41">
        <v>80</v>
      </c>
      <c r="F11" s="42">
        <v>90.85</v>
      </c>
      <c r="G11" s="34" t="s">
        <v>70</v>
      </c>
      <c r="H11" s="35">
        <v>1981</v>
      </c>
      <c r="I11" s="36">
        <v>3353</v>
      </c>
      <c r="J11" s="37">
        <v>18</v>
      </c>
      <c r="K11" s="25">
        <f t="shared" si="0"/>
        <v>119.56127400000001</v>
      </c>
      <c r="L11" s="39"/>
    </row>
    <row r="12" spans="1:12" s="27" customFormat="1" ht="19.5" customHeight="1" x14ac:dyDescent="0.3">
      <c r="A12" s="28"/>
      <c r="B12" s="16"/>
      <c r="C12" s="17">
        <v>22</v>
      </c>
      <c r="D12" s="18" t="s">
        <v>45</v>
      </c>
      <c r="E12" s="41">
        <v>20</v>
      </c>
      <c r="F12" s="42">
        <v>23</v>
      </c>
      <c r="G12" s="34" t="s">
        <v>19</v>
      </c>
      <c r="H12" s="35">
        <v>1981</v>
      </c>
      <c r="I12" s="36">
        <v>3353</v>
      </c>
      <c r="J12" s="37">
        <v>14</v>
      </c>
      <c r="K12" s="25">
        <f t="shared" si="0"/>
        <v>92.992102000000003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 t="s">
        <v>4438</v>
      </c>
      <c r="B14" s="16" t="s">
        <v>21</v>
      </c>
      <c r="C14" s="17">
        <v>22</v>
      </c>
      <c r="D14" s="18" t="s">
        <v>17</v>
      </c>
      <c r="E14" s="41">
        <v>84</v>
      </c>
      <c r="F14" s="42">
        <v>76.16</v>
      </c>
      <c r="G14" s="34" t="s">
        <v>18</v>
      </c>
      <c r="H14" s="35">
        <v>1981</v>
      </c>
      <c r="I14" s="36">
        <v>3353</v>
      </c>
      <c r="J14" s="37">
        <v>12</v>
      </c>
      <c r="K14" s="25">
        <f t="shared" si="0"/>
        <v>79.707515999999998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19</v>
      </c>
      <c r="H15" s="35">
        <v>1981</v>
      </c>
      <c r="I15" s="36">
        <v>3353</v>
      </c>
      <c r="J15" s="37">
        <v>12</v>
      </c>
      <c r="K15" s="25">
        <f t="shared" si="0"/>
        <v>79.707515999999998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 t="s">
        <v>4438</v>
      </c>
      <c r="B17" s="16" t="s">
        <v>21</v>
      </c>
      <c r="C17" s="17">
        <v>22</v>
      </c>
      <c r="D17" s="18" t="s">
        <v>228</v>
      </c>
      <c r="E17" s="41">
        <v>12</v>
      </c>
      <c r="F17" s="42">
        <v>13.2</v>
      </c>
      <c r="G17" s="34" t="s">
        <v>18</v>
      </c>
      <c r="H17" s="35">
        <v>1981</v>
      </c>
      <c r="I17" s="36">
        <v>3353</v>
      </c>
      <c r="J17" s="37">
        <v>10</v>
      </c>
      <c r="K17" s="25">
        <f t="shared" si="0"/>
        <v>66.422930000000008</v>
      </c>
      <c r="L17" s="39" t="s">
        <v>4444</v>
      </c>
    </row>
    <row r="18" spans="1:12" s="27" customFormat="1" ht="19.5" customHeight="1" x14ac:dyDescent="0.3">
      <c r="A18" s="28" t="s">
        <v>4439</v>
      </c>
      <c r="B18" s="16" t="s">
        <v>21</v>
      </c>
      <c r="C18" s="17">
        <v>22</v>
      </c>
      <c r="D18" s="18" t="s">
        <v>228</v>
      </c>
      <c r="E18" s="41">
        <v>8</v>
      </c>
      <c r="F18" s="42">
        <v>12.8</v>
      </c>
      <c r="G18" s="34" t="s">
        <v>18</v>
      </c>
      <c r="H18" s="35">
        <v>1829</v>
      </c>
      <c r="I18" s="36">
        <v>3353</v>
      </c>
      <c r="J18" s="37">
        <v>1</v>
      </c>
      <c r="K18" s="25">
        <f t="shared" si="0"/>
        <v>6.1326369999999999</v>
      </c>
      <c r="L18" s="39" t="s">
        <v>4444</v>
      </c>
    </row>
    <row r="19" spans="1:12" s="27" customFormat="1" ht="19.5" customHeight="1" x14ac:dyDescent="0.3">
      <c r="A19" s="28" t="s">
        <v>4440</v>
      </c>
      <c r="B19" s="16" t="s">
        <v>21</v>
      </c>
      <c r="C19" s="17">
        <v>22</v>
      </c>
      <c r="D19" s="18" t="s">
        <v>228</v>
      </c>
      <c r="E19" s="41">
        <v>8</v>
      </c>
      <c r="F19" s="42">
        <v>11.28</v>
      </c>
      <c r="G19" s="34" t="s">
        <v>19</v>
      </c>
      <c r="H19" s="35">
        <v>1981</v>
      </c>
      <c r="I19" s="36">
        <v>3353</v>
      </c>
      <c r="J19" s="37">
        <v>11</v>
      </c>
      <c r="K19" s="25">
        <f t="shared" si="0"/>
        <v>73.065223000000003</v>
      </c>
      <c r="L19" s="39" t="s">
        <v>4444</v>
      </c>
    </row>
    <row r="20" spans="1:12" s="27" customFormat="1" ht="19.5" customHeight="1" x14ac:dyDescent="0.3">
      <c r="A20" s="28" t="s">
        <v>4441</v>
      </c>
      <c r="B20" s="16" t="s">
        <v>21</v>
      </c>
      <c r="C20" s="17">
        <v>22</v>
      </c>
      <c r="D20" s="18" t="s">
        <v>228</v>
      </c>
      <c r="E20" s="41">
        <v>24</v>
      </c>
      <c r="F20" s="42">
        <v>26.4</v>
      </c>
      <c r="G20" s="34" t="s">
        <v>19</v>
      </c>
      <c r="H20" s="35">
        <v>1829</v>
      </c>
      <c r="I20" s="36">
        <v>3353</v>
      </c>
      <c r="J20" s="37">
        <v>1</v>
      </c>
      <c r="K20" s="25">
        <f t="shared" si="0"/>
        <v>6.1326369999999999</v>
      </c>
      <c r="L20" s="39" t="s">
        <v>4444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 t="s">
        <v>4438</v>
      </c>
      <c r="B22" s="16" t="s">
        <v>21</v>
      </c>
      <c r="C22" s="17">
        <v>46.76</v>
      </c>
      <c r="D22" s="18" t="s">
        <v>272</v>
      </c>
      <c r="E22" s="41">
        <v>4</v>
      </c>
      <c r="F22" s="42">
        <v>1.8</v>
      </c>
      <c r="G22" s="34" t="s">
        <v>4442</v>
      </c>
      <c r="H22" s="35">
        <v>1829</v>
      </c>
      <c r="I22" s="36">
        <v>3353</v>
      </c>
      <c r="J22" s="37">
        <v>2</v>
      </c>
      <c r="K22" s="25">
        <f t="shared" si="0"/>
        <v>12.265274</v>
      </c>
      <c r="L22" s="39" t="s">
        <v>4443</v>
      </c>
    </row>
    <row r="23" spans="1:12" s="27" customFormat="1" ht="19.5" customHeight="1" x14ac:dyDescent="0.3">
      <c r="A23" s="28" t="s">
        <v>4439</v>
      </c>
      <c r="B23" s="16" t="s">
        <v>21</v>
      </c>
      <c r="C23" s="17">
        <v>46.76</v>
      </c>
      <c r="D23" s="18" t="s">
        <v>272</v>
      </c>
      <c r="E23" s="41">
        <v>4</v>
      </c>
      <c r="F23" s="42">
        <v>1.6</v>
      </c>
      <c r="G23" s="34"/>
      <c r="H23" s="35"/>
      <c r="I23" s="36"/>
      <c r="J23" s="37"/>
      <c r="K23" s="25">
        <f t="shared" si="0"/>
        <v>0</v>
      </c>
      <c r="L23" s="39" t="s">
        <v>4443</v>
      </c>
    </row>
    <row r="24" spans="1:12" s="27" customFormat="1" ht="19.5" customHeight="1" x14ac:dyDescent="0.3">
      <c r="A24" s="28" t="s">
        <v>4440</v>
      </c>
      <c r="B24" s="16" t="s">
        <v>21</v>
      </c>
      <c r="C24" s="17">
        <v>46.76</v>
      </c>
      <c r="D24" s="18" t="s">
        <v>272</v>
      </c>
      <c r="E24" s="41">
        <v>4</v>
      </c>
      <c r="F24" s="42">
        <v>1.6</v>
      </c>
      <c r="G24" s="34"/>
      <c r="H24" s="35"/>
      <c r="I24" s="36"/>
      <c r="J24" s="37"/>
      <c r="K24" s="25">
        <f t="shared" si="0"/>
        <v>0</v>
      </c>
      <c r="L24" s="39" t="s">
        <v>4443</v>
      </c>
    </row>
    <row r="25" spans="1:12" s="27" customFormat="1" ht="19.5" customHeight="1" x14ac:dyDescent="0.3">
      <c r="A25" s="28" t="s">
        <v>4441</v>
      </c>
      <c r="B25" s="16" t="s">
        <v>21</v>
      </c>
      <c r="C25" s="17">
        <v>46.76</v>
      </c>
      <c r="D25" s="18" t="s">
        <v>272</v>
      </c>
      <c r="E25" s="41">
        <v>8</v>
      </c>
      <c r="F25" s="42">
        <v>3.6</v>
      </c>
      <c r="G25" s="34"/>
      <c r="H25" s="35"/>
      <c r="I25" s="36"/>
      <c r="J25" s="37"/>
      <c r="K25" s="25">
        <f t="shared" si="0"/>
        <v>0</v>
      </c>
      <c r="L25" s="39" t="s">
        <v>4443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 t="s">
        <v>4439</v>
      </c>
      <c r="B27" s="16" t="s">
        <v>21</v>
      </c>
      <c r="C27" s="17">
        <v>22</v>
      </c>
      <c r="D27" s="18" t="s">
        <v>17</v>
      </c>
      <c r="E27" s="41">
        <v>80</v>
      </c>
      <c r="F27" s="42">
        <v>69.36</v>
      </c>
      <c r="G27" s="34" t="s">
        <v>18</v>
      </c>
      <c r="H27" s="35">
        <v>1981</v>
      </c>
      <c r="I27" s="36">
        <v>3353</v>
      </c>
      <c r="J27" s="37">
        <v>11</v>
      </c>
      <c r="K27" s="25">
        <f t="shared" si="0"/>
        <v>73.065223000000003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 t="s">
        <v>19</v>
      </c>
      <c r="H28" s="35">
        <v>1981</v>
      </c>
      <c r="I28" s="36">
        <v>3353</v>
      </c>
      <c r="J28" s="37">
        <v>11</v>
      </c>
      <c r="K28" s="25">
        <f t="shared" si="0"/>
        <v>73.065223000000003</v>
      </c>
      <c r="L28" s="39"/>
    </row>
    <row r="29" spans="1:12" s="27" customFormat="1" ht="19.5" customHeight="1" x14ac:dyDescent="0.3">
      <c r="A29" s="28" t="s">
        <v>57</v>
      </c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ref="K30:K39" si="1">(H30/1000*I30/1000)*J30</f>
        <v>0</v>
      </c>
      <c r="L30" s="39"/>
    </row>
    <row r="31" spans="1:12" s="27" customFormat="1" ht="19.5" customHeight="1" x14ac:dyDescent="0.3">
      <c r="A31" s="28" t="s">
        <v>4446</v>
      </c>
      <c r="B31" s="16" t="s">
        <v>4447</v>
      </c>
      <c r="C31" s="17">
        <v>16</v>
      </c>
      <c r="D31" s="18" t="s">
        <v>4448</v>
      </c>
      <c r="E31" s="41">
        <v>1</v>
      </c>
      <c r="F31" s="42">
        <v>0.53</v>
      </c>
      <c r="G31" s="34" t="s">
        <v>4451</v>
      </c>
      <c r="H31" s="35">
        <v>1981</v>
      </c>
      <c r="I31" s="36">
        <v>3353</v>
      </c>
      <c r="J31" s="37">
        <v>1</v>
      </c>
      <c r="K31" s="25">
        <f t="shared" si="1"/>
        <v>6.6422930000000004</v>
      </c>
      <c r="L31" s="39" t="s">
        <v>4452</v>
      </c>
    </row>
    <row r="32" spans="1:12" s="27" customFormat="1" ht="19.5" customHeight="1" x14ac:dyDescent="0.3">
      <c r="A32" s="28" t="s">
        <v>4449</v>
      </c>
      <c r="B32" s="16" t="s">
        <v>4450</v>
      </c>
      <c r="C32" s="17">
        <v>26</v>
      </c>
      <c r="D32" s="18" t="s">
        <v>4448</v>
      </c>
      <c r="E32" s="41">
        <v>4</v>
      </c>
      <c r="F32" s="42">
        <v>2.98</v>
      </c>
      <c r="G32" s="34" t="s">
        <v>18</v>
      </c>
      <c r="H32" s="35">
        <v>1981</v>
      </c>
      <c r="I32" s="36">
        <v>3048</v>
      </c>
      <c r="J32" s="37">
        <v>1</v>
      </c>
      <c r="K32" s="25">
        <f t="shared" si="1"/>
        <v>6.038088000000001</v>
      </c>
      <c r="L32" s="39" t="s">
        <v>4452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1"/>
        <v>0</v>
      </c>
      <c r="L33" s="39"/>
    </row>
    <row r="34" spans="1:12" s="27" customFormat="1" ht="19.5" customHeight="1" x14ac:dyDescent="0.3">
      <c r="A34" s="28" t="s">
        <v>4453</v>
      </c>
      <c r="B34" s="16" t="s">
        <v>4454</v>
      </c>
      <c r="C34" s="17">
        <v>22</v>
      </c>
      <c r="D34" s="18" t="s">
        <v>4455</v>
      </c>
      <c r="E34" s="41">
        <v>20</v>
      </c>
      <c r="F34" s="42">
        <v>32.76</v>
      </c>
      <c r="G34" s="34" t="s">
        <v>4457</v>
      </c>
      <c r="H34" s="35">
        <v>2438</v>
      </c>
      <c r="I34" s="36">
        <v>3353</v>
      </c>
      <c r="J34" s="37">
        <v>9</v>
      </c>
      <c r="K34" s="25">
        <f t="shared" si="1"/>
        <v>73.571526000000006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/>
      <c r="L35" s="39"/>
    </row>
    <row r="36" spans="1:12" s="27" customFormat="1" ht="19.5" customHeight="1" x14ac:dyDescent="0.3">
      <c r="A36" s="28"/>
      <c r="B36" s="16"/>
      <c r="C36" s="17">
        <v>24</v>
      </c>
      <c r="D36" s="18" t="s">
        <v>4456</v>
      </c>
      <c r="E36" s="41">
        <v>5</v>
      </c>
      <c r="F36" s="42">
        <v>6</v>
      </c>
      <c r="G36" s="34" t="s">
        <v>4458</v>
      </c>
      <c r="H36" s="35">
        <v>1981</v>
      </c>
      <c r="I36" s="36">
        <v>3353</v>
      </c>
      <c r="J36" s="37">
        <v>1</v>
      </c>
      <c r="K36" s="25">
        <f t="shared" si="1"/>
        <v>6.6422930000000004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 t="s">
        <v>4459</v>
      </c>
      <c r="H37" s="35">
        <v>1981</v>
      </c>
      <c r="I37" s="36">
        <v>3353</v>
      </c>
      <c r="J37" s="37">
        <v>1</v>
      </c>
      <c r="K37" s="25">
        <f t="shared" si="1"/>
        <v>6.6422930000000004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1"/>
        <v>0</v>
      </c>
      <c r="L38" s="39"/>
    </row>
    <row r="39" spans="1:12" s="27" customFormat="1" ht="19.5" customHeight="1" x14ac:dyDescent="0.3">
      <c r="A39" s="28" t="s">
        <v>4460</v>
      </c>
      <c r="B39" s="16" t="s">
        <v>4454</v>
      </c>
      <c r="C39" s="17">
        <v>5</v>
      </c>
      <c r="D39" s="18" t="s">
        <v>4461</v>
      </c>
      <c r="E39" s="41">
        <v>36</v>
      </c>
      <c r="F39" s="42">
        <v>12.92</v>
      </c>
      <c r="G39" s="34" t="s">
        <v>4462</v>
      </c>
      <c r="H39" s="35">
        <v>1829</v>
      </c>
      <c r="I39" s="36">
        <v>3353</v>
      </c>
      <c r="J39" s="37">
        <v>2</v>
      </c>
      <c r="K39" s="25">
        <f t="shared" si="1"/>
        <v>12.265274</v>
      </c>
      <c r="L39" s="39" t="s">
        <v>4463</v>
      </c>
    </row>
    <row r="40" spans="1:12" s="27" customFormat="1" ht="19.5" customHeight="1" x14ac:dyDescent="0.3">
      <c r="A40" s="28"/>
      <c r="B40" s="16"/>
      <c r="C40" s="17"/>
      <c r="D40" s="18"/>
      <c r="E40" s="41">
        <v>360</v>
      </c>
      <c r="F40" s="42">
        <v>124.2</v>
      </c>
      <c r="G40" s="34" t="s">
        <v>4462</v>
      </c>
      <c r="H40" s="35">
        <v>1829</v>
      </c>
      <c r="I40" s="36">
        <v>3353</v>
      </c>
      <c r="J40" s="37">
        <v>19</v>
      </c>
      <c r="K40" s="25">
        <f t="shared" si="0"/>
        <v>116.52010299999999</v>
      </c>
      <c r="L40" s="39" t="s">
        <v>4464</v>
      </c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/>
      <c r="L41" s="39"/>
    </row>
    <row r="42" spans="1:12" s="27" customFormat="1" ht="19.5" customHeight="1" x14ac:dyDescent="0.3">
      <c r="A42" s="28" t="s">
        <v>4465</v>
      </c>
      <c r="B42" s="16" t="s">
        <v>4466</v>
      </c>
      <c r="C42" s="17">
        <v>22</v>
      </c>
      <c r="D42" s="18" t="s">
        <v>4467</v>
      </c>
      <c r="E42" s="41">
        <v>64</v>
      </c>
      <c r="F42" s="42">
        <v>48.04</v>
      </c>
      <c r="G42" s="34" t="s">
        <v>4468</v>
      </c>
      <c r="H42" s="35">
        <v>1981</v>
      </c>
      <c r="I42" s="36">
        <v>3353</v>
      </c>
      <c r="J42" s="37">
        <v>8</v>
      </c>
      <c r="K42" s="25">
        <f t="shared" si="0"/>
        <v>53.138344000000004</v>
      </c>
      <c r="L42" s="39" t="s">
        <v>4469</v>
      </c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0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0"/>
        <v>0</v>
      </c>
      <c r="L44" s="39"/>
    </row>
    <row r="45" spans="1:12" s="27" customFormat="1" ht="19.5" customHeight="1" x14ac:dyDescent="0.3">
      <c r="A45" s="28"/>
      <c r="B45" s="29"/>
      <c r="C45" s="30"/>
      <c r="D45" s="31"/>
      <c r="E45" s="41"/>
      <c r="F45" s="42"/>
      <c r="G45" s="43"/>
      <c r="H45" s="35"/>
      <c r="I45" s="36"/>
      <c r="J45" s="37"/>
      <c r="K45" s="38">
        <f t="shared" si="0"/>
        <v>0</v>
      </c>
      <c r="L45" s="39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4445</v>
      </c>
      <c r="B47" s="45" t="s">
        <v>1890</v>
      </c>
      <c r="C47" s="46">
        <v>28</v>
      </c>
      <c r="D47" s="47" t="s">
        <v>1894</v>
      </c>
      <c r="E47" s="48">
        <v>12</v>
      </c>
      <c r="F47" s="49">
        <v>6.08</v>
      </c>
      <c r="G47" s="50" t="s">
        <v>189</v>
      </c>
      <c r="H47" s="51">
        <v>2438</v>
      </c>
      <c r="I47" s="45">
        <v>3353</v>
      </c>
      <c r="J47" s="52">
        <v>72</v>
      </c>
      <c r="K47" s="53">
        <f t="shared" si="0"/>
        <v>588.57220800000005</v>
      </c>
      <c r="L47" s="54" t="s">
        <v>100</v>
      </c>
    </row>
    <row r="48" spans="1:12" s="55" customFormat="1" ht="19.5" customHeight="1" x14ac:dyDescent="0.3">
      <c r="A48" s="44"/>
      <c r="B48" s="45"/>
      <c r="C48" s="46">
        <v>28</v>
      </c>
      <c r="D48" s="47" t="s">
        <v>1891</v>
      </c>
      <c r="E48" s="48">
        <v>28</v>
      </c>
      <c r="F48" s="49">
        <v>72.98</v>
      </c>
      <c r="G48" s="50"/>
      <c r="H48" s="51"/>
      <c r="I48" s="45"/>
      <c r="J48" s="52"/>
      <c r="K48" s="53">
        <f t="shared" si="0"/>
        <v>0</v>
      </c>
      <c r="L48" s="54" t="s">
        <v>100</v>
      </c>
    </row>
    <row r="49" spans="1:12" s="55" customFormat="1" ht="19.5" customHeight="1" x14ac:dyDescent="0.3">
      <c r="A49" s="44"/>
      <c r="B49" s="45"/>
      <c r="C49" s="46">
        <v>28</v>
      </c>
      <c r="D49" s="47" t="s">
        <v>1891</v>
      </c>
      <c r="E49" s="48">
        <v>279</v>
      </c>
      <c r="F49" s="49">
        <v>440.82</v>
      </c>
      <c r="G49" s="50"/>
      <c r="H49" s="51"/>
      <c r="I49" s="45"/>
      <c r="J49" s="52"/>
      <c r="K49" s="53">
        <f t="shared" si="0"/>
        <v>0</v>
      </c>
      <c r="L49" s="54" t="s">
        <v>100</v>
      </c>
    </row>
    <row r="50" spans="1:12" s="55" customFormat="1" ht="19.5" customHeight="1" x14ac:dyDescent="0.3">
      <c r="A50" s="44" t="s">
        <v>57</v>
      </c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4470</v>
      </c>
      <c r="B52" s="45" t="s">
        <v>4471</v>
      </c>
      <c r="C52" s="46">
        <v>28</v>
      </c>
      <c r="D52" s="47" t="s">
        <v>4472</v>
      </c>
      <c r="E52" s="48">
        <v>12</v>
      </c>
      <c r="F52" s="49">
        <v>6.08</v>
      </c>
      <c r="G52" s="50" t="s">
        <v>4473</v>
      </c>
      <c r="H52" s="51">
        <v>2438</v>
      </c>
      <c r="I52" s="45">
        <v>3048</v>
      </c>
      <c r="J52" s="52">
        <v>1</v>
      </c>
      <c r="K52" s="53">
        <f t="shared" si="0"/>
        <v>7.4310240000000007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 t="s">
        <v>4474</v>
      </c>
      <c r="H53" s="51">
        <v>2438</v>
      </c>
      <c r="I53" s="45">
        <v>3353</v>
      </c>
      <c r="J53" s="52">
        <v>1</v>
      </c>
      <c r="K53" s="53">
        <f t="shared" si="0"/>
        <v>8.174614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>
        <v>28</v>
      </c>
      <c r="D55" s="47" t="s">
        <v>4475</v>
      </c>
      <c r="E55" s="48">
        <v>28</v>
      </c>
      <c r="F55" s="49">
        <v>72.98</v>
      </c>
      <c r="G55" s="50" t="s">
        <v>4474</v>
      </c>
      <c r="H55" s="51">
        <v>2438</v>
      </c>
      <c r="I55" s="45">
        <v>3353</v>
      </c>
      <c r="J55" s="52">
        <v>72</v>
      </c>
      <c r="K55" s="53">
        <f t="shared" si="0"/>
        <v>588.57220800000005</v>
      </c>
      <c r="L55" s="54" t="s">
        <v>4508</v>
      </c>
    </row>
    <row r="56" spans="1:12" s="55" customFormat="1" ht="19.5" customHeight="1" x14ac:dyDescent="0.3">
      <c r="A56" s="44"/>
      <c r="B56" s="45"/>
      <c r="C56" s="46">
        <v>28</v>
      </c>
      <c r="D56" s="47" t="s">
        <v>4476</v>
      </c>
      <c r="E56" s="48">
        <v>279</v>
      </c>
      <c r="F56" s="49">
        <v>440.82</v>
      </c>
      <c r="G56" s="50"/>
      <c r="H56" s="51"/>
      <c r="I56" s="45"/>
      <c r="J56" s="52"/>
      <c r="K56" s="53">
        <f t="shared" si="0"/>
        <v>0</v>
      </c>
      <c r="L56" s="54" t="s">
        <v>4508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9" customFormat="1" ht="20.100000000000001" customHeight="1" x14ac:dyDescent="0.3">
      <c r="A63" s="44"/>
      <c r="B63" s="45"/>
      <c r="C63" s="46"/>
      <c r="D63" s="47"/>
      <c r="E63" s="56"/>
      <c r="F63" s="57"/>
      <c r="G63" s="50"/>
      <c r="H63" s="51"/>
      <c r="I63" s="45"/>
      <c r="J63" s="52"/>
      <c r="K63" s="53">
        <f t="shared" si="0"/>
        <v>0</v>
      </c>
      <c r="L63" s="58">
        <f>SUM(J46:J64)</f>
        <v>146</v>
      </c>
    </row>
    <row r="64" spans="1:12" s="59" customFormat="1" ht="20.100000000000001" customHeight="1" x14ac:dyDescent="0.3">
      <c r="A64" s="44"/>
      <c r="B64" s="45"/>
      <c r="C64" s="46"/>
      <c r="D64" s="47"/>
      <c r="E64" s="60"/>
      <c r="F64" s="61"/>
      <c r="G64" s="62"/>
      <c r="H64" s="51"/>
      <c r="I64" s="45"/>
      <c r="J64" s="63"/>
      <c r="K64" s="53">
        <f t="shared" si="0"/>
        <v>0</v>
      </c>
      <c r="L64" s="64">
        <f>SUM(K46:K64)</f>
        <v>1192.7500540000001</v>
      </c>
    </row>
    <row r="65" spans="1:12" s="59" customFormat="1" ht="20.100000000000001" customHeight="1" thickBot="1" x14ac:dyDescent="0.35">
      <c r="A65" s="114"/>
      <c r="B65" s="115"/>
      <c r="C65" s="115"/>
      <c r="D65" s="115"/>
      <c r="E65" s="115"/>
      <c r="F65" s="115"/>
      <c r="G65" s="115"/>
      <c r="H65" s="115"/>
      <c r="I65" s="115"/>
      <c r="J65" s="65">
        <f>SUM(J7:J64)</f>
        <v>323</v>
      </c>
      <c r="K65" s="66">
        <f>SUM(K7:K64)</f>
        <v>2368.8811990000004</v>
      </c>
      <c r="L65" s="67"/>
    </row>
    <row r="66" spans="1:12" s="59" customFormat="1" ht="20.100000000000001" customHeight="1" thickTop="1" thickBot="1" x14ac:dyDescent="0.35">
      <c r="A66" s="116" t="s">
        <v>52</v>
      </c>
      <c r="B66" s="117"/>
      <c r="C66" s="68"/>
      <c r="D66" s="118">
        <f>J65</f>
        <v>323</v>
      </c>
      <c r="E66" s="119"/>
      <c r="F66" s="119"/>
      <c r="G66" s="120"/>
      <c r="H66" s="121"/>
      <c r="I66" s="121"/>
      <c r="J66" s="122"/>
      <c r="K66" s="119"/>
      <c r="L66" s="123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71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72"/>
      <c r="F72" s="5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5"/>
      <c r="G73" s="73"/>
      <c r="H73" s="5"/>
      <c r="I73" s="74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72"/>
      <c r="I77" s="72"/>
      <c r="J77" s="5"/>
      <c r="K77" s="5"/>
      <c r="L77" s="5"/>
    </row>
    <row r="78" spans="1:12" ht="20.100000000000001" customHeight="1" x14ac:dyDescent="0.3">
      <c r="A78" s="113"/>
      <c r="B78" s="113"/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H85" s="72"/>
      <c r="I85" s="72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J86" s="5"/>
      <c r="K86" s="5"/>
      <c r="L86" s="5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5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5" customFormat="1" ht="19.5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2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ht="19.5" customHeight="1" x14ac:dyDescent="0.3"/>
    <row r="94" spans="1:12" ht="19.5" customHeight="1" x14ac:dyDescent="0.3"/>
    <row r="95" spans="1:12" ht="19.5" customHeight="1" x14ac:dyDescent="0.3"/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>
        <v>2</v>
      </c>
      <c r="C156" s="5"/>
      <c r="D156" s="5"/>
      <c r="E156" s="5"/>
      <c r="F156" s="70"/>
      <c r="G156" s="5"/>
      <c r="H156" s="5"/>
      <c r="I156" s="5"/>
      <c r="J156" s="5"/>
      <c r="K156" s="5"/>
      <c r="L15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1:B7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5:I65"/>
    <mergeCell ref="A66:B66"/>
    <mergeCell ref="D66:G66"/>
    <mergeCell ref="H66:J66"/>
    <mergeCell ref="K66:L66"/>
    <mergeCell ref="A81:B81"/>
    <mergeCell ref="A82:B82"/>
    <mergeCell ref="A72:B72"/>
    <mergeCell ref="A73:B73"/>
    <mergeCell ref="A74:B74"/>
    <mergeCell ref="A76:B76"/>
    <mergeCell ref="A77:B77"/>
    <mergeCell ref="A78:B7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L159"/>
  <sheetViews>
    <sheetView view="pageBreakPreview" topLeftCell="A21" zoomScale="55" zoomScaleSheetLayoutView="55" workbookViewId="0">
      <selection activeCell="U45" sqref="U45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46174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7" si="0">(H7/1000*I7/1000)*J7</f>
        <v>0</v>
      </c>
      <c r="L7" s="26">
        <f>SUM(J7:J34)</f>
        <v>81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SUM(K7:K34)</f>
        <v>538.05255699999998</v>
      </c>
    </row>
    <row r="9" spans="1:12" s="27" customFormat="1" ht="19.5" customHeight="1" x14ac:dyDescent="0.3">
      <c r="A9" s="28" t="s">
        <v>4384</v>
      </c>
      <c r="B9" s="16" t="s">
        <v>4385</v>
      </c>
      <c r="C9" s="17">
        <v>22</v>
      </c>
      <c r="D9" s="18" t="s">
        <v>4386</v>
      </c>
      <c r="E9" s="41">
        <v>4</v>
      </c>
      <c r="F9" s="42">
        <v>3.57</v>
      </c>
      <c r="G9" s="34" t="s">
        <v>4387</v>
      </c>
      <c r="H9" s="35">
        <v>1981</v>
      </c>
      <c r="I9" s="36">
        <v>3353</v>
      </c>
      <c r="J9" s="37">
        <v>1</v>
      </c>
      <c r="K9" s="25">
        <f t="shared" si="0"/>
        <v>6.6422930000000004</v>
      </c>
      <c r="L9" s="39"/>
    </row>
    <row r="10" spans="1:12" s="27" customFormat="1" ht="19.5" customHeight="1" x14ac:dyDescent="0.3">
      <c r="A10" s="28"/>
      <c r="B10" s="16"/>
      <c r="C10" s="17">
        <v>26</v>
      </c>
      <c r="D10" s="18" t="s">
        <v>4386</v>
      </c>
      <c r="E10" s="41">
        <v>1</v>
      </c>
      <c r="F10" s="42">
        <v>1.43</v>
      </c>
      <c r="G10" s="34" t="s">
        <v>4388</v>
      </c>
      <c r="H10" s="35">
        <v>2438</v>
      </c>
      <c r="I10" s="36">
        <v>3353</v>
      </c>
      <c r="J10" s="37">
        <v>1</v>
      </c>
      <c r="K10" s="25">
        <f t="shared" ref="K10:K33" si="1">(H10/1000*I10/1000)*J10</f>
        <v>8.174614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1"/>
        <v>0</v>
      </c>
      <c r="L11" s="39"/>
    </row>
    <row r="12" spans="1:12" s="27" customFormat="1" ht="19.5" customHeight="1" x14ac:dyDescent="0.3">
      <c r="A12" s="28" t="s">
        <v>4389</v>
      </c>
      <c r="B12" s="16" t="s">
        <v>4390</v>
      </c>
      <c r="C12" s="17">
        <v>22</v>
      </c>
      <c r="D12" s="18" t="s">
        <v>4391</v>
      </c>
      <c r="E12" s="41">
        <v>1</v>
      </c>
      <c r="F12" s="42">
        <v>0.89</v>
      </c>
      <c r="G12" s="34"/>
      <c r="H12" s="35"/>
      <c r="I12" s="36"/>
      <c r="J12" s="37"/>
      <c r="K12" s="25">
        <f t="shared" si="1"/>
        <v>0</v>
      </c>
      <c r="L12" s="39" t="s">
        <v>4392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1"/>
        <v>0</v>
      </c>
      <c r="L13" s="39"/>
    </row>
    <row r="14" spans="1:12" s="27" customFormat="1" ht="19.5" customHeight="1" x14ac:dyDescent="0.3">
      <c r="A14" s="28" t="s">
        <v>4393</v>
      </c>
      <c r="B14" s="16" t="s">
        <v>4394</v>
      </c>
      <c r="C14" s="17">
        <v>8</v>
      </c>
      <c r="D14" s="18" t="s">
        <v>4395</v>
      </c>
      <c r="E14" s="41">
        <v>48</v>
      </c>
      <c r="F14" s="42">
        <v>43.76</v>
      </c>
      <c r="G14" s="34" t="s">
        <v>4396</v>
      </c>
      <c r="H14" s="35">
        <v>2286</v>
      </c>
      <c r="I14" s="36">
        <v>3353</v>
      </c>
      <c r="J14" s="37">
        <v>5</v>
      </c>
      <c r="K14" s="25">
        <f t="shared" si="1"/>
        <v>38.32479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4396</v>
      </c>
      <c r="H15" s="35">
        <v>2438</v>
      </c>
      <c r="I15" s="36">
        <v>3353</v>
      </c>
      <c r="J15" s="37">
        <v>1</v>
      </c>
      <c r="K15" s="25">
        <f t="shared" si="1"/>
        <v>8.174614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1"/>
        <v>0</v>
      </c>
      <c r="L16" s="39"/>
    </row>
    <row r="17" spans="1:12" s="27" customFormat="1" ht="19.5" customHeight="1" x14ac:dyDescent="0.3">
      <c r="A17" s="28" t="s">
        <v>4397</v>
      </c>
      <c r="B17" s="16" t="s">
        <v>4398</v>
      </c>
      <c r="C17" s="17">
        <v>22</v>
      </c>
      <c r="D17" s="18" t="s">
        <v>4386</v>
      </c>
      <c r="E17" s="41">
        <v>72</v>
      </c>
      <c r="F17" s="42">
        <v>66.599999999999994</v>
      </c>
      <c r="G17" s="34" t="s">
        <v>4387</v>
      </c>
      <c r="H17" s="35">
        <v>1981</v>
      </c>
      <c r="I17" s="36">
        <v>3353</v>
      </c>
      <c r="J17" s="37">
        <v>10</v>
      </c>
      <c r="K17" s="25">
        <f t="shared" si="1"/>
        <v>66.422930000000008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4399</v>
      </c>
      <c r="H18" s="35">
        <v>1981</v>
      </c>
      <c r="I18" s="36">
        <v>3353</v>
      </c>
      <c r="J18" s="37">
        <v>10</v>
      </c>
      <c r="K18" s="25">
        <f t="shared" si="1"/>
        <v>66.422930000000008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1"/>
        <v>0</v>
      </c>
      <c r="L19" s="39"/>
    </row>
    <row r="20" spans="1:12" s="27" customFormat="1" ht="19.5" customHeight="1" x14ac:dyDescent="0.3">
      <c r="A20" s="28" t="s">
        <v>4400</v>
      </c>
      <c r="B20" s="16" t="s">
        <v>4398</v>
      </c>
      <c r="C20" s="17">
        <v>22</v>
      </c>
      <c r="D20" s="18" t="s">
        <v>4386</v>
      </c>
      <c r="E20" s="41">
        <v>60</v>
      </c>
      <c r="F20" s="42">
        <v>50.64</v>
      </c>
      <c r="G20" s="34" t="s">
        <v>4387</v>
      </c>
      <c r="H20" s="35">
        <v>1981</v>
      </c>
      <c r="I20" s="36">
        <v>3353</v>
      </c>
      <c r="J20" s="37">
        <v>8</v>
      </c>
      <c r="K20" s="25">
        <f t="shared" si="1"/>
        <v>53.138344000000004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 t="s">
        <v>4399</v>
      </c>
      <c r="H21" s="35">
        <v>1981</v>
      </c>
      <c r="I21" s="36">
        <v>3353</v>
      </c>
      <c r="J21" s="37">
        <v>7</v>
      </c>
      <c r="K21" s="25">
        <f t="shared" si="1"/>
        <v>46.496051000000001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1"/>
        <v>0</v>
      </c>
      <c r="L22" s="39"/>
    </row>
    <row r="23" spans="1:12" s="27" customFormat="1" ht="19.5" customHeight="1" x14ac:dyDescent="0.3">
      <c r="A23" s="28" t="s">
        <v>4401</v>
      </c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1"/>
        <v>0</v>
      </c>
      <c r="L23" s="39"/>
    </row>
    <row r="24" spans="1:12" s="27" customFormat="1" ht="19.5" customHeight="1" x14ac:dyDescent="0.3">
      <c r="A24" s="28" t="s">
        <v>4418</v>
      </c>
      <c r="B24" s="16" t="s">
        <v>4419</v>
      </c>
      <c r="C24" s="17">
        <v>22</v>
      </c>
      <c r="D24" s="18" t="s">
        <v>4420</v>
      </c>
      <c r="E24" s="41">
        <v>2</v>
      </c>
      <c r="F24" s="42">
        <v>7.88</v>
      </c>
      <c r="G24" s="34" t="s">
        <v>4421</v>
      </c>
      <c r="H24" s="35">
        <v>1981</v>
      </c>
      <c r="I24" s="36">
        <v>3353</v>
      </c>
      <c r="J24" s="37">
        <v>2</v>
      </c>
      <c r="K24" s="25">
        <f t="shared" si="1"/>
        <v>13.284586000000001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 t="s">
        <v>4422</v>
      </c>
      <c r="H25" s="35">
        <v>1981</v>
      </c>
      <c r="I25" s="36">
        <v>3353</v>
      </c>
      <c r="J25" s="37">
        <v>2</v>
      </c>
      <c r="K25" s="25">
        <f t="shared" si="1"/>
        <v>13.284586000000001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1"/>
        <v>0</v>
      </c>
      <c r="L26" s="39"/>
    </row>
    <row r="27" spans="1:12" s="27" customFormat="1" ht="19.5" customHeight="1" x14ac:dyDescent="0.3">
      <c r="A27" s="28" t="s">
        <v>4423</v>
      </c>
      <c r="B27" s="16" t="s">
        <v>4424</v>
      </c>
      <c r="C27" s="17">
        <v>43</v>
      </c>
      <c r="D27" s="18" t="s">
        <v>4425</v>
      </c>
      <c r="E27" s="41">
        <v>12</v>
      </c>
      <c r="F27" s="42">
        <v>20.77</v>
      </c>
      <c r="G27" s="34" t="s">
        <v>4429</v>
      </c>
      <c r="H27" s="35">
        <v>1981</v>
      </c>
      <c r="I27" s="36">
        <v>3353</v>
      </c>
      <c r="J27" s="37">
        <v>10</v>
      </c>
      <c r="K27" s="25">
        <f t="shared" si="1"/>
        <v>66.422930000000008</v>
      </c>
      <c r="L27" s="39"/>
    </row>
    <row r="28" spans="1:12" s="27" customFormat="1" ht="19.5" customHeight="1" x14ac:dyDescent="0.3">
      <c r="A28" s="28"/>
      <c r="B28" s="16"/>
      <c r="C28" s="17">
        <v>26</v>
      </c>
      <c r="D28" s="18" t="s">
        <v>4426</v>
      </c>
      <c r="E28" s="41">
        <v>18</v>
      </c>
      <c r="F28" s="42">
        <v>13.6</v>
      </c>
      <c r="G28" s="34" t="s">
        <v>4421</v>
      </c>
      <c r="H28" s="35">
        <v>1981</v>
      </c>
      <c r="I28" s="36">
        <v>3353</v>
      </c>
      <c r="J28" s="37">
        <v>4</v>
      </c>
      <c r="K28" s="25">
        <f t="shared" si="1"/>
        <v>26.569172000000002</v>
      </c>
      <c r="L28" s="39"/>
    </row>
    <row r="29" spans="1:12" s="27" customFormat="1" ht="19.5" customHeight="1" x14ac:dyDescent="0.3">
      <c r="A29" s="28"/>
      <c r="B29" s="16"/>
      <c r="C29" s="17">
        <v>5</v>
      </c>
      <c r="D29" s="18" t="s">
        <v>4427</v>
      </c>
      <c r="E29" s="41">
        <v>2</v>
      </c>
      <c r="F29" s="42">
        <v>1.1000000000000001</v>
      </c>
      <c r="G29" s="34" t="s">
        <v>4421</v>
      </c>
      <c r="H29" s="35">
        <v>2438</v>
      </c>
      <c r="I29" s="36">
        <v>3353</v>
      </c>
      <c r="J29" s="37">
        <v>1</v>
      </c>
      <c r="K29" s="25">
        <f t="shared" si="1"/>
        <v>8.174614</v>
      </c>
      <c r="L29" s="39"/>
    </row>
    <row r="30" spans="1:12" s="27" customFormat="1" ht="19.5" customHeight="1" x14ac:dyDescent="0.3">
      <c r="A30" s="28"/>
      <c r="B30" s="16"/>
      <c r="C30" s="17">
        <v>12</v>
      </c>
      <c r="D30" s="18" t="s">
        <v>4428</v>
      </c>
      <c r="E30" s="41">
        <v>1</v>
      </c>
      <c r="F30" s="42">
        <v>0.38</v>
      </c>
      <c r="G30" s="34" t="s">
        <v>4421</v>
      </c>
      <c r="H30" s="35">
        <v>1829</v>
      </c>
      <c r="I30" s="36">
        <v>3353</v>
      </c>
      <c r="J30" s="37">
        <v>1</v>
      </c>
      <c r="K30" s="25">
        <f t="shared" si="1"/>
        <v>6.1326369999999999</v>
      </c>
      <c r="L30" s="39" t="s">
        <v>4430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1"/>
        <v>0</v>
      </c>
      <c r="L31" s="39"/>
    </row>
    <row r="32" spans="1:12" s="27" customFormat="1" ht="19.5" customHeight="1" x14ac:dyDescent="0.3">
      <c r="A32" s="28" t="s">
        <v>4431</v>
      </c>
      <c r="B32" s="16" t="s">
        <v>4432</v>
      </c>
      <c r="C32" s="17">
        <v>5</v>
      </c>
      <c r="D32" s="18" t="s">
        <v>4433</v>
      </c>
      <c r="E32" s="41">
        <v>262</v>
      </c>
      <c r="F32" s="42">
        <v>103.96</v>
      </c>
      <c r="G32" s="34" t="s">
        <v>4421</v>
      </c>
      <c r="H32" s="35">
        <v>1829</v>
      </c>
      <c r="I32" s="36">
        <v>3353</v>
      </c>
      <c r="J32" s="37">
        <v>18</v>
      </c>
      <c r="K32" s="25">
        <f t="shared" si="1"/>
        <v>110.387466</v>
      </c>
      <c r="L32" s="39" t="s">
        <v>4434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1"/>
        <v>0</v>
      </c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38">
        <f t="shared" si="0"/>
        <v>0</v>
      </c>
      <c r="L34" s="39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ref="K35:K48" si="2">(H35/1000*I35/1000)*J35</f>
        <v>0</v>
      </c>
      <c r="L35" s="54"/>
    </row>
    <row r="36" spans="1:12" s="55" customFormat="1" ht="19.5" customHeight="1" x14ac:dyDescent="0.3">
      <c r="A36" s="44" t="s">
        <v>4402</v>
      </c>
      <c r="B36" s="45" t="s">
        <v>4403</v>
      </c>
      <c r="C36" s="46">
        <v>22</v>
      </c>
      <c r="D36" s="47" t="s">
        <v>4386</v>
      </c>
      <c r="E36" s="48">
        <v>80</v>
      </c>
      <c r="F36" s="49">
        <v>69.36</v>
      </c>
      <c r="G36" s="50" t="s">
        <v>4404</v>
      </c>
      <c r="H36" s="51">
        <v>1981</v>
      </c>
      <c r="I36" s="45">
        <v>3353</v>
      </c>
      <c r="J36" s="52">
        <v>12</v>
      </c>
      <c r="K36" s="53">
        <f t="shared" si="2"/>
        <v>79.707515999999998</v>
      </c>
      <c r="L36" s="54" t="s">
        <v>4405</v>
      </c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2"/>
        <v>0</v>
      </c>
      <c r="L37" s="54"/>
    </row>
    <row r="38" spans="1:12" s="55" customFormat="1" ht="19.5" customHeight="1" x14ac:dyDescent="0.3">
      <c r="A38" s="44" t="s">
        <v>4406</v>
      </c>
      <c r="B38" s="45" t="s">
        <v>4407</v>
      </c>
      <c r="C38" s="46">
        <v>28</v>
      </c>
      <c r="D38" s="47" t="s">
        <v>4408</v>
      </c>
      <c r="E38" s="48">
        <v>69</v>
      </c>
      <c r="F38" s="49">
        <v>74.86</v>
      </c>
      <c r="G38" s="50" t="s">
        <v>4409</v>
      </c>
      <c r="H38" s="51">
        <v>2438</v>
      </c>
      <c r="I38" s="45">
        <v>3048</v>
      </c>
      <c r="J38" s="52">
        <v>12</v>
      </c>
      <c r="K38" s="53">
        <f t="shared" si="2"/>
        <v>89.172288000000009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 t="s">
        <v>4410</v>
      </c>
      <c r="H39" s="51">
        <v>2438</v>
      </c>
      <c r="I39" s="45">
        <v>3048</v>
      </c>
      <c r="J39" s="52">
        <v>12</v>
      </c>
      <c r="K39" s="53">
        <f t="shared" si="2"/>
        <v>89.172288000000009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2"/>
        <v>0</v>
      </c>
      <c r="L40" s="54"/>
    </row>
    <row r="41" spans="1:12" s="55" customFormat="1" ht="19.5" customHeight="1" x14ac:dyDescent="0.3">
      <c r="A41" s="44" t="s">
        <v>4411</v>
      </c>
      <c r="B41" s="45" t="s">
        <v>4412</v>
      </c>
      <c r="C41" s="46">
        <v>24</v>
      </c>
      <c r="D41" s="47" t="s">
        <v>4413</v>
      </c>
      <c r="E41" s="48">
        <v>7</v>
      </c>
      <c r="F41" s="49">
        <v>3.59</v>
      </c>
      <c r="G41" s="50" t="s">
        <v>4387</v>
      </c>
      <c r="H41" s="51">
        <v>2438</v>
      </c>
      <c r="I41" s="45">
        <v>3353</v>
      </c>
      <c r="J41" s="52">
        <v>1</v>
      </c>
      <c r="K41" s="53">
        <f t="shared" si="2"/>
        <v>8.174614</v>
      </c>
      <c r="L41" s="54"/>
    </row>
    <row r="42" spans="1:12" s="55" customFormat="1" ht="19.5" customHeight="1" x14ac:dyDescent="0.3">
      <c r="A42" s="44"/>
      <c r="B42" s="45"/>
      <c r="C42" s="46">
        <v>24</v>
      </c>
      <c r="D42" s="47" t="s">
        <v>4414</v>
      </c>
      <c r="E42" s="48">
        <v>16</v>
      </c>
      <c r="F42" s="49">
        <v>6.19</v>
      </c>
      <c r="G42" s="50" t="s">
        <v>4415</v>
      </c>
      <c r="H42" s="51">
        <v>2438</v>
      </c>
      <c r="I42" s="45">
        <v>3353</v>
      </c>
      <c r="J42" s="52">
        <v>1</v>
      </c>
      <c r="K42" s="53">
        <f t="shared" si="2"/>
        <v>8.174614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2"/>
        <v>0</v>
      </c>
      <c r="L43" s="54"/>
    </row>
    <row r="44" spans="1:12" s="55" customFormat="1" ht="19.5" customHeight="1" x14ac:dyDescent="0.3">
      <c r="A44" s="44" t="s">
        <v>4416</v>
      </c>
      <c r="B44" s="45" t="s">
        <v>4412</v>
      </c>
      <c r="C44" s="46">
        <v>24</v>
      </c>
      <c r="D44" s="47" t="s">
        <v>4414</v>
      </c>
      <c r="E44" s="48">
        <v>26</v>
      </c>
      <c r="F44" s="49">
        <v>27.05</v>
      </c>
      <c r="G44" s="50" t="s">
        <v>4387</v>
      </c>
      <c r="H44" s="51">
        <v>2438</v>
      </c>
      <c r="I44" s="45">
        <v>3353</v>
      </c>
      <c r="J44" s="52">
        <v>4</v>
      </c>
      <c r="K44" s="53">
        <f t="shared" si="2"/>
        <v>32.698456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4415</v>
      </c>
      <c r="H45" s="51">
        <v>2438</v>
      </c>
      <c r="I45" s="45">
        <v>3353</v>
      </c>
      <c r="J45" s="52">
        <v>3</v>
      </c>
      <c r="K45" s="53">
        <f t="shared" si="2"/>
        <v>24.523842000000002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 t="s">
        <v>4415</v>
      </c>
      <c r="H46" s="51">
        <v>1829</v>
      </c>
      <c r="I46" s="45">
        <v>3353</v>
      </c>
      <c r="J46" s="52">
        <v>1</v>
      </c>
      <c r="K46" s="53">
        <f t="shared" si="2"/>
        <v>6.1326369999999999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2"/>
        <v>0</v>
      </c>
      <c r="L47" s="54"/>
    </row>
    <row r="48" spans="1:12" s="55" customFormat="1" ht="19.5" customHeight="1" x14ac:dyDescent="0.3">
      <c r="A48" s="44" t="s">
        <v>4417</v>
      </c>
      <c r="B48" s="45" t="s">
        <v>4412</v>
      </c>
      <c r="C48" s="46">
        <v>24</v>
      </c>
      <c r="D48" s="47" t="s">
        <v>4414</v>
      </c>
      <c r="E48" s="48">
        <v>35</v>
      </c>
      <c r="F48" s="49">
        <v>25.95</v>
      </c>
      <c r="G48" s="50" t="s">
        <v>4387</v>
      </c>
      <c r="H48" s="51">
        <v>2438</v>
      </c>
      <c r="I48" s="45">
        <v>3353</v>
      </c>
      <c r="J48" s="52">
        <v>4</v>
      </c>
      <c r="K48" s="53">
        <f t="shared" si="2"/>
        <v>32.698456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4415</v>
      </c>
      <c r="H49" s="51">
        <v>2438</v>
      </c>
      <c r="I49" s="45">
        <v>3353</v>
      </c>
      <c r="J49" s="52">
        <v>4</v>
      </c>
      <c r="K49" s="53">
        <f t="shared" ref="K49:K65" si="3">(H49/1000*I49/1000)*J49</f>
        <v>32.698456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3"/>
        <v>0</v>
      </c>
      <c r="L50" s="54"/>
    </row>
    <row r="51" spans="1:12" s="55" customFormat="1" ht="19.5" customHeight="1" x14ac:dyDescent="0.3">
      <c r="A51" s="44" t="s">
        <v>4401</v>
      </c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3"/>
        <v>0</v>
      </c>
      <c r="L51" s="54"/>
    </row>
    <row r="52" spans="1:12" s="55" customFormat="1" ht="19.5" customHeight="1" x14ac:dyDescent="0.3">
      <c r="A52" s="44" t="s">
        <v>4435</v>
      </c>
      <c r="B52" s="45" t="s">
        <v>21</v>
      </c>
      <c r="C52" s="46">
        <v>22</v>
      </c>
      <c r="D52" s="47" t="s">
        <v>17</v>
      </c>
      <c r="E52" s="48">
        <v>96</v>
      </c>
      <c r="F52" s="49">
        <v>77.400000000000006</v>
      </c>
      <c r="G52" s="50" t="s">
        <v>39</v>
      </c>
      <c r="H52" s="51">
        <v>1981</v>
      </c>
      <c r="I52" s="45">
        <v>3353</v>
      </c>
      <c r="J52" s="52">
        <v>14</v>
      </c>
      <c r="K52" s="53">
        <f t="shared" si="3"/>
        <v>92.992102000000003</v>
      </c>
      <c r="L52" s="54" t="s">
        <v>4405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3"/>
        <v>0</v>
      </c>
      <c r="L53" s="54"/>
    </row>
    <row r="54" spans="1:12" s="55" customFormat="1" ht="19.5" customHeight="1" x14ac:dyDescent="0.3">
      <c r="A54" s="44" t="s">
        <v>4436</v>
      </c>
      <c r="B54" s="45" t="s">
        <v>21</v>
      </c>
      <c r="C54" s="46">
        <v>22</v>
      </c>
      <c r="D54" s="47" t="s">
        <v>17</v>
      </c>
      <c r="E54" s="48">
        <v>108</v>
      </c>
      <c r="F54" s="49">
        <v>88.68</v>
      </c>
      <c r="G54" s="50" t="s">
        <v>39</v>
      </c>
      <c r="H54" s="51">
        <v>1981</v>
      </c>
      <c r="I54" s="45">
        <v>3353</v>
      </c>
      <c r="J54" s="52">
        <v>15</v>
      </c>
      <c r="K54" s="53">
        <f t="shared" si="3"/>
        <v>99.634395000000012</v>
      </c>
      <c r="L54" s="54" t="s">
        <v>4405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3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3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3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3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3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3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3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3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3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3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3"/>
        <v>0</v>
      </c>
      <c r="L65" s="54"/>
    </row>
    <row r="66" spans="1:12" s="59" customFormat="1" ht="20.100000000000001" customHeight="1" x14ac:dyDescent="0.3">
      <c r="A66" s="44"/>
      <c r="B66" s="45"/>
      <c r="C66" s="46"/>
      <c r="D66" s="47"/>
      <c r="E66" s="56"/>
      <c r="F66" s="57"/>
      <c r="G66" s="50"/>
      <c r="H66" s="51"/>
      <c r="I66" s="45"/>
      <c r="J66" s="52"/>
      <c r="K66" s="53">
        <f t="shared" si="0"/>
        <v>0</v>
      </c>
      <c r="L66" s="58">
        <f>SUM(J35:J67)</f>
        <v>83</v>
      </c>
    </row>
    <row r="67" spans="1:12" s="59" customFormat="1" ht="20.100000000000001" customHeight="1" x14ac:dyDescent="0.3">
      <c r="A67" s="44"/>
      <c r="B67" s="45"/>
      <c r="C67" s="46"/>
      <c r="D67" s="47"/>
      <c r="E67" s="60"/>
      <c r="F67" s="61"/>
      <c r="G67" s="62"/>
      <c r="H67" s="51"/>
      <c r="I67" s="45"/>
      <c r="J67" s="63"/>
      <c r="K67" s="53">
        <f t="shared" si="0"/>
        <v>0</v>
      </c>
      <c r="L67" s="64">
        <f>SUM(K35:K67)</f>
        <v>595.77966400000014</v>
      </c>
    </row>
    <row r="68" spans="1:12" s="59" customFormat="1" ht="20.100000000000001" customHeight="1" thickBot="1" x14ac:dyDescent="0.35">
      <c r="A68" s="114"/>
      <c r="B68" s="115"/>
      <c r="C68" s="115"/>
      <c r="D68" s="115"/>
      <c r="E68" s="115"/>
      <c r="F68" s="115"/>
      <c r="G68" s="115"/>
      <c r="H68" s="115"/>
      <c r="I68" s="115"/>
      <c r="J68" s="65">
        <f>SUM(J7:J67)</f>
        <v>164</v>
      </c>
      <c r="K68" s="66">
        <f>SUM(K7:K67)</f>
        <v>1133.8322209999999</v>
      </c>
      <c r="L68" s="67"/>
    </row>
    <row r="69" spans="1:12" s="59" customFormat="1" ht="20.100000000000001" customHeight="1" thickTop="1" thickBot="1" x14ac:dyDescent="0.35">
      <c r="A69" s="116" t="s">
        <v>52</v>
      </c>
      <c r="B69" s="117"/>
      <c r="C69" s="68"/>
      <c r="D69" s="118">
        <f>J68</f>
        <v>164</v>
      </c>
      <c r="E69" s="119"/>
      <c r="F69" s="119"/>
      <c r="G69" s="120"/>
      <c r="H69" s="121"/>
      <c r="I69" s="121"/>
      <c r="J69" s="122"/>
      <c r="K69" s="119"/>
      <c r="L69" s="123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71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72"/>
      <c r="F75" s="5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5"/>
      <c r="G76" s="73"/>
      <c r="H76" s="5"/>
      <c r="I76" s="74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72"/>
      <c r="I80" s="72"/>
      <c r="J80" s="5"/>
      <c r="K80" s="5"/>
      <c r="L80" s="5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A84" s="113"/>
      <c r="B84" s="113"/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5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19.5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ht="19.5" customHeight="1" x14ac:dyDescent="0.3"/>
    <row r="97" spans="2:12" ht="19.5" customHeight="1" x14ac:dyDescent="0.3"/>
    <row r="98" spans="2:12" ht="19.5" customHeight="1" x14ac:dyDescent="0.3"/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>
        <v>2</v>
      </c>
      <c r="C159" s="5"/>
      <c r="D159" s="5"/>
      <c r="E159" s="5"/>
      <c r="F159" s="70"/>
      <c r="G159" s="5"/>
      <c r="H159" s="5"/>
      <c r="I159" s="5"/>
      <c r="J159" s="5"/>
      <c r="K159" s="5"/>
      <c r="L159" s="5"/>
    </row>
  </sheetData>
  <mergeCells count="30">
    <mergeCell ref="A84:B84"/>
    <mergeCell ref="A85:B85"/>
    <mergeCell ref="A75:B75"/>
    <mergeCell ref="A76:B76"/>
    <mergeCell ref="A77:B77"/>
    <mergeCell ref="A79:B79"/>
    <mergeCell ref="A80:B80"/>
    <mergeCell ref="A81:B81"/>
    <mergeCell ref="A74:B7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8:I68"/>
    <mergeCell ref="A69:B69"/>
    <mergeCell ref="D69:G69"/>
    <mergeCell ref="H69:J69"/>
    <mergeCell ref="K69:L69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L148"/>
  <sheetViews>
    <sheetView view="pageBreakPreview" topLeftCell="A37" zoomScale="85" zoomScaleSheetLayoutView="85" workbookViewId="0">
      <selection activeCell="L55" sqref="L55:L56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46172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6" si="0">(H7/1000*I7/1000)*J7</f>
        <v>0</v>
      </c>
      <c r="L7" s="26">
        <f>SUM(J7:J34)</f>
        <v>118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SUM(K7:K34)</f>
        <v>783.79057399999988</v>
      </c>
    </row>
    <row r="9" spans="1:12" s="27" customFormat="1" ht="19.5" customHeight="1" x14ac:dyDescent="0.3">
      <c r="A9" s="28" t="s">
        <v>4343</v>
      </c>
      <c r="B9" s="16" t="s">
        <v>4344</v>
      </c>
      <c r="C9" s="17">
        <v>22</v>
      </c>
      <c r="D9" s="18" t="s">
        <v>4345</v>
      </c>
      <c r="E9" s="41">
        <v>92</v>
      </c>
      <c r="F9" s="42">
        <v>55.88</v>
      </c>
      <c r="G9" s="34" t="s">
        <v>4346</v>
      </c>
      <c r="H9" s="35">
        <v>1981</v>
      </c>
      <c r="I9" s="36">
        <v>3353</v>
      </c>
      <c r="J9" s="37">
        <v>9</v>
      </c>
      <c r="K9" s="25">
        <f t="shared" si="0"/>
        <v>59.780637000000006</v>
      </c>
      <c r="L9" s="39" t="s">
        <v>4348</v>
      </c>
    </row>
    <row r="10" spans="1:12" s="27" customFormat="1" ht="19.5" customHeight="1" x14ac:dyDescent="0.3">
      <c r="A10" s="28"/>
      <c r="B10" s="16"/>
      <c r="C10" s="17">
        <v>22</v>
      </c>
      <c r="D10" s="18" t="s">
        <v>45</v>
      </c>
      <c r="E10" s="41">
        <v>24</v>
      </c>
      <c r="F10" s="42">
        <v>6.72</v>
      </c>
      <c r="G10" s="34" t="s">
        <v>4347</v>
      </c>
      <c r="H10" s="35">
        <v>1981</v>
      </c>
      <c r="I10" s="36">
        <v>3353</v>
      </c>
      <c r="J10" s="37">
        <v>9</v>
      </c>
      <c r="K10" s="25">
        <f t="shared" si="0"/>
        <v>59.780637000000006</v>
      </c>
      <c r="L10" s="39" t="s">
        <v>4348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/>
      <c r="L11" s="39"/>
    </row>
    <row r="12" spans="1:12" s="27" customFormat="1" ht="19.5" customHeight="1" x14ac:dyDescent="0.3">
      <c r="A12" s="28"/>
      <c r="B12" s="16"/>
      <c r="C12" s="17">
        <v>22</v>
      </c>
      <c r="D12" s="18" t="s">
        <v>84</v>
      </c>
      <c r="E12" s="41">
        <v>104</v>
      </c>
      <c r="F12" s="42">
        <v>87.68</v>
      </c>
      <c r="G12" s="34" t="s">
        <v>80</v>
      </c>
      <c r="H12" s="35">
        <v>1981</v>
      </c>
      <c r="I12" s="36">
        <v>3353</v>
      </c>
      <c r="J12" s="37">
        <v>14</v>
      </c>
      <c r="K12" s="25">
        <f t="shared" si="0"/>
        <v>92.992102000000003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4347</v>
      </c>
      <c r="H13" s="35">
        <v>1981</v>
      </c>
      <c r="I13" s="36">
        <v>3353</v>
      </c>
      <c r="J13" s="37">
        <v>14</v>
      </c>
      <c r="K13" s="25">
        <f t="shared" si="0"/>
        <v>92.992102000000003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/>
      <c r="L14" s="39"/>
    </row>
    <row r="15" spans="1:12" s="27" customFormat="1" ht="19.5" customHeight="1" x14ac:dyDescent="0.3">
      <c r="A15" s="28" t="s">
        <v>4349</v>
      </c>
      <c r="B15" s="16" t="s">
        <v>4344</v>
      </c>
      <c r="C15" s="17">
        <v>22</v>
      </c>
      <c r="D15" s="18" t="s">
        <v>4350</v>
      </c>
      <c r="E15" s="41">
        <v>138</v>
      </c>
      <c r="F15" s="42">
        <v>116.1</v>
      </c>
      <c r="G15" s="34" t="s">
        <v>80</v>
      </c>
      <c r="H15" s="35">
        <v>1981</v>
      </c>
      <c r="I15" s="36">
        <v>3353</v>
      </c>
      <c r="J15" s="37">
        <v>17</v>
      </c>
      <c r="K15" s="25">
        <f t="shared" si="0"/>
        <v>112.918981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4347</v>
      </c>
      <c r="H16" s="35">
        <v>1981</v>
      </c>
      <c r="I16" s="36">
        <v>3353</v>
      </c>
      <c r="J16" s="37">
        <v>17</v>
      </c>
      <c r="K16" s="25">
        <f t="shared" si="0"/>
        <v>112.918981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/>
      <c r="L17" s="39"/>
    </row>
    <row r="18" spans="1:12" s="27" customFormat="1" ht="19.5" customHeight="1" x14ac:dyDescent="0.3">
      <c r="A18" s="28" t="s">
        <v>4357</v>
      </c>
      <c r="B18" s="16" t="s">
        <v>4344</v>
      </c>
      <c r="C18" s="17">
        <v>22</v>
      </c>
      <c r="D18" s="18" t="s">
        <v>48</v>
      </c>
      <c r="E18" s="41">
        <v>12</v>
      </c>
      <c r="F18" s="42">
        <v>17.64</v>
      </c>
      <c r="G18" s="34" t="s">
        <v>4351</v>
      </c>
      <c r="H18" s="35">
        <v>1981</v>
      </c>
      <c r="I18" s="36">
        <v>3353</v>
      </c>
      <c r="J18" s="37">
        <v>3</v>
      </c>
      <c r="K18" s="25">
        <f t="shared" si="0"/>
        <v>19.926879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 t="s">
        <v>4347</v>
      </c>
      <c r="H19" s="35">
        <v>1981</v>
      </c>
      <c r="I19" s="36">
        <v>3353</v>
      </c>
      <c r="J19" s="37">
        <v>3</v>
      </c>
      <c r="K19" s="25">
        <f t="shared" si="0"/>
        <v>19.926879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/>
      <c r="L20" s="39"/>
    </row>
    <row r="21" spans="1:12" s="27" customFormat="1" ht="19.5" customHeight="1" x14ac:dyDescent="0.3">
      <c r="A21" s="28"/>
      <c r="B21" s="16"/>
      <c r="C21" s="17">
        <v>22</v>
      </c>
      <c r="D21" s="18" t="s">
        <v>4352</v>
      </c>
      <c r="E21" s="41">
        <v>6</v>
      </c>
      <c r="F21" s="42">
        <v>19.38</v>
      </c>
      <c r="G21" s="34" t="s">
        <v>4353</v>
      </c>
      <c r="H21" s="35">
        <v>1981</v>
      </c>
      <c r="I21" s="36">
        <v>3353</v>
      </c>
      <c r="J21" s="37">
        <v>3</v>
      </c>
      <c r="K21" s="25">
        <f t="shared" si="0"/>
        <v>19.926879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 t="s">
        <v>4347</v>
      </c>
      <c r="H22" s="35">
        <v>1981</v>
      </c>
      <c r="I22" s="36">
        <v>3353</v>
      </c>
      <c r="J22" s="37">
        <v>3</v>
      </c>
      <c r="K22" s="25">
        <f t="shared" si="0"/>
        <v>19.926879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/>
      <c r="L23" s="39"/>
    </row>
    <row r="24" spans="1:12" s="27" customFormat="1" ht="19.5" customHeight="1" x14ac:dyDescent="0.3">
      <c r="A24" s="28"/>
      <c r="B24" s="16"/>
      <c r="C24" s="17">
        <v>22</v>
      </c>
      <c r="D24" s="18" t="s">
        <v>4354</v>
      </c>
      <c r="E24" s="41">
        <v>54</v>
      </c>
      <c r="F24" s="42">
        <v>29.58</v>
      </c>
      <c r="G24" s="34" t="s">
        <v>4353</v>
      </c>
      <c r="H24" s="35">
        <v>1981</v>
      </c>
      <c r="I24" s="36">
        <v>3353</v>
      </c>
      <c r="J24" s="37">
        <v>5</v>
      </c>
      <c r="K24" s="25">
        <f t="shared" si="0"/>
        <v>33.211465000000004</v>
      </c>
      <c r="L24" s="39" t="s">
        <v>4373</v>
      </c>
    </row>
    <row r="25" spans="1:12" s="27" customFormat="1" ht="19.5" customHeight="1" x14ac:dyDescent="0.3">
      <c r="A25" s="28"/>
      <c r="B25" s="16"/>
      <c r="C25" s="17">
        <v>22</v>
      </c>
      <c r="D25" s="18" t="s">
        <v>4355</v>
      </c>
      <c r="E25" s="41">
        <v>12</v>
      </c>
      <c r="F25" s="42">
        <v>3.36</v>
      </c>
      <c r="G25" s="34" t="s">
        <v>4347</v>
      </c>
      <c r="H25" s="35">
        <v>1981</v>
      </c>
      <c r="I25" s="36">
        <v>3353</v>
      </c>
      <c r="J25" s="37">
        <v>5</v>
      </c>
      <c r="K25" s="25">
        <f t="shared" si="0"/>
        <v>33.211465000000004</v>
      </c>
      <c r="L25" s="39" t="s">
        <v>4373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/>
      <c r="L26" s="39"/>
    </row>
    <row r="27" spans="1:12" s="27" customFormat="1" ht="19.5" customHeight="1" x14ac:dyDescent="0.3">
      <c r="A27" s="28" t="s">
        <v>4356</v>
      </c>
      <c r="B27" s="16" t="s">
        <v>4344</v>
      </c>
      <c r="C27" s="17">
        <v>22</v>
      </c>
      <c r="D27" s="18" t="s">
        <v>4352</v>
      </c>
      <c r="E27" s="41">
        <v>6</v>
      </c>
      <c r="F27" s="42">
        <v>19.38</v>
      </c>
      <c r="G27" s="34" t="s">
        <v>4351</v>
      </c>
      <c r="H27" s="35">
        <v>1981</v>
      </c>
      <c r="I27" s="36">
        <v>3353</v>
      </c>
      <c r="J27" s="37">
        <v>3</v>
      </c>
      <c r="K27" s="25">
        <f t="shared" ref="K27:K31" si="1">(H27/1000*I27/1000)*J27</f>
        <v>19.926879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 t="s">
        <v>4347</v>
      </c>
      <c r="H28" s="35">
        <v>1981</v>
      </c>
      <c r="I28" s="36">
        <v>3353</v>
      </c>
      <c r="J28" s="37">
        <v>3</v>
      </c>
      <c r="K28" s="25">
        <f t="shared" si="1"/>
        <v>19.926879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/>
      <c r="L29" s="39"/>
    </row>
    <row r="30" spans="1:12" s="27" customFormat="1" ht="19.5" customHeight="1" x14ac:dyDescent="0.3">
      <c r="A30" s="28"/>
      <c r="B30" s="16"/>
      <c r="C30" s="17">
        <v>22</v>
      </c>
      <c r="D30" s="18" t="s">
        <v>4354</v>
      </c>
      <c r="E30" s="41">
        <v>54</v>
      </c>
      <c r="F30" s="42">
        <v>31.26</v>
      </c>
      <c r="G30" s="34" t="s">
        <v>4353</v>
      </c>
      <c r="H30" s="35">
        <v>1981</v>
      </c>
      <c r="I30" s="36">
        <v>3353</v>
      </c>
      <c r="J30" s="37">
        <v>5</v>
      </c>
      <c r="K30" s="25">
        <f t="shared" si="1"/>
        <v>33.211465000000004</v>
      </c>
      <c r="L30" s="39" t="s">
        <v>4372</v>
      </c>
    </row>
    <row r="31" spans="1:12" s="27" customFormat="1" ht="19.5" customHeight="1" x14ac:dyDescent="0.3">
      <c r="A31" s="28"/>
      <c r="B31" s="16"/>
      <c r="C31" s="17">
        <v>22</v>
      </c>
      <c r="D31" s="18" t="s">
        <v>4355</v>
      </c>
      <c r="E31" s="41">
        <v>12</v>
      </c>
      <c r="F31" s="42">
        <v>3.36</v>
      </c>
      <c r="G31" s="34" t="s">
        <v>4347</v>
      </c>
      <c r="H31" s="35">
        <v>1981</v>
      </c>
      <c r="I31" s="36">
        <v>3353</v>
      </c>
      <c r="J31" s="37">
        <v>5</v>
      </c>
      <c r="K31" s="25">
        <f t="shared" si="1"/>
        <v>33.211465000000004</v>
      </c>
      <c r="L31" s="39" t="s">
        <v>4372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/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38">
        <f t="shared" si="0"/>
        <v>0</v>
      </c>
      <c r="L34" s="39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/>
      <c r="L35" s="54"/>
    </row>
    <row r="36" spans="1:12" s="55" customFormat="1" ht="19.5" customHeight="1" x14ac:dyDescent="0.3">
      <c r="A36" s="44" t="s">
        <v>4358</v>
      </c>
      <c r="B36" s="45" t="s">
        <v>4359</v>
      </c>
      <c r="C36" s="46">
        <v>24</v>
      </c>
      <c r="D36" s="47" t="s">
        <v>4360</v>
      </c>
      <c r="E36" s="48">
        <v>1</v>
      </c>
      <c r="F36" s="49">
        <v>1.86</v>
      </c>
      <c r="G36" s="50" t="s">
        <v>56</v>
      </c>
      <c r="H36" s="51"/>
      <c r="I36" s="45"/>
      <c r="J36" s="52"/>
      <c r="K36" s="53"/>
      <c r="L36" s="54" t="s">
        <v>31</v>
      </c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 t="s">
        <v>80</v>
      </c>
      <c r="H37" s="51"/>
      <c r="I37" s="45"/>
      <c r="J37" s="52"/>
      <c r="K37" s="53"/>
      <c r="L37" s="54" t="s">
        <v>4361</v>
      </c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/>
      <c r="L38" s="54"/>
    </row>
    <row r="39" spans="1:12" s="55" customFormat="1" ht="19.5" customHeight="1" x14ac:dyDescent="0.3">
      <c r="A39" s="44" t="s">
        <v>4362</v>
      </c>
      <c r="B39" s="45" t="s">
        <v>4363</v>
      </c>
      <c r="C39" s="46">
        <v>24</v>
      </c>
      <c r="D39" s="47" t="s">
        <v>4364</v>
      </c>
      <c r="E39" s="48">
        <v>35</v>
      </c>
      <c r="F39" s="49">
        <v>26.27</v>
      </c>
      <c r="G39" s="50" t="s">
        <v>4365</v>
      </c>
      <c r="H39" s="51">
        <v>2438</v>
      </c>
      <c r="I39" s="45">
        <v>3353</v>
      </c>
      <c r="J39" s="52">
        <v>4</v>
      </c>
      <c r="K39" s="53">
        <f t="shared" si="0"/>
        <v>32.698456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 t="s">
        <v>4366</v>
      </c>
      <c r="H40" s="51">
        <v>2438</v>
      </c>
      <c r="I40" s="45">
        <v>3353</v>
      </c>
      <c r="J40" s="52">
        <v>4</v>
      </c>
      <c r="K40" s="53">
        <f t="shared" si="0"/>
        <v>32.698456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/>
      <c r="L41" s="54"/>
    </row>
    <row r="42" spans="1:12" s="55" customFormat="1" ht="19.5" customHeight="1" x14ac:dyDescent="0.3">
      <c r="A42" s="44" t="s">
        <v>4367</v>
      </c>
      <c r="B42" s="45" t="s">
        <v>4368</v>
      </c>
      <c r="C42" s="46">
        <v>28</v>
      </c>
      <c r="D42" s="47" t="s">
        <v>4369</v>
      </c>
      <c r="E42" s="48">
        <v>20</v>
      </c>
      <c r="F42" s="49">
        <v>10.74</v>
      </c>
      <c r="G42" s="50" t="s">
        <v>4371</v>
      </c>
      <c r="H42" s="51">
        <v>2438</v>
      </c>
      <c r="I42" s="45">
        <v>3353</v>
      </c>
      <c r="J42" s="52">
        <v>64</v>
      </c>
      <c r="K42" s="53">
        <f t="shared" si="0"/>
        <v>523.175296</v>
      </c>
      <c r="L42" s="54" t="s">
        <v>4382</v>
      </c>
    </row>
    <row r="43" spans="1:12" s="55" customFormat="1" ht="19.5" customHeight="1" x14ac:dyDescent="0.3">
      <c r="A43" s="44"/>
      <c r="B43" s="45"/>
      <c r="C43" s="46">
        <v>28</v>
      </c>
      <c r="D43" s="47" t="s">
        <v>4370</v>
      </c>
      <c r="E43" s="48">
        <v>42</v>
      </c>
      <c r="F43" s="49">
        <v>109.68</v>
      </c>
      <c r="G43" s="50"/>
      <c r="H43" s="51"/>
      <c r="I43" s="45"/>
      <c r="J43" s="52"/>
      <c r="K43" s="53"/>
      <c r="L43" s="54" t="s">
        <v>4382</v>
      </c>
    </row>
    <row r="44" spans="1:12" s="55" customFormat="1" ht="19.5" customHeight="1" x14ac:dyDescent="0.3">
      <c r="A44" s="44"/>
      <c r="B44" s="45"/>
      <c r="C44" s="46">
        <v>28</v>
      </c>
      <c r="D44" s="47" t="s">
        <v>4370</v>
      </c>
      <c r="E44" s="48">
        <v>227</v>
      </c>
      <c r="F44" s="49">
        <v>348.04</v>
      </c>
      <c r="G44" s="50"/>
      <c r="H44" s="51"/>
      <c r="I44" s="45"/>
      <c r="J44" s="52"/>
      <c r="K44" s="53"/>
      <c r="L44" s="54" t="s">
        <v>4382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/>
      <c r="L45" s="54"/>
    </row>
    <row r="46" spans="1:12" s="55" customFormat="1" ht="19.5" customHeight="1" x14ac:dyDescent="0.3">
      <c r="A46" s="44" t="s">
        <v>4374</v>
      </c>
      <c r="B46" s="45" t="s">
        <v>4375</v>
      </c>
      <c r="C46" s="46">
        <v>24</v>
      </c>
      <c r="D46" s="47" t="s">
        <v>4376</v>
      </c>
      <c r="E46" s="48">
        <v>3</v>
      </c>
      <c r="F46" s="49">
        <v>6.9</v>
      </c>
      <c r="G46" s="50" t="s">
        <v>4377</v>
      </c>
      <c r="H46" s="51">
        <v>2438</v>
      </c>
      <c r="I46" s="45">
        <v>3048</v>
      </c>
      <c r="J46" s="52">
        <v>4</v>
      </c>
      <c r="K46" s="53">
        <f t="shared" si="0"/>
        <v>29.724096000000003</v>
      </c>
      <c r="L46" s="54" t="s">
        <v>4381</v>
      </c>
    </row>
    <row r="47" spans="1:12" s="55" customFormat="1" ht="19.5" customHeight="1" x14ac:dyDescent="0.3">
      <c r="A47" s="44" t="s">
        <v>4379</v>
      </c>
      <c r="B47" s="45" t="s">
        <v>4375</v>
      </c>
      <c r="C47" s="46">
        <v>24</v>
      </c>
      <c r="D47" s="47" t="s">
        <v>4376</v>
      </c>
      <c r="E47" s="48">
        <v>3</v>
      </c>
      <c r="F47" s="49">
        <v>7.14</v>
      </c>
      <c r="G47" s="50" t="s">
        <v>4378</v>
      </c>
      <c r="H47" s="51">
        <v>1981</v>
      </c>
      <c r="I47" s="45">
        <v>3048</v>
      </c>
      <c r="J47" s="52">
        <v>4</v>
      </c>
      <c r="K47" s="53">
        <f t="shared" si="0"/>
        <v>24.152352000000004</v>
      </c>
      <c r="L47" s="54" t="s">
        <v>4381</v>
      </c>
    </row>
    <row r="48" spans="1:12" s="55" customFormat="1" ht="19.5" customHeight="1" x14ac:dyDescent="0.3">
      <c r="A48" s="44" t="s">
        <v>4380</v>
      </c>
      <c r="B48" s="45" t="s">
        <v>4375</v>
      </c>
      <c r="C48" s="46">
        <v>24</v>
      </c>
      <c r="D48" s="47" t="s">
        <v>4376</v>
      </c>
      <c r="E48" s="48">
        <v>3</v>
      </c>
      <c r="F48" s="49">
        <v>6.99</v>
      </c>
      <c r="G48" s="50"/>
      <c r="H48" s="51"/>
      <c r="I48" s="45"/>
      <c r="J48" s="52"/>
      <c r="K48" s="53"/>
      <c r="L48" s="54" t="s">
        <v>4381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/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/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/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/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9" customFormat="1" ht="20.100000000000001" customHeight="1" x14ac:dyDescent="0.3">
      <c r="A55" s="44"/>
      <c r="B55" s="45"/>
      <c r="C55" s="46"/>
      <c r="D55" s="47"/>
      <c r="E55" s="56"/>
      <c r="F55" s="57"/>
      <c r="G55" s="50"/>
      <c r="H55" s="51"/>
      <c r="I55" s="45"/>
      <c r="J55" s="52"/>
      <c r="K55" s="53">
        <f t="shared" si="0"/>
        <v>0</v>
      </c>
      <c r="L55" s="58">
        <f>SUM(J35:J56)</f>
        <v>80</v>
      </c>
    </row>
    <row r="56" spans="1:12" s="59" customFormat="1" ht="20.100000000000001" customHeight="1" x14ac:dyDescent="0.3">
      <c r="A56" s="44"/>
      <c r="B56" s="45"/>
      <c r="C56" s="46"/>
      <c r="D56" s="47"/>
      <c r="E56" s="60"/>
      <c r="F56" s="61"/>
      <c r="G56" s="62"/>
      <c r="H56" s="51"/>
      <c r="I56" s="45"/>
      <c r="J56" s="63"/>
      <c r="K56" s="53">
        <f t="shared" si="0"/>
        <v>0</v>
      </c>
      <c r="L56" s="64">
        <f>SUM(K35:K56)</f>
        <v>642.44865600000003</v>
      </c>
    </row>
    <row r="57" spans="1:12" s="59" customFormat="1" ht="20.100000000000001" customHeight="1" thickBot="1" x14ac:dyDescent="0.35">
      <c r="A57" s="114"/>
      <c r="B57" s="115"/>
      <c r="C57" s="115"/>
      <c r="D57" s="115"/>
      <c r="E57" s="115"/>
      <c r="F57" s="115"/>
      <c r="G57" s="115"/>
      <c r="H57" s="115"/>
      <c r="I57" s="115"/>
      <c r="J57" s="65">
        <f>SUM(J7:J56)</f>
        <v>198</v>
      </c>
      <c r="K57" s="66">
        <f>SUM(K7:K56)</f>
        <v>1426.2392299999997</v>
      </c>
      <c r="L57" s="67"/>
    </row>
    <row r="58" spans="1:12" s="59" customFormat="1" ht="20.100000000000001" customHeight="1" thickTop="1" thickBot="1" x14ac:dyDescent="0.35">
      <c r="A58" s="116" t="s">
        <v>52</v>
      </c>
      <c r="B58" s="117"/>
      <c r="C58" s="68"/>
      <c r="D58" s="118">
        <f>J57</f>
        <v>198</v>
      </c>
      <c r="E58" s="119"/>
      <c r="F58" s="119"/>
      <c r="G58" s="120"/>
      <c r="H58" s="121"/>
      <c r="I58" s="121"/>
      <c r="J58" s="122"/>
      <c r="K58" s="119"/>
      <c r="L58" s="123"/>
    </row>
    <row r="59" spans="1:12" s="59" customFormat="1" ht="20.100000000000001" customHeight="1" x14ac:dyDescent="0.3">
      <c r="A59" s="69"/>
      <c r="B59" s="5"/>
      <c r="C59" s="5"/>
      <c r="D59" s="5"/>
      <c r="E59" s="5"/>
      <c r="F59" s="70"/>
      <c r="G59" s="5"/>
      <c r="H59" s="5"/>
      <c r="I59" s="5"/>
      <c r="J59" s="5"/>
      <c r="K59" s="5"/>
      <c r="L59" s="71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72"/>
      <c r="F64" s="5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5"/>
      <c r="F65" s="5"/>
      <c r="G65" s="73"/>
      <c r="H65" s="5"/>
      <c r="I65" s="74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72"/>
      <c r="I69" s="72"/>
      <c r="J69" s="5"/>
      <c r="K69" s="5"/>
      <c r="L69" s="5"/>
    </row>
    <row r="70" spans="1:12" ht="20.100000000000001" customHeight="1" x14ac:dyDescent="0.3">
      <c r="A70" s="113"/>
      <c r="B70" s="113"/>
      <c r="H70" s="72"/>
      <c r="I70" s="72"/>
    </row>
    <row r="71" spans="1:12" ht="20.100000000000001" customHeight="1" x14ac:dyDescent="0.3">
      <c r="H71" s="72"/>
      <c r="I71" s="72"/>
    </row>
    <row r="72" spans="1:12" ht="20.100000000000001" customHeight="1" x14ac:dyDescent="0.3">
      <c r="H72" s="72"/>
      <c r="I72" s="72"/>
    </row>
    <row r="73" spans="1:12" ht="20.100000000000001" customHeight="1" x14ac:dyDescent="0.3">
      <c r="A73" s="113"/>
      <c r="B73" s="113"/>
      <c r="H73" s="72"/>
      <c r="I73" s="72"/>
    </row>
    <row r="74" spans="1:12" ht="20.100000000000001" customHeight="1" x14ac:dyDescent="0.3">
      <c r="A74" s="113"/>
      <c r="B74" s="113"/>
      <c r="H74" s="72"/>
      <c r="I74" s="72"/>
    </row>
    <row r="75" spans="1:12" ht="20.100000000000001" customHeight="1" x14ac:dyDescent="0.3"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H77" s="72"/>
      <c r="I77" s="72"/>
    </row>
    <row r="78" spans="1:12" s="72" customFormat="1" ht="20.100000000000001" customHeight="1" x14ac:dyDescent="0.3">
      <c r="A78" s="69"/>
      <c r="B78" s="5"/>
      <c r="C78" s="5"/>
      <c r="D78" s="5"/>
      <c r="E78" s="5"/>
      <c r="F78" s="70"/>
      <c r="G78" s="5"/>
      <c r="J78" s="5"/>
      <c r="K78" s="5"/>
      <c r="L78" s="5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75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5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5" customFormat="1" ht="19.5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2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ht="19.5" customHeight="1" x14ac:dyDescent="0.3"/>
    <row r="86" spans="1:12" ht="19.5" customHeight="1" x14ac:dyDescent="0.3"/>
    <row r="87" spans="1:12" ht="19.5" customHeight="1" x14ac:dyDescent="0.3"/>
    <row r="88" spans="1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>
        <v>2</v>
      </c>
      <c r="C148" s="5"/>
      <c r="D148" s="5"/>
      <c r="E148" s="5"/>
      <c r="F148" s="70"/>
      <c r="G148" s="5"/>
      <c r="H148" s="5"/>
      <c r="I148" s="5"/>
      <c r="J148" s="5"/>
      <c r="K148" s="5"/>
      <c r="L148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3:B63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7:I57"/>
    <mergeCell ref="A58:B58"/>
    <mergeCell ref="D58:G58"/>
    <mergeCell ref="H58:J58"/>
    <mergeCell ref="K58:L58"/>
    <mergeCell ref="A73:B73"/>
    <mergeCell ref="A74:B74"/>
    <mergeCell ref="A64:B64"/>
    <mergeCell ref="A65:B65"/>
    <mergeCell ref="A66:B66"/>
    <mergeCell ref="A68:B68"/>
    <mergeCell ref="A69:B69"/>
    <mergeCell ref="A70:B70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L166"/>
  <sheetViews>
    <sheetView view="pageBreakPreview" topLeftCell="F58" zoomScale="85" zoomScaleSheetLayoutView="85" workbookViewId="0">
      <selection activeCell="L73" sqref="L73:L7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46171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4" si="0">(H7/1000*I7/1000)*J7</f>
        <v>0</v>
      </c>
      <c r="L7" s="26">
        <f>SUM(J7:J42)</f>
        <v>206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SUM(K7:K42)</f>
        <v>1353.2072330000001</v>
      </c>
    </row>
    <row r="9" spans="1:12" s="27" customFormat="1" ht="19.5" customHeight="1" x14ac:dyDescent="0.3">
      <c r="A9" s="28" t="s">
        <v>4278</v>
      </c>
      <c r="B9" s="16" t="s">
        <v>4279</v>
      </c>
      <c r="C9" s="17">
        <v>22</v>
      </c>
      <c r="D9" s="18" t="s">
        <v>4280</v>
      </c>
      <c r="E9" s="41">
        <v>4</v>
      </c>
      <c r="F9" s="42">
        <v>6.81</v>
      </c>
      <c r="G9" s="34" t="s">
        <v>4282</v>
      </c>
      <c r="H9" s="35">
        <v>1981</v>
      </c>
      <c r="I9" s="36">
        <v>3353</v>
      </c>
      <c r="J9" s="37">
        <v>2</v>
      </c>
      <c r="K9" s="25">
        <f t="shared" si="0"/>
        <v>13.284586000000001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4281</v>
      </c>
      <c r="E10" s="41">
        <v>2</v>
      </c>
      <c r="F10" s="42">
        <v>2.35</v>
      </c>
      <c r="G10" s="34" t="s">
        <v>4283</v>
      </c>
      <c r="H10" s="35">
        <v>1981</v>
      </c>
      <c r="I10" s="36">
        <v>3353</v>
      </c>
      <c r="J10" s="37">
        <v>2</v>
      </c>
      <c r="K10" s="25">
        <f t="shared" si="0"/>
        <v>13.284586000000001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4284</v>
      </c>
      <c r="B12" s="16" t="s">
        <v>4285</v>
      </c>
      <c r="C12" s="17">
        <v>24</v>
      </c>
      <c r="D12" s="18" t="s">
        <v>4286</v>
      </c>
      <c r="E12" s="41">
        <v>2</v>
      </c>
      <c r="F12" s="42">
        <v>0.56000000000000005</v>
      </c>
      <c r="G12" s="34"/>
      <c r="H12" s="35"/>
      <c r="I12" s="36"/>
      <c r="J12" s="37"/>
      <c r="K12" s="25">
        <f t="shared" si="0"/>
        <v>0</v>
      </c>
      <c r="L12" s="39" t="s">
        <v>4287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 t="s">
        <v>4288</v>
      </c>
      <c r="B14" s="16" t="s">
        <v>4289</v>
      </c>
      <c r="C14" s="17">
        <v>22</v>
      </c>
      <c r="D14" s="18" t="s">
        <v>4280</v>
      </c>
      <c r="E14" s="41">
        <v>220</v>
      </c>
      <c r="F14" s="42">
        <v>239.24</v>
      </c>
      <c r="G14" s="34" t="s">
        <v>4282</v>
      </c>
      <c r="H14" s="35">
        <v>1981</v>
      </c>
      <c r="I14" s="36">
        <v>3353</v>
      </c>
      <c r="J14" s="37">
        <v>37</v>
      </c>
      <c r="K14" s="25">
        <f t="shared" si="0"/>
        <v>245.76484100000002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4291</v>
      </c>
      <c r="H15" s="35">
        <v>1981</v>
      </c>
      <c r="I15" s="36">
        <v>3353</v>
      </c>
      <c r="J15" s="37">
        <v>37</v>
      </c>
      <c r="K15" s="25">
        <f t="shared" si="0"/>
        <v>245.76484100000002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 t="s">
        <v>4292</v>
      </c>
      <c r="B17" s="16" t="s">
        <v>4293</v>
      </c>
      <c r="C17" s="17">
        <v>24</v>
      </c>
      <c r="D17" s="18" t="s">
        <v>4294</v>
      </c>
      <c r="E17" s="41">
        <v>4</v>
      </c>
      <c r="F17" s="42">
        <v>12.56</v>
      </c>
      <c r="G17" s="34" t="s">
        <v>4283</v>
      </c>
      <c r="H17" s="35">
        <v>1981</v>
      </c>
      <c r="I17" s="36">
        <v>3353</v>
      </c>
      <c r="J17" s="37">
        <v>2</v>
      </c>
      <c r="K17" s="25">
        <f t="shared" si="0"/>
        <v>13.284586000000001</v>
      </c>
      <c r="L17" s="39" t="s">
        <v>4295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 t="s">
        <v>4296</v>
      </c>
      <c r="B19" s="16" t="s">
        <v>4297</v>
      </c>
      <c r="C19" s="17">
        <v>24</v>
      </c>
      <c r="D19" s="18" t="s">
        <v>4300</v>
      </c>
      <c r="E19" s="41">
        <v>10</v>
      </c>
      <c r="F19" s="42">
        <v>23.96</v>
      </c>
      <c r="G19" s="34" t="s">
        <v>4301</v>
      </c>
      <c r="H19" s="35">
        <v>1981</v>
      </c>
      <c r="I19" s="36">
        <v>3048</v>
      </c>
      <c r="J19" s="37">
        <v>14</v>
      </c>
      <c r="K19" s="25">
        <f t="shared" si="0"/>
        <v>84.533232000000012</v>
      </c>
      <c r="L19" s="39" t="s">
        <v>4302</v>
      </c>
    </row>
    <row r="20" spans="1:12" s="27" customFormat="1" ht="19.5" customHeight="1" x14ac:dyDescent="0.3">
      <c r="A20" s="28" t="s">
        <v>4298</v>
      </c>
      <c r="B20" s="16" t="s">
        <v>4297</v>
      </c>
      <c r="C20" s="17">
        <v>24</v>
      </c>
      <c r="D20" s="18" t="s">
        <v>4300</v>
      </c>
      <c r="E20" s="41">
        <v>15</v>
      </c>
      <c r="F20" s="42">
        <v>29.33</v>
      </c>
      <c r="G20" s="34" t="s">
        <v>4283</v>
      </c>
      <c r="H20" s="35">
        <v>1981</v>
      </c>
      <c r="I20" s="36">
        <v>3048</v>
      </c>
      <c r="J20" s="37">
        <v>11</v>
      </c>
      <c r="K20" s="25">
        <f t="shared" si="0"/>
        <v>66.418968000000007</v>
      </c>
      <c r="L20" s="39" t="s">
        <v>4302</v>
      </c>
    </row>
    <row r="21" spans="1:12" s="27" customFormat="1" ht="19.5" customHeight="1" x14ac:dyDescent="0.3">
      <c r="A21" s="28" t="s">
        <v>4299</v>
      </c>
      <c r="B21" s="16" t="s">
        <v>4297</v>
      </c>
      <c r="C21" s="17">
        <v>24</v>
      </c>
      <c r="D21" s="18" t="s">
        <v>4300</v>
      </c>
      <c r="E21" s="41">
        <v>8</v>
      </c>
      <c r="F21" s="42">
        <v>16.809999999999999</v>
      </c>
      <c r="G21" s="34" t="s">
        <v>4283</v>
      </c>
      <c r="H21" s="35">
        <v>1981</v>
      </c>
      <c r="I21" s="36">
        <v>3353</v>
      </c>
      <c r="J21" s="37">
        <v>3</v>
      </c>
      <c r="K21" s="25">
        <f t="shared" si="0"/>
        <v>19.926879</v>
      </c>
      <c r="L21" s="39" t="s">
        <v>4302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 t="s">
        <v>4303</v>
      </c>
      <c r="B23" s="16" t="s">
        <v>4306</v>
      </c>
      <c r="C23" s="17">
        <v>22</v>
      </c>
      <c r="D23" s="18" t="s">
        <v>4294</v>
      </c>
      <c r="E23" s="41">
        <v>12</v>
      </c>
      <c r="F23" s="42">
        <v>28.32</v>
      </c>
      <c r="G23" s="34" t="s">
        <v>4307</v>
      </c>
      <c r="H23" s="35">
        <v>1981</v>
      </c>
      <c r="I23" s="36">
        <v>3353</v>
      </c>
      <c r="J23" s="37">
        <v>18</v>
      </c>
      <c r="K23" s="25">
        <f t="shared" si="0"/>
        <v>119.56127400000001</v>
      </c>
      <c r="L23" s="39" t="s">
        <v>4309</v>
      </c>
    </row>
    <row r="24" spans="1:12" s="27" customFormat="1" ht="19.5" customHeight="1" x14ac:dyDescent="0.3">
      <c r="A24" s="28"/>
      <c r="B24" s="16"/>
      <c r="C24" s="17">
        <v>22</v>
      </c>
      <c r="D24" s="18" t="s">
        <v>4308</v>
      </c>
      <c r="E24" s="41">
        <v>2</v>
      </c>
      <c r="F24" s="42">
        <v>6.46</v>
      </c>
      <c r="G24" s="34" t="s">
        <v>4311</v>
      </c>
      <c r="H24" s="35">
        <v>1981</v>
      </c>
      <c r="I24" s="36">
        <v>3353</v>
      </c>
      <c r="J24" s="37">
        <v>18</v>
      </c>
      <c r="K24" s="25">
        <f t="shared" si="0"/>
        <v>119.56127400000001</v>
      </c>
      <c r="L24" s="39" t="s">
        <v>4309</v>
      </c>
    </row>
    <row r="25" spans="1:12" s="27" customFormat="1" ht="19.5" customHeight="1" x14ac:dyDescent="0.3">
      <c r="A25" s="28" t="s">
        <v>4304</v>
      </c>
      <c r="B25" s="16" t="s">
        <v>4306</v>
      </c>
      <c r="C25" s="17">
        <v>22</v>
      </c>
      <c r="D25" s="18" t="s">
        <v>4294</v>
      </c>
      <c r="E25" s="41">
        <v>12</v>
      </c>
      <c r="F25" s="42">
        <v>28.32</v>
      </c>
      <c r="G25" s="34"/>
      <c r="H25" s="35"/>
      <c r="I25" s="36"/>
      <c r="J25" s="37"/>
      <c r="K25" s="25">
        <f t="shared" si="0"/>
        <v>0</v>
      </c>
      <c r="L25" s="39" t="s">
        <v>4309</v>
      </c>
    </row>
    <row r="26" spans="1:12" s="27" customFormat="1" ht="19.5" customHeight="1" x14ac:dyDescent="0.3">
      <c r="A26" s="28"/>
      <c r="B26" s="16"/>
      <c r="C26" s="17">
        <v>22</v>
      </c>
      <c r="D26" s="18" t="s">
        <v>4308</v>
      </c>
      <c r="E26" s="41">
        <v>5</v>
      </c>
      <c r="F26" s="42">
        <v>16.149999999999999</v>
      </c>
      <c r="G26" s="34"/>
      <c r="H26" s="35"/>
      <c r="I26" s="36"/>
      <c r="J26" s="37"/>
      <c r="K26" s="25">
        <f t="shared" si="0"/>
        <v>0</v>
      </c>
      <c r="L26" s="39" t="s">
        <v>4309</v>
      </c>
    </row>
    <row r="27" spans="1:12" s="27" customFormat="1" ht="19.5" customHeight="1" x14ac:dyDescent="0.3">
      <c r="A27" s="28" t="s">
        <v>4305</v>
      </c>
      <c r="B27" s="16" t="s">
        <v>4306</v>
      </c>
      <c r="C27" s="17">
        <v>22</v>
      </c>
      <c r="D27" s="18" t="s">
        <v>4294</v>
      </c>
      <c r="E27" s="41">
        <v>8</v>
      </c>
      <c r="F27" s="42">
        <v>18.88</v>
      </c>
      <c r="G27" s="34"/>
      <c r="H27" s="35"/>
      <c r="I27" s="36"/>
      <c r="J27" s="37"/>
      <c r="K27" s="25">
        <f t="shared" si="0"/>
        <v>0</v>
      </c>
      <c r="L27" s="39" t="s">
        <v>4309</v>
      </c>
    </row>
    <row r="28" spans="1:12" s="27" customFormat="1" ht="19.5" customHeight="1" x14ac:dyDescent="0.3">
      <c r="A28" s="28"/>
      <c r="B28" s="16"/>
      <c r="C28" s="17">
        <v>22</v>
      </c>
      <c r="D28" s="18" t="s">
        <v>4308</v>
      </c>
      <c r="E28" s="41">
        <v>4</v>
      </c>
      <c r="F28" s="42">
        <v>12.92</v>
      </c>
      <c r="G28" s="34"/>
      <c r="H28" s="35"/>
      <c r="I28" s="36"/>
      <c r="J28" s="37"/>
      <c r="K28" s="25">
        <f t="shared" si="0"/>
        <v>0</v>
      </c>
      <c r="L28" s="39" t="s">
        <v>4309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 t="s">
        <v>4310</v>
      </c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 t="s">
        <v>4333</v>
      </c>
      <c r="B31" s="16" t="s">
        <v>2662</v>
      </c>
      <c r="C31" s="17">
        <v>22</v>
      </c>
      <c r="D31" s="18" t="s">
        <v>45</v>
      </c>
      <c r="E31" s="41">
        <v>106</v>
      </c>
      <c r="F31" s="42">
        <v>64.64</v>
      </c>
      <c r="G31" s="34" t="s">
        <v>4335</v>
      </c>
      <c r="H31" s="35">
        <v>1981</v>
      </c>
      <c r="I31" s="36">
        <v>3353</v>
      </c>
      <c r="J31" s="37">
        <v>10</v>
      </c>
      <c r="K31" s="25">
        <f t="shared" si="0"/>
        <v>66.422930000000008</v>
      </c>
      <c r="L31" s="39"/>
    </row>
    <row r="32" spans="1:12" s="27" customFormat="1" ht="19.5" customHeight="1" x14ac:dyDescent="0.3">
      <c r="A32" s="28"/>
      <c r="B32" s="16"/>
      <c r="C32" s="17">
        <v>22</v>
      </c>
      <c r="D32" s="18" t="s">
        <v>4334</v>
      </c>
      <c r="E32" s="41">
        <v>120</v>
      </c>
      <c r="F32" s="42">
        <v>99.42</v>
      </c>
      <c r="G32" s="34" t="s">
        <v>4336</v>
      </c>
      <c r="H32" s="35">
        <v>1981</v>
      </c>
      <c r="I32" s="36">
        <v>3353</v>
      </c>
      <c r="J32" s="37">
        <v>15</v>
      </c>
      <c r="K32" s="25">
        <f t="shared" si="0"/>
        <v>99.634395000000012</v>
      </c>
      <c r="L32" s="39"/>
    </row>
    <row r="33" spans="1:12" s="27" customFormat="1" ht="19.5" customHeight="1" x14ac:dyDescent="0.3">
      <c r="A33" s="28"/>
      <c r="B33" s="16"/>
      <c r="C33" s="17">
        <v>22</v>
      </c>
      <c r="D33" s="18" t="s">
        <v>45</v>
      </c>
      <c r="E33" s="41">
        <v>28</v>
      </c>
      <c r="F33" s="42">
        <v>7.84</v>
      </c>
      <c r="G33" s="34" t="s">
        <v>4041</v>
      </c>
      <c r="H33" s="35">
        <v>1981</v>
      </c>
      <c r="I33" s="36">
        <v>3353</v>
      </c>
      <c r="J33" s="37">
        <v>25</v>
      </c>
      <c r="K33" s="25">
        <f t="shared" si="0"/>
        <v>166.05732500000002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 t="s">
        <v>4337</v>
      </c>
      <c r="B35" s="16" t="s">
        <v>2662</v>
      </c>
      <c r="C35" s="17">
        <v>22</v>
      </c>
      <c r="D35" s="18" t="s">
        <v>45</v>
      </c>
      <c r="E35" s="41">
        <v>121</v>
      </c>
      <c r="F35" s="42">
        <v>71.63</v>
      </c>
      <c r="G35" s="34" t="s">
        <v>4041</v>
      </c>
      <c r="H35" s="35">
        <v>1981</v>
      </c>
      <c r="I35" s="36">
        <v>3353</v>
      </c>
      <c r="J35" s="37">
        <v>12</v>
      </c>
      <c r="K35" s="25">
        <f t="shared" si="0"/>
        <v>79.707515999999998</v>
      </c>
      <c r="L35" s="39" t="s">
        <v>106</v>
      </c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29"/>
      <c r="C42" s="30"/>
      <c r="D42" s="31"/>
      <c r="E42" s="41"/>
      <c r="F42" s="42"/>
      <c r="G42" s="43"/>
      <c r="H42" s="35"/>
      <c r="I42" s="36"/>
      <c r="J42" s="37"/>
      <c r="K42" s="38">
        <f t="shared" si="0"/>
        <v>0</v>
      </c>
      <c r="L42" s="39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/>
      <c r="L43" s="54"/>
    </row>
    <row r="44" spans="1:12" s="55" customFormat="1" ht="19.5" customHeight="1" x14ac:dyDescent="0.3">
      <c r="A44" s="44" t="s">
        <v>4312</v>
      </c>
      <c r="B44" s="45" t="s">
        <v>4313</v>
      </c>
      <c r="C44" s="46">
        <v>24</v>
      </c>
      <c r="D44" s="47" t="s">
        <v>4314</v>
      </c>
      <c r="E44" s="48">
        <v>2</v>
      </c>
      <c r="F44" s="49">
        <v>4.08</v>
      </c>
      <c r="G44" s="50" t="s">
        <v>4290</v>
      </c>
      <c r="H44" s="51">
        <v>1829</v>
      </c>
      <c r="I44" s="45">
        <v>3353</v>
      </c>
      <c r="J44" s="52">
        <v>1</v>
      </c>
      <c r="K44" s="53">
        <f t="shared" si="0"/>
        <v>6.1326369999999999</v>
      </c>
      <c r="L44" s="54" t="s">
        <v>4295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4315</v>
      </c>
      <c r="B46" s="45" t="s">
        <v>4313</v>
      </c>
      <c r="C46" s="46">
        <v>24</v>
      </c>
      <c r="D46" s="47" t="s">
        <v>4314</v>
      </c>
      <c r="E46" s="48">
        <v>2</v>
      </c>
      <c r="F46" s="49">
        <v>4.9800000000000004</v>
      </c>
      <c r="G46" s="50" t="s">
        <v>4290</v>
      </c>
      <c r="H46" s="51">
        <v>2438</v>
      </c>
      <c r="I46" s="45">
        <v>3353</v>
      </c>
      <c r="J46" s="52">
        <v>1</v>
      </c>
      <c r="K46" s="53">
        <f t="shared" si="0"/>
        <v>8.174614</v>
      </c>
      <c r="L46" s="54" t="s">
        <v>4295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4316</v>
      </c>
      <c r="B48" s="45" t="s">
        <v>4317</v>
      </c>
      <c r="C48" s="46">
        <v>28</v>
      </c>
      <c r="D48" s="47" t="s">
        <v>4318</v>
      </c>
      <c r="E48" s="48">
        <v>3</v>
      </c>
      <c r="F48" s="49">
        <v>4.3899999999999997</v>
      </c>
      <c r="G48" s="50" t="s">
        <v>4320</v>
      </c>
      <c r="H48" s="51">
        <v>2438</v>
      </c>
      <c r="I48" s="45">
        <v>3353</v>
      </c>
      <c r="J48" s="52">
        <v>1</v>
      </c>
      <c r="K48" s="53">
        <f t="shared" si="0"/>
        <v>8.174614</v>
      </c>
      <c r="L48" s="54" t="s">
        <v>4295</v>
      </c>
    </row>
    <row r="49" spans="1:12" s="55" customFormat="1" ht="19.5" customHeight="1" x14ac:dyDescent="0.3">
      <c r="A49" s="44"/>
      <c r="B49" s="45"/>
      <c r="C49" s="46">
        <v>28</v>
      </c>
      <c r="D49" s="47" t="s">
        <v>4319</v>
      </c>
      <c r="E49" s="48">
        <v>1</v>
      </c>
      <c r="F49" s="49">
        <v>2.33</v>
      </c>
      <c r="G49" s="50"/>
      <c r="H49" s="51"/>
      <c r="I49" s="45"/>
      <c r="J49" s="52"/>
      <c r="K49" s="53">
        <f t="shared" si="0"/>
        <v>0</v>
      </c>
      <c r="L49" s="54" t="s">
        <v>4295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4316</v>
      </c>
      <c r="B51" s="45" t="s">
        <v>4317</v>
      </c>
      <c r="C51" s="46">
        <v>28</v>
      </c>
      <c r="D51" s="47" t="s">
        <v>4318</v>
      </c>
      <c r="E51" s="48">
        <v>1</v>
      </c>
      <c r="F51" s="49">
        <v>1.69</v>
      </c>
      <c r="G51" s="50" t="s">
        <v>4321</v>
      </c>
      <c r="H51" s="51">
        <v>2438</v>
      </c>
      <c r="I51" s="45">
        <v>3048</v>
      </c>
      <c r="J51" s="52">
        <v>1</v>
      </c>
      <c r="K51" s="53">
        <f t="shared" si="0"/>
        <v>7.4310240000000007</v>
      </c>
      <c r="L51" s="54" t="s">
        <v>4322</v>
      </c>
    </row>
    <row r="52" spans="1:12" s="55" customFormat="1" ht="19.5" customHeight="1" x14ac:dyDescent="0.3">
      <c r="A52" s="44"/>
      <c r="B52" s="45"/>
      <c r="C52" s="46">
        <v>28</v>
      </c>
      <c r="D52" s="47" t="s">
        <v>4319</v>
      </c>
      <c r="E52" s="48">
        <v>1</v>
      </c>
      <c r="F52" s="49">
        <v>2.33</v>
      </c>
      <c r="G52" s="50"/>
      <c r="H52" s="51"/>
      <c r="I52" s="45"/>
      <c r="J52" s="52"/>
      <c r="K52" s="53">
        <f t="shared" si="0"/>
        <v>0</v>
      </c>
      <c r="L52" s="54" t="s">
        <v>4323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4325</v>
      </c>
      <c r="B54" s="45" t="s">
        <v>4324</v>
      </c>
      <c r="C54" s="46">
        <v>22</v>
      </c>
      <c r="D54" s="47" t="s">
        <v>17</v>
      </c>
      <c r="E54" s="48">
        <v>96</v>
      </c>
      <c r="F54" s="49">
        <v>77.400000000000006</v>
      </c>
      <c r="G54" s="50" t="s">
        <v>4282</v>
      </c>
      <c r="H54" s="51">
        <v>1981</v>
      </c>
      <c r="I54" s="45">
        <v>3353</v>
      </c>
      <c r="J54" s="52">
        <v>13</v>
      </c>
      <c r="K54" s="53">
        <f t="shared" si="0"/>
        <v>86.349809000000008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 t="s">
        <v>70</v>
      </c>
      <c r="H55" s="51">
        <v>1981</v>
      </c>
      <c r="I55" s="45">
        <v>3353</v>
      </c>
      <c r="J55" s="52">
        <v>13</v>
      </c>
      <c r="K55" s="53">
        <f t="shared" si="0"/>
        <v>86.349809000000008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4326</v>
      </c>
      <c r="B57" s="45" t="s">
        <v>4324</v>
      </c>
      <c r="C57" s="46">
        <v>22</v>
      </c>
      <c r="D57" s="47" t="s">
        <v>17</v>
      </c>
      <c r="E57" s="48">
        <v>108</v>
      </c>
      <c r="F57" s="49">
        <v>88.68</v>
      </c>
      <c r="G57" s="50" t="s">
        <v>4282</v>
      </c>
      <c r="H57" s="51">
        <v>1981</v>
      </c>
      <c r="I57" s="45">
        <v>3353</v>
      </c>
      <c r="J57" s="52">
        <v>15</v>
      </c>
      <c r="K57" s="53">
        <f t="shared" si="0"/>
        <v>99.634395000000012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 t="s">
        <v>70</v>
      </c>
      <c r="H58" s="51">
        <v>1981</v>
      </c>
      <c r="I58" s="45">
        <v>3353</v>
      </c>
      <c r="J58" s="52">
        <v>15</v>
      </c>
      <c r="K58" s="53">
        <f t="shared" si="0"/>
        <v>99.634395000000012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4327</v>
      </c>
      <c r="B60" s="45" t="s">
        <v>4317</v>
      </c>
      <c r="C60" s="46">
        <v>28</v>
      </c>
      <c r="D60" s="47" t="s">
        <v>4328</v>
      </c>
      <c r="E60" s="48">
        <v>20</v>
      </c>
      <c r="F60" s="49">
        <v>10.74</v>
      </c>
      <c r="G60" s="50" t="s">
        <v>4331</v>
      </c>
      <c r="H60" s="51">
        <v>2438</v>
      </c>
      <c r="I60" s="45">
        <v>3353</v>
      </c>
      <c r="J60" s="52">
        <v>65</v>
      </c>
      <c r="K60" s="53">
        <f t="shared" si="0"/>
        <v>531.34991000000002</v>
      </c>
      <c r="L60" s="54" t="s">
        <v>4332</v>
      </c>
    </row>
    <row r="61" spans="1:12" s="55" customFormat="1" ht="19.5" customHeight="1" x14ac:dyDescent="0.3">
      <c r="A61" s="44"/>
      <c r="B61" s="45"/>
      <c r="C61" s="46">
        <v>28</v>
      </c>
      <c r="D61" s="47" t="s">
        <v>4329</v>
      </c>
      <c r="E61" s="48">
        <v>42</v>
      </c>
      <c r="F61" s="49">
        <v>109.68</v>
      </c>
      <c r="G61" s="50"/>
      <c r="H61" s="51"/>
      <c r="I61" s="45"/>
      <c r="J61" s="52"/>
      <c r="K61" s="53">
        <f t="shared" si="0"/>
        <v>0</v>
      </c>
      <c r="L61" s="54" t="s">
        <v>4332</v>
      </c>
    </row>
    <row r="62" spans="1:12" s="55" customFormat="1" ht="19.5" customHeight="1" x14ac:dyDescent="0.3">
      <c r="A62" s="44"/>
      <c r="B62" s="45"/>
      <c r="C62" s="46">
        <v>26.76</v>
      </c>
      <c r="D62" s="47" t="s">
        <v>4330</v>
      </c>
      <c r="E62" s="48">
        <v>13</v>
      </c>
      <c r="F62" s="49">
        <v>9.6199999999999992</v>
      </c>
      <c r="G62" s="50"/>
      <c r="H62" s="51"/>
      <c r="I62" s="45"/>
      <c r="J62" s="52"/>
      <c r="K62" s="53">
        <f t="shared" si="0"/>
        <v>0</v>
      </c>
      <c r="L62" s="54" t="s">
        <v>4332</v>
      </c>
    </row>
    <row r="63" spans="1:12" s="55" customFormat="1" ht="19.5" customHeight="1" x14ac:dyDescent="0.3">
      <c r="A63" s="44"/>
      <c r="B63" s="45"/>
      <c r="C63" s="46">
        <v>28</v>
      </c>
      <c r="D63" s="47" t="s">
        <v>4329</v>
      </c>
      <c r="E63" s="48">
        <v>227</v>
      </c>
      <c r="F63" s="49">
        <v>348.04</v>
      </c>
      <c r="G63" s="50"/>
      <c r="H63" s="51"/>
      <c r="I63" s="45"/>
      <c r="J63" s="52"/>
      <c r="K63" s="53">
        <f t="shared" si="0"/>
        <v>0</v>
      </c>
      <c r="L63" s="54" t="s">
        <v>4332</v>
      </c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4310</v>
      </c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4338</v>
      </c>
      <c r="B66" s="45" t="s">
        <v>4339</v>
      </c>
      <c r="C66" s="46">
        <v>22</v>
      </c>
      <c r="D66" s="47" t="s">
        <v>4334</v>
      </c>
      <c r="E66" s="48">
        <v>120</v>
      </c>
      <c r="F66" s="49">
        <v>177.6</v>
      </c>
      <c r="G66" s="50" t="s">
        <v>4336</v>
      </c>
      <c r="H66" s="51">
        <v>2286</v>
      </c>
      <c r="I66" s="45">
        <v>3048</v>
      </c>
      <c r="J66" s="52">
        <v>30</v>
      </c>
      <c r="K66" s="53">
        <f t="shared" si="0"/>
        <v>209.03184000000002</v>
      </c>
      <c r="L66" s="54" t="s">
        <v>4341</v>
      </c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 t="s">
        <v>4340</v>
      </c>
      <c r="H67" s="51">
        <v>2286</v>
      </c>
      <c r="I67" s="45">
        <v>3048</v>
      </c>
      <c r="J67" s="52">
        <v>30</v>
      </c>
      <c r="K67" s="53">
        <f t="shared" si="0"/>
        <v>209.03184000000002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9" customFormat="1" ht="20.100000000000001" customHeight="1" x14ac:dyDescent="0.3">
      <c r="A73" s="44"/>
      <c r="B73" s="45"/>
      <c r="C73" s="46"/>
      <c r="D73" s="47"/>
      <c r="E73" s="56"/>
      <c r="F73" s="57"/>
      <c r="G73" s="50"/>
      <c r="H73" s="51"/>
      <c r="I73" s="45"/>
      <c r="J73" s="52"/>
      <c r="K73" s="53">
        <f t="shared" si="0"/>
        <v>0</v>
      </c>
      <c r="L73" s="58">
        <f>SUM(J43:J74)</f>
        <v>185</v>
      </c>
    </row>
    <row r="74" spans="1:12" s="59" customFormat="1" ht="20.100000000000001" customHeight="1" x14ac:dyDescent="0.3">
      <c r="A74" s="44"/>
      <c r="B74" s="45"/>
      <c r="C74" s="46"/>
      <c r="D74" s="47"/>
      <c r="E74" s="60"/>
      <c r="F74" s="61"/>
      <c r="G74" s="62"/>
      <c r="H74" s="51"/>
      <c r="I74" s="45"/>
      <c r="J74" s="63"/>
      <c r="K74" s="53">
        <f t="shared" si="0"/>
        <v>0</v>
      </c>
      <c r="L74" s="64">
        <f>SUM(K43:K74)</f>
        <v>1351.2948870000002</v>
      </c>
    </row>
    <row r="75" spans="1:12" s="59" customFormat="1" ht="20.100000000000001" customHeight="1" thickBot="1" x14ac:dyDescent="0.35">
      <c r="A75" s="114"/>
      <c r="B75" s="115"/>
      <c r="C75" s="115"/>
      <c r="D75" s="115"/>
      <c r="E75" s="115"/>
      <c r="F75" s="115"/>
      <c r="G75" s="115"/>
      <c r="H75" s="115"/>
      <c r="I75" s="115"/>
      <c r="J75" s="65">
        <f>SUM(J7:J74)</f>
        <v>391</v>
      </c>
      <c r="K75" s="66">
        <f>SUM(K7:K74)</f>
        <v>2704.5021200000006</v>
      </c>
      <c r="L75" s="67"/>
    </row>
    <row r="76" spans="1:12" s="59" customFormat="1" ht="20.100000000000001" customHeight="1" thickTop="1" thickBot="1" x14ac:dyDescent="0.35">
      <c r="A76" s="116" t="s">
        <v>52</v>
      </c>
      <c r="B76" s="117"/>
      <c r="C76" s="68"/>
      <c r="D76" s="118">
        <f>J75</f>
        <v>391</v>
      </c>
      <c r="E76" s="119"/>
      <c r="F76" s="119"/>
      <c r="G76" s="120"/>
      <c r="H76" s="121"/>
      <c r="I76" s="121"/>
      <c r="J76" s="122"/>
      <c r="K76" s="119"/>
      <c r="L76" s="123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71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72"/>
      <c r="F82" s="5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5"/>
      <c r="G83" s="73"/>
      <c r="H83" s="5"/>
      <c r="I83" s="74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72"/>
      <c r="I87" s="72"/>
      <c r="J87" s="5"/>
      <c r="K87" s="5"/>
      <c r="L87" s="5"/>
    </row>
    <row r="88" spans="1:12" ht="20.100000000000001" customHeight="1" x14ac:dyDescent="0.3">
      <c r="A88" s="113"/>
      <c r="B88" s="113"/>
      <c r="H88" s="72"/>
      <c r="I88" s="72"/>
    </row>
    <row r="89" spans="1:12" ht="20.100000000000001" customHeight="1" x14ac:dyDescent="0.3"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A91" s="113"/>
      <c r="B91" s="113"/>
      <c r="H91" s="72"/>
      <c r="I91" s="72"/>
    </row>
    <row r="92" spans="1:12" ht="20.100000000000001" customHeight="1" x14ac:dyDescent="0.3">
      <c r="A92" s="113"/>
      <c r="B92" s="113"/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H95" s="72"/>
      <c r="I95" s="72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J96" s="5"/>
      <c r="K96" s="5"/>
      <c r="L96" s="5"/>
    </row>
    <row r="97" spans="1:12" s="72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5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5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5" customFormat="1" ht="19.5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2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ht="19.5" customHeight="1" x14ac:dyDescent="0.3"/>
    <row r="104" spans="1:12" ht="19.5" customHeight="1" x14ac:dyDescent="0.3"/>
    <row r="105" spans="1:12" ht="19.5" customHeight="1" x14ac:dyDescent="0.3"/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>
        <v>2</v>
      </c>
      <c r="C166" s="5"/>
      <c r="D166" s="5"/>
      <c r="E166" s="5"/>
      <c r="F166" s="70"/>
      <c r="G166" s="5"/>
      <c r="H166" s="5"/>
      <c r="I166" s="5"/>
      <c r="J166" s="5"/>
      <c r="K166" s="5"/>
      <c r="L16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1:B8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5:I75"/>
    <mergeCell ref="A76:B76"/>
    <mergeCell ref="D76:G76"/>
    <mergeCell ref="H76:J76"/>
    <mergeCell ref="K76:L76"/>
    <mergeCell ref="A91:B91"/>
    <mergeCell ref="A92:B92"/>
    <mergeCell ref="A82:B82"/>
    <mergeCell ref="A83:B83"/>
    <mergeCell ref="A84:B84"/>
    <mergeCell ref="A86:B86"/>
    <mergeCell ref="A87:B87"/>
    <mergeCell ref="A88:B8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L174"/>
  <sheetViews>
    <sheetView view="pageBreakPreview" topLeftCell="F58" zoomScale="85" zoomScaleSheetLayoutView="85" workbookViewId="0">
      <selection activeCell="L81" sqref="L81:L82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46170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2" si="0">(H7/1000*I7/1000)*J7</f>
        <v>0</v>
      </c>
      <c r="L7" s="26">
        <f>SUM(J7:J34)</f>
        <v>144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SUM(K7:K34)</f>
        <v>947.15535900000009</v>
      </c>
    </row>
    <row r="9" spans="1:12" s="27" customFormat="1" ht="19.5" customHeight="1" x14ac:dyDescent="0.3">
      <c r="A9" s="28" t="s">
        <v>4251</v>
      </c>
      <c r="B9" s="16" t="s">
        <v>1436</v>
      </c>
      <c r="C9" s="17">
        <v>22</v>
      </c>
      <c r="D9" s="18" t="s">
        <v>17</v>
      </c>
      <c r="E9" s="41">
        <v>80</v>
      </c>
      <c r="F9" s="42">
        <v>80.8</v>
      </c>
      <c r="G9" s="34" t="s">
        <v>18</v>
      </c>
      <c r="H9" s="35">
        <v>1981</v>
      </c>
      <c r="I9" s="36">
        <v>3353</v>
      </c>
      <c r="J9" s="37">
        <v>13</v>
      </c>
      <c r="K9" s="25">
        <f t="shared" si="0"/>
        <v>86.349809000000008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19</v>
      </c>
      <c r="H10" s="35">
        <v>1981</v>
      </c>
      <c r="I10" s="36">
        <v>3353</v>
      </c>
      <c r="J10" s="37">
        <v>13</v>
      </c>
      <c r="K10" s="25">
        <f t="shared" si="0"/>
        <v>86.349809000000008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4252</v>
      </c>
      <c r="B12" s="16" t="s">
        <v>16</v>
      </c>
      <c r="C12" s="17">
        <v>5</v>
      </c>
      <c r="D12" s="18" t="s">
        <v>219</v>
      </c>
      <c r="E12" s="41">
        <v>270</v>
      </c>
      <c r="F12" s="42">
        <v>166.68</v>
      </c>
      <c r="G12" s="34" t="s">
        <v>18</v>
      </c>
      <c r="H12" s="35">
        <v>1981</v>
      </c>
      <c r="I12" s="36">
        <v>3048</v>
      </c>
      <c r="J12" s="37">
        <v>18</v>
      </c>
      <c r="K12" s="25">
        <f t="shared" si="0"/>
        <v>108.68558400000002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18</v>
      </c>
      <c r="H13" s="35">
        <v>2438</v>
      </c>
      <c r="I13" s="36">
        <v>3048</v>
      </c>
      <c r="J13" s="37">
        <v>11</v>
      </c>
      <c r="K13" s="25">
        <f t="shared" si="0"/>
        <v>81.741264000000001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0"/>
        <v>0</v>
      </c>
      <c r="L14" s="39"/>
    </row>
    <row r="15" spans="1:12" s="27" customFormat="1" ht="19.5" customHeight="1" x14ac:dyDescent="0.3">
      <c r="A15" s="28" t="s">
        <v>4253</v>
      </c>
      <c r="B15" s="16" t="s">
        <v>306</v>
      </c>
      <c r="C15" s="17">
        <v>22</v>
      </c>
      <c r="D15" s="18" t="s">
        <v>307</v>
      </c>
      <c r="E15" s="41">
        <v>7</v>
      </c>
      <c r="F15" s="42">
        <v>21.28</v>
      </c>
      <c r="G15" s="34" t="s">
        <v>49</v>
      </c>
      <c r="H15" s="35">
        <v>1829</v>
      </c>
      <c r="I15" s="36">
        <v>3353</v>
      </c>
      <c r="J15" s="37">
        <v>7</v>
      </c>
      <c r="K15" s="25">
        <f t="shared" si="0"/>
        <v>42.928458999999997</v>
      </c>
      <c r="L15" s="39" t="s">
        <v>4254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286</v>
      </c>
      <c r="H16" s="35">
        <v>1829</v>
      </c>
      <c r="I16" s="36">
        <v>3353</v>
      </c>
      <c r="J16" s="37">
        <v>7</v>
      </c>
      <c r="K16" s="25">
        <f t="shared" si="0"/>
        <v>42.928458999999997</v>
      </c>
      <c r="L16" s="39" t="s">
        <v>4254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>
        <f t="shared" si="0"/>
        <v>0</v>
      </c>
      <c r="L17" s="39"/>
    </row>
    <row r="18" spans="1:12" s="27" customFormat="1" ht="19.5" customHeight="1" x14ac:dyDescent="0.3">
      <c r="A18" s="28" t="s">
        <v>4255</v>
      </c>
      <c r="B18" s="16" t="s">
        <v>97</v>
      </c>
      <c r="C18" s="17">
        <v>8</v>
      </c>
      <c r="D18" s="18" t="s">
        <v>276</v>
      </c>
      <c r="E18" s="41">
        <v>2</v>
      </c>
      <c r="F18" s="42">
        <v>0.74</v>
      </c>
      <c r="G18" s="34"/>
      <c r="H18" s="35"/>
      <c r="I18" s="36"/>
      <c r="J18" s="37"/>
      <c r="K18" s="25">
        <f t="shared" si="0"/>
        <v>0</v>
      </c>
      <c r="L18" s="39" t="s">
        <v>31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0"/>
        <v>0</v>
      </c>
      <c r="L19" s="39"/>
    </row>
    <row r="20" spans="1:12" s="27" customFormat="1" ht="19.5" customHeight="1" x14ac:dyDescent="0.3">
      <c r="A20" s="28" t="s">
        <v>4147</v>
      </c>
      <c r="B20" s="16" t="s">
        <v>2662</v>
      </c>
      <c r="C20" s="17">
        <v>22</v>
      </c>
      <c r="D20" s="18" t="s">
        <v>45</v>
      </c>
      <c r="E20" s="41">
        <v>127</v>
      </c>
      <c r="F20" s="42">
        <v>75.95</v>
      </c>
      <c r="G20" s="34" t="s">
        <v>49</v>
      </c>
      <c r="H20" s="35">
        <v>1981</v>
      </c>
      <c r="I20" s="36">
        <v>3353</v>
      </c>
      <c r="J20" s="37">
        <v>12</v>
      </c>
      <c r="K20" s="25">
        <f t="shared" si="0"/>
        <v>79.707515999999998</v>
      </c>
      <c r="L20" s="39" t="s">
        <v>3249</v>
      </c>
    </row>
    <row r="21" spans="1:12" s="27" customFormat="1" ht="19.5" customHeight="1" x14ac:dyDescent="0.3">
      <c r="A21" s="28"/>
      <c r="B21" s="16"/>
      <c r="C21" s="17">
        <v>22</v>
      </c>
      <c r="D21" s="18" t="s">
        <v>17</v>
      </c>
      <c r="E21" s="41">
        <v>144</v>
      </c>
      <c r="F21" s="42">
        <v>120.42</v>
      </c>
      <c r="G21" s="34" t="s">
        <v>4256</v>
      </c>
      <c r="H21" s="35">
        <v>1981</v>
      </c>
      <c r="I21" s="36">
        <v>3353</v>
      </c>
      <c r="J21" s="37">
        <v>31</v>
      </c>
      <c r="K21" s="25">
        <f t="shared" si="0"/>
        <v>205.91108300000002</v>
      </c>
      <c r="L21" s="39" t="s">
        <v>106</v>
      </c>
    </row>
    <row r="22" spans="1:12" s="27" customFormat="1" ht="19.5" customHeight="1" x14ac:dyDescent="0.3">
      <c r="A22" s="28"/>
      <c r="B22" s="16"/>
      <c r="C22" s="17">
        <v>22</v>
      </c>
      <c r="D22" s="18" t="s">
        <v>45</v>
      </c>
      <c r="E22" s="41">
        <v>34</v>
      </c>
      <c r="F22" s="42">
        <v>9.52</v>
      </c>
      <c r="G22" s="34"/>
      <c r="H22" s="35"/>
      <c r="I22" s="36"/>
      <c r="J22" s="37"/>
      <c r="K22" s="25">
        <f t="shared" si="0"/>
        <v>0</v>
      </c>
      <c r="L22" s="39" t="s">
        <v>3249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0"/>
        <v>0</v>
      </c>
      <c r="L23" s="39"/>
    </row>
    <row r="24" spans="1:12" s="27" customFormat="1" ht="19.5" customHeight="1" x14ac:dyDescent="0.3">
      <c r="A24" s="28" t="s">
        <v>57</v>
      </c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 t="s">
        <v>4263</v>
      </c>
      <c r="B25" s="16" t="s">
        <v>4264</v>
      </c>
      <c r="C25" s="17">
        <v>22</v>
      </c>
      <c r="D25" s="18" t="s">
        <v>4265</v>
      </c>
      <c r="E25" s="41">
        <v>110</v>
      </c>
      <c r="F25" s="42">
        <v>105.85</v>
      </c>
      <c r="G25" s="34" t="s">
        <v>4266</v>
      </c>
      <c r="H25" s="35">
        <v>1981</v>
      </c>
      <c r="I25" s="36">
        <v>3353</v>
      </c>
      <c r="J25" s="37">
        <v>16</v>
      </c>
      <c r="K25" s="25">
        <f t="shared" si="0"/>
        <v>106.27668800000001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 t="s">
        <v>19</v>
      </c>
      <c r="H26" s="35">
        <v>1981</v>
      </c>
      <c r="I26" s="36">
        <v>3353</v>
      </c>
      <c r="J26" s="37">
        <v>16</v>
      </c>
      <c r="K26" s="25">
        <f t="shared" si="0"/>
        <v>106.27668800000001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38">
        <f t="shared" si="0"/>
        <v>0</v>
      </c>
      <c r="L34" s="39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/>
      <c r="L35" s="54"/>
    </row>
    <row r="36" spans="1:12" s="55" customFormat="1" ht="19.5" customHeight="1" x14ac:dyDescent="0.3">
      <c r="A36" s="44" t="s">
        <v>4257</v>
      </c>
      <c r="B36" s="45" t="s">
        <v>4258</v>
      </c>
      <c r="C36" s="46">
        <v>24</v>
      </c>
      <c r="D36" s="47" t="s">
        <v>55</v>
      </c>
      <c r="E36" s="48">
        <v>16</v>
      </c>
      <c r="F36" s="49">
        <v>14.9</v>
      </c>
      <c r="G36" s="50" t="s">
        <v>18</v>
      </c>
      <c r="H36" s="51">
        <v>2438</v>
      </c>
      <c r="I36" s="45">
        <v>3353</v>
      </c>
      <c r="J36" s="52">
        <v>2</v>
      </c>
      <c r="K36" s="53">
        <f t="shared" si="0"/>
        <v>16.349228</v>
      </c>
      <c r="L36" s="54"/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 t="s">
        <v>56</v>
      </c>
      <c r="H37" s="51">
        <v>2438</v>
      </c>
      <c r="I37" s="45">
        <v>3353</v>
      </c>
      <c r="J37" s="52">
        <v>2</v>
      </c>
      <c r="K37" s="53">
        <f t="shared" si="0"/>
        <v>16.349228</v>
      </c>
      <c r="L37" s="54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4262</v>
      </c>
      <c r="B39" s="45" t="s">
        <v>4248</v>
      </c>
      <c r="C39" s="46">
        <v>24</v>
      </c>
      <c r="D39" s="47" t="s">
        <v>289</v>
      </c>
      <c r="E39" s="48">
        <v>173</v>
      </c>
      <c r="F39" s="49">
        <v>187.74</v>
      </c>
      <c r="G39" s="50" t="s">
        <v>291</v>
      </c>
      <c r="H39" s="51">
        <v>1981</v>
      </c>
      <c r="I39" s="45">
        <v>3353</v>
      </c>
      <c r="J39" s="52">
        <v>32</v>
      </c>
      <c r="K39" s="53">
        <f t="shared" si="0"/>
        <v>212.55337600000001</v>
      </c>
      <c r="L39" s="54" t="s">
        <v>106</v>
      </c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3989</v>
      </c>
      <c r="B41" s="45" t="s">
        <v>1890</v>
      </c>
      <c r="C41" s="46">
        <v>28</v>
      </c>
      <c r="D41" s="47" t="s">
        <v>3001</v>
      </c>
      <c r="E41" s="48">
        <v>11</v>
      </c>
      <c r="F41" s="49">
        <v>8.41</v>
      </c>
      <c r="G41" s="50" t="s">
        <v>3002</v>
      </c>
      <c r="H41" s="51">
        <v>2438</v>
      </c>
      <c r="I41" s="45">
        <v>3048</v>
      </c>
      <c r="J41" s="52">
        <v>3</v>
      </c>
      <c r="K41" s="53">
        <f t="shared" si="0"/>
        <v>22.293072000000002</v>
      </c>
      <c r="L41" s="54" t="s">
        <v>4259</v>
      </c>
    </row>
    <row r="42" spans="1:12" s="55" customFormat="1" ht="19.5" customHeight="1" x14ac:dyDescent="0.3">
      <c r="A42" s="44"/>
      <c r="B42" s="45"/>
      <c r="C42" s="46">
        <v>28</v>
      </c>
      <c r="D42" s="47" t="s">
        <v>3007</v>
      </c>
      <c r="E42" s="48">
        <v>7</v>
      </c>
      <c r="F42" s="49">
        <v>7.07</v>
      </c>
      <c r="G42" s="50"/>
      <c r="H42" s="51"/>
      <c r="I42" s="45"/>
      <c r="J42" s="52"/>
      <c r="K42" s="53">
        <f t="shared" si="0"/>
        <v>0</v>
      </c>
      <c r="L42" s="54" t="s">
        <v>4259</v>
      </c>
    </row>
    <row r="43" spans="1:12" s="55" customFormat="1" ht="19.5" customHeight="1" x14ac:dyDescent="0.3">
      <c r="A43" s="44"/>
      <c r="B43" s="45"/>
      <c r="C43" s="46">
        <v>28</v>
      </c>
      <c r="D43" s="47" t="s">
        <v>3001</v>
      </c>
      <c r="E43" s="48">
        <v>2</v>
      </c>
      <c r="F43" s="49">
        <v>4.66</v>
      </c>
      <c r="G43" s="50"/>
      <c r="H43" s="51"/>
      <c r="I43" s="45"/>
      <c r="J43" s="52"/>
      <c r="K43" s="53">
        <f t="shared" si="0"/>
        <v>0</v>
      </c>
      <c r="L43" s="54" t="s">
        <v>4259</v>
      </c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3989</v>
      </c>
      <c r="B45" s="45" t="s">
        <v>1890</v>
      </c>
      <c r="C45" s="46">
        <v>28</v>
      </c>
      <c r="D45" s="47" t="s">
        <v>3007</v>
      </c>
      <c r="E45" s="48">
        <v>1</v>
      </c>
      <c r="F45" s="49">
        <v>1.01</v>
      </c>
      <c r="G45" s="50" t="s">
        <v>189</v>
      </c>
      <c r="H45" s="51">
        <v>2438</v>
      </c>
      <c r="I45" s="45">
        <v>3048</v>
      </c>
      <c r="J45" s="52">
        <v>1</v>
      </c>
      <c r="K45" s="53">
        <f t="shared" si="0"/>
        <v>7.4310240000000007</v>
      </c>
      <c r="L45" s="54" t="s">
        <v>1407</v>
      </c>
    </row>
    <row r="46" spans="1:12" s="55" customFormat="1" ht="19.5" customHeight="1" x14ac:dyDescent="0.3">
      <c r="A46" s="44"/>
      <c r="B46" s="45"/>
      <c r="C46" s="46">
        <v>28</v>
      </c>
      <c r="D46" s="47" t="s">
        <v>3001</v>
      </c>
      <c r="E46" s="48">
        <v>1</v>
      </c>
      <c r="F46" s="49">
        <v>2.33</v>
      </c>
      <c r="G46" s="50"/>
      <c r="H46" s="51"/>
      <c r="I46" s="45"/>
      <c r="J46" s="52"/>
      <c r="K46" s="53">
        <f t="shared" si="0"/>
        <v>0</v>
      </c>
      <c r="L46" s="54" t="s">
        <v>1407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3993</v>
      </c>
      <c r="B48" s="45" t="s">
        <v>1890</v>
      </c>
      <c r="C48" s="46">
        <v>28</v>
      </c>
      <c r="D48" s="47" t="s">
        <v>3007</v>
      </c>
      <c r="E48" s="48">
        <v>4</v>
      </c>
      <c r="F48" s="49">
        <v>4.0999999999999996</v>
      </c>
      <c r="G48" s="50"/>
      <c r="H48" s="51"/>
      <c r="I48" s="45"/>
      <c r="J48" s="52"/>
      <c r="K48" s="53">
        <f t="shared" si="0"/>
        <v>0</v>
      </c>
      <c r="L48" s="54" t="s">
        <v>4260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4149</v>
      </c>
      <c r="B50" s="45" t="s">
        <v>1890</v>
      </c>
      <c r="C50" s="46">
        <v>24</v>
      </c>
      <c r="D50" s="47" t="s">
        <v>3571</v>
      </c>
      <c r="E50" s="48">
        <v>1</v>
      </c>
      <c r="F50" s="49">
        <v>2.85</v>
      </c>
      <c r="G50" s="50" t="s">
        <v>18</v>
      </c>
      <c r="H50" s="51">
        <v>2438</v>
      </c>
      <c r="I50" s="45">
        <v>3048</v>
      </c>
      <c r="J50" s="52">
        <v>1</v>
      </c>
      <c r="K50" s="53">
        <f t="shared" si="0"/>
        <v>7.4310240000000007</v>
      </c>
      <c r="L50" s="54" t="s">
        <v>100</v>
      </c>
    </row>
    <row r="51" spans="1:12" s="55" customFormat="1" ht="19.5" customHeight="1" x14ac:dyDescent="0.3">
      <c r="A51" s="44"/>
      <c r="B51" s="45"/>
      <c r="C51" s="46">
        <v>28</v>
      </c>
      <c r="D51" s="47" t="s">
        <v>1894</v>
      </c>
      <c r="E51" s="48">
        <v>20</v>
      </c>
      <c r="F51" s="49">
        <v>9.1999999999999993</v>
      </c>
      <c r="G51" s="50" t="s">
        <v>1892</v>
      </c>
      <c r="H51" s="51">
        <v>2438</v>
      </c>
      <c r="I51" s="45">
        <v>3353</v>
      </c>
      <c r="J51" s="52">
        <v>63</v>
      </c>
      <c r="K51" s="53">
        <f t="shared" si="0"/>
        <v>515.00068199999998</v>
      </c>
      <c r="L51" s="54" t="s">
        <v>106</v>
      </c>
    </row>
    <row r="52" spans="1:12" s="55" customFormat="1" ht="19.5" customHeight="1" x14ac:dyDescent="0.3">
      <c r="A52" s="44"/>
      <c r="B52" s="45"/>
      <c r="C52" s="46">
        <v>28</v>
      </c>
      <c r="D52" s="47" t="s">
        <v>1891</v>
      </c>
      <c r="E52" s="48">
        <v>69</v>
      </c>
      <c r="F52" s="49">
        <v>178.1</v>
      </c>
      <c r="G52" s="50"/>
      <c r="H52" s="51"/>
      <c r="I52" s="45"/>
      <c r="J52" s="52"/>
      <c r="K52" s="53">
        <f t="shared" si="0"/>
        <v>0</v>
      </c>
      <c r="L52" s="54" t="s">
        <v>106</v>
      </c>
    </row>
    <row r="53" spans="1:12" s="55" customFormat="1" ht="19.5" customHeight="1" x14ac:dyDescent="0.3">
      <c r="A53" s="44"/>
      <c r="B53" s="45"/>
      <c r="C53" s="46">
        <v>28</v>
      </c>
      <c r="D53" s="47" t="s">
        <v>1891</v>
      </c>
      <c r="E53" s="48">
        <v>210</v>
      </c>
      <c r="F53" s="49">
        <v>281.39999999999998</v>
      </c>
      <c r="G53" s="50"/>
      <c r="H53" s="51"/>
      <c r="I53" s="45"/>
      <c r="J53" s="52"/>
      <c r="K53" s="53">
        <f t="shared" si="0"/>
        <v>0</v>
      </c>
      <c r="L53" s="54" t="s">
        <v>106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4092</v>
      </c>
      <c r="B55" s="45" t="s">
        <v>3872</v>
      </c>
      <c r="C55" s="46">
        <v>24</v>
      </c>
      <c r="D55" s="47" t="s">
        <v>2186</v>
      </c>
      <c r="E55" s="48">
        <v>15</v>
      </c>
      <c r="F55" s="49">
        <v>14.85</v>
      </c>
      <c r="G55" s="50" t="s">
        <v>18</v>
      </c>
      <c r="H55" s="51">
        <v>2134</v>
      </c>
      <c r="I55" s="45">
        <v>3658</v>
      </c>
      <c r="J55" s="52">
        <v>5</v>
      </c>
      <c r="K55" s="53">
        <f t="shared" si="0"/>
        <v>39.030859999999997</v>
      </c>
      <c r="L55" s="54" t="s">
        <v>4261</v>
      </c>
    </row>
    <row r="56" spans="1:12" s="55" customFormat="1" ht="19.5" customHeight="1" x14ac:dyDescent="0.3">
      <c r="A56" s="44" t="s">
        <v>3871</v>
      </c>
      <c r="B56" s="45" t="s">
        <v>3872</v>
      </c>
      <c r="C56" s="46">
        <v>24</v>
      </c>
      <c r="D56" s="47" t="s">
        <v>2186</v>
      </c>
      <c r="E56" s="48">
        <v>10</v>
      </c>
      <c r="F56" s="49">
        <v>17.97</v>
      </c>
      <c r="G56" s="50"/>
      <c r="H56" s="51"/>
      <c r="I56" s="45"/>
      <c r="J56" s="52"/>
      <c r="K56" s="53">
        <f t="shared" si="0"/>
        <v>0</v>
      </c>
      <c r="L56" s="54" t="s">
        <v>4261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57</v>
      </c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4267</v>
      </c>
      <c r="B59" s="45" t="s">
        <v>4268</v>
      </c>
      <c r="C59" s="46">
        <v>22</v>
      </c>
      <c r="D59" s="47" t="s">
        <v>4269</v>
      </c>
      <c r="E59" s="48">
        <v>8</v>
      </c>
      <c r="F59" s="49">
        <v>12.8</v>
      </c>
      <c r="G59" s="50" t="s">
        <v>4266</v>
      </c>
      <c r="H59" s="51">
        <v>2590</v>
      </c>
      <c r="I59" s="45">
        <v>3353</v>
      </c>
      <c r="J59" s="52">
        <v>5</v>
      </c>
      <c r="K59" s="53">
        <f t="shared" si="0"/>
        <v>43.42134999999999</v>
      </c>
      <c r="L59" s="54" t="s">
        <v>4272</v>
      </c>
    </row>
    <row r="60" spans="1:12" s="55" customFormat="1" ht="19.5" customHeight="1" x14ac:dyDescent="0.3">
      <c r="A60" s="44" t="s">
        <v>4270</v>
      </c>
      <c r="B60" s="45" t="s">
        <v>4268</v>
      </c>
      <c r="C60" s="46">
        <v>22</v>
      </c>
      <c r="D60" s="47" t="s">
        <v>4269</v>
      </c>
      <c r="E60" s="48">
        <v>8</v>
      </c>
      <c r="F60" s="49">
        <v>11.28</v>
      </c>
      <c r="G60" s="50"/>
      <c r="H60" s="51"/>
      <c r="I60" s="45"/>
      <c r="J60" s="52"/>
      <c r="K60" s="53">
        <f t="shared" si="0"/>
        <v>0</v>
      </c>
      <c r="L60" s="54" t="s">
        <v>4272</v>
      </c>
    </row>
    <row r="61" spans="1:12" s="55" customFormat="1" ht="19.5" customHeight="1" x14ac:dyDescent="0.3">
      <c r="A61" s="44" t="s">
        <v>4271</v>
      </c>
      <c r="B61" s="45" t="s">
        <v>4268</v>
      </c>
      <c r="C61" s="46">
        <v>22</v>
      </c>
      <c r="D61" s="47" t="s">
        <v>4269</v>
      </c>
      <c r="E61" s="48">
        <v>12</v>
      </c>
      <c r="F61" s="49">
        <v>13.2</v>
      </c>
      <c r="G61" s="50"/>
      <c r="H61" s="51"/>
      <c r="I61" s="45"/>
      <c r="J61" s="52"/>
      <c r="K61" s="53">
        <f t="shared" si="0"/>
        <v>0</v>
      </c>
      <c r="L61" s="54" t="s">
        <v>4272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4267</v>
      </c>
      <c r="B63" s="45" t="s">
        <v>4268</v>
      </c>
      <c r="C63" s="46">
        <v>46.76</v>
      </c>
      <c r="D63" s="47" t="s">
        <v>4273</v>
      </c>
      <c r="E63" s="48">
        <v>4</v>
      </c>
      <c r="F63" s="49">
        <v>1.6</v>
      </c>
      <c r="G63" s="50" t="s">
        <v>4274</v>
      </c>
      <c r="H63" s="51">
        <v>1829</v>
      </c>
      <c r="I63" s="45">
        <v>3353</v>
      </c>
      <c r="J63" s="52">
        <v>1</v>
      </c>
      <c r="K63" s="53">
        <f t="shared" si="0"/>
        <v>6.1326369999999999</v>
      </c>
      <c r="L63" s="54" t="s">
        <v>4275</v>
      </c>
    </row>
    <row r="64" spans="1:12" s="55" customFormat="1" ht="19.5" customHeight="1" x14ac:dyDescent="0.3">
      <c r="A64" s="44" t="s">
        <v>4270</v>
      </c>
      <c r="B64" s="45" t="s">
        <v>4268</v>
      </c>
      <c r="C64" s="46">
        <v>46.76</v>
      </c>
      <c r="D64" s="47" t="s">
        <v>4273</v>
      </c>
      <c r="E64" s="48">
        <v>4</v>
      </c>
      <c r="F64" s="49">
        <v>1.8</v>
      </c>
      <c r="G64" s="50" t="s">
        <v>70</v>
      </c>
      <c r="H64" s="51">
        <v>1981</v>
      </c>
      <c r="I64" s="45">
        <v>3353</v>
      </c>
      <c r="J64" s="52">
        <v>1</v>
      </c>
      <c r="K64" s="53">
        <f t="shared" si="0"/>
        <v>6.6422930000000004</v>
      </c>
      <c r="L64" s="54" t="s">
        <v>4275</v>
      </c>
    </row>
    <row r="65" spans="1:12" s="55" customFormat="1" ht="19.5" customHeight="1" x14ac:dyDescent="0.3">
      <c r="A65" s="44" t="s">
        <v>4271</v>
      </c>
      <c r="B65" s="45" t="s">
        <v>4268</v>
      </c>
      <c r="C65" s="46">
        <v>46.76</v>
      </c>
      <c r="D65" s="47" t="s">
        <v>4273</v>
      </c>
      <c r="E65" s="48">
        <v>4</v>
      </c>
      <c r="F65" s="49">
        <v>1.8</v>
      </c>
      <c r="G65" s="50"/>
      <c r="H65" s="51"/>
      <c r="I65" s="45"/>
      <c r="J65" s="52"/>
      <c r="K65" s="53">
        <f t="shared" si="0"/>
        <v>0</v>
      </c>
      <c r="L65" s="54" t="s">
        <v>4275</v>
      </c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4267</v>
      </c>
      <c r="B67" s="45" t="s">
        <v>4268</v>
      </c>
      <c r="C67" s="46">
        <v>25.76</v>
      </c>
      <c r="D67" s="47" t="s">
        <v>4276</v>
      </c>
      <c r="E67" s="48">
        <v>36</v>
      </c>
      <c r="F67" s="49">
        <v>18.48</v>
      </c>
      <c r="G67" s="50" t="s">
        <v>4274</v>
      </c>
      <c r="H67" s="51">
        <v>2134</v>
      </c>
      <c r="I67" s="45">
        <v>3353</v>
      </c>
      <c r="J67" s="52">
        <v>5</v>
      </c>
      <c r="K67" s="53">
        <f t="shared" si="0"/>
        <v>35.776510000000002</v>
      </c>
      <c r="L67" s="54"/>
    </row>
    <row r="68" spans="1:12" s="55" customFormat="1" ht="19.5" customHeight="1" x14ac:dyDescent="0.3">
      <c r="A68" s="44"/>
      <c r="B68" s="45"/>
      <c r="C68" s="46">
        <v>22</v>
      </c>
      <c r="D68" s="47" t="s">
        <v>4269</v>
      </c>
      <c r="E68" s="48">
        <v>8</v>
      </c>
      <c r="F68" s="49">
        <v>12.8</v>
      </c>
      <c r="G68" s="50" t="s">
        <v>70</v>
      </c>
      <c r="H68" s="51">
        <v>1981</v>
      </c>
      <c r="I68" s="45">
        <v>3353</v>
      </c>
      <c r="J68" s="52">
        <v>12</v>
      </c>
      <c r="K68" s="53">
        <f t="shared" si="0"/>
        <v>79.707515999999998</v>
      </c>
      <c r="L68" s="54" t="s">
        <v>4277</v>
      </c>
    </row>
    <row r="69" spans="1:12" s="55" customFormat="1" ht="19.5" customHeight="1" x14ac:dyDescent="0.3">
      <c r="A69" s="44"/>
      <c r="B69" s="45"/>
      <c r="C69" s="46">
        <v>22</v>
      </c>
      <c r="D69" s="47" t="s">
        <v>4265</v>
      </c>
      <c r="E69" s="48">
        <v>80</v>
      </c>
      <c r="F69" s="49">
        <v>69.36</v>
      </c>
      <c r="G69" s="50" t="s">
        <v>4266</v>
      </c>
      <c r="H69" s="51">
        <v>1981</v>
      </c>
      <c r="I69" s="45">
        <v>3353</v>
      </c>
      <c r="J69" s="52">
        <v>11</v>
      </c>
      <c r="K69" s="53">
        <f t="shared" si="0"/>
        <v>73.065223000000003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4270</v>
      </c>
      <c r="B71" s="45" t="s">
        <v>4268</v>
      </c>
      <c r="C71" s="46">
        <v>25.76</v>
      </c>
      <c r="D71" s="47" t="s">
        <v>4276</v>
      </c>
      <c r="E71" s="48">
        <v>28</v>
      </c>
      <c r="F71" s="49">
        <v>13.36</v>
      </c>
      <c r="G71" s="50" t="s">
        <v>4274</v>
      </c>
      <c r="H71" s="51">
        <v>1829</v>
      </c>
      <c r="I71" s="45">
        <v>3353</v>
      </c>
      <c r="J71" s="52">
        <v>2</v>
      </c>
      <c r="K71" s="53">
        <f t="shared" si="0"/>
        <v>12.265274</v>
      </c>
      <c r="L71" s="54"/>
    </row>
    <row r="72" spans="1:12" s="55" customFormat="1" ht="19.5" customHeight="1" x14ac:dyDescent="0.3">
      <c r="A72" s="44"/>
      <c r="B72" s="45"/>
      <c r="C72" s="46">
        <v>22</v>
      </c>
      <c r="D72" s="47" t="s">
        <v>4269</v>
      </c>
      <c r="E72" s="48">
        <v>8</v>
      </c>
      <c r="F72" s="49">
        <v>11.28</v>
      </c>
      <c r="G72" s="50" t="s">
        <v>4274</v>
      </c>
      <c r="H72" s="51">
        <v>2134</v>
      </c>
      <c r="I72" s="45">
        <v>3353</v>
      </c>
      <c r="J72" s="52">
        <v>2</v>
      </c>
      <c r="K72" s="53">
        <f t="shared" si="0"/>
        <v>14.310604</v>
      </c>
      <c r="L72" s="54" t="s">
        <v>4277</v>
      </c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 t="s">
        <v>4271</v>
      </c>
      <c r="B74" s="45" t="s">
        <v>4268</v>
      </c>
      <c r="C74" s="46">
        <v>25.76</v>
      </c>
      <c r="D74" s="47" t="s">
        <v>4276</v>
      </c>
      <c r="E74" s="48">
        <v>28</v>
      </c>
      <c r="F74" s="49">
        <v>16.64</v>
      </c>
      <c r="G74" s="50" t="s">
        <v>4274</v>
      </c>
      <c r="H74" s="51">
        <v>2134</v>
      </c>
      <c r="I74" s="45">
        <v>3353</v>
      </c>
      <c r="J74" s="52">
        <v>5</v>
      </c>
      <c r="K74" s="53">
        <f t="shared" si="0"/>
        <v>35.776510000000002</v>
      </c>
      <c r="L74" s="54"/>
    </row>
    <row r="75" spans="1:12" s="55" customFormat="1" ht="19.5" customHeight="1" x14ac:dyDescent="0.3">
      <c r="A75" s="44"/>
      <c r="B75" s="45"/>
      <c r="C75" s="46">
        <v>22</v>
      </c>
      <c r="D75" s="47" t="s">
        <v>4269</v>
      </c>
      <c r="E75" s="48">
        <v>12</v>
      </c>
      <c r="F75" s="49">
        <v>13.2</v>
      </c>
      <c r="G75" s="50"/>
      <c r="H75" s="51"/>
      <c r="I75" s="45"/>
      <c r="J75" s="52"/>
      <c r="K75" s="53">
        <f t="shared" si="0"/>
        <v>0</v>
      </c>
      <c r="L75" s="54" t="s">
        <v>4277</v>
      </c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/>
      <c r="B80" s="45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9" customFormat="1" ht="20.100000000000001" customHeight="1" x14ac:dyDescent="0.3">
      <c r="A81" s="44"/>
      <c r="B81" s="45"/>
      <c r="C81" s="46"/>
      <c r="D81" s="47"/>
      <c r="E81" s="56"/>
      <c r="F81" s="57"/>
      <c r="G81" s="50"/>
      <c r="H81" s="51"/>
      <c r="I81" s="45"/>
      <c r="J81" s="52"/>
      <c r="K81" s="53">
        <f t="shared" si="0"/>
        <v>0</v>
      </c>
      <c r="L81" s="58">
        <f>SUM(J35:J82)</f>
        <v>153</v>
      </c>
    </row>
    <row r="82" spans="1:12" s="59" customFormat="1" ht="20.100000000000001" customHeight="1" x14ac:dyDescent="0.3">
      <c r="A82" s="44"/>
      <c r="B82" s="45"/>
      <c r="C82" s="46"/>
      <c r="D82" s="47"/>
      <c r="E82" s="60"/>
      <c r="F82" s="61"/>
      <c r="G82" s="62"/>
      <c r="H82" s="51"/>
      <c r="I82" s="45"/>
      <c r="J82" s="63"/>
      <c r="K82" s="53">
        <f t="shared" si="0"/>
        <v>0</v>
      </c>
      <c r="L82" s="64">
        <f>SUM(K35:K82)</f>
        <v>1143.536411</v>
      </c>
    </row>
    <row r="83" spans="1:12" s="59" customFormat="1" ht="20.100000000000001" customHeight="1" thickBot="1" x14ac:dyDescent="0.35">
      <c r="A83" s="114"/>
      <c r="B83" s="115"/>
      <c r="C83" s="115"/>
      <c r="D83" s="115"/>
      <c r="E83" s="115"/>
      <c r="F83" s="115"/>
      <c r="G83" s="115"/>
      <c r="H83" s="115"/>
      <c r="I83" s="115"/>
      <c r="J83" s="65">
        <f>SUM(J7:J82)</f>
        <v>297</v>
      </c>
      <c r="K83" s="66">
        <f>SUM(K7:K82)</f>
        <v>2090.6917700000004</v>
      </c>
      <c r="L83" s="67"/>
    </row>
    <row r="84" spans="1:12" s="59" customFormat="1" ht="20.100000000000001" customHeight="1" thickTop="1" thickBot="1" x14ac:dyDescent="0.35">
      <c r="A84" s="116" t="s">
        <v>52</v>
      </c>
      <c r="B84" s="117"/>
      <c r="C84" s="68"/>
      <c r="D84" s="118">
        <f>J83</f>
        <v>297</v>
      </c>
      <c r="E84" s="119"/>
      <c r="F84" s="119"/>
      <c r="G84" s="120"/>
      <c r="H84" s="121"/>
      <c r="I84" s="121"/>
      <c r="J84" s="122"/>
      <c r="K84" s="119"/>
      <c r="L84" s="123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71"/>
    </row>
    <row r="86" spans="1:12" s="59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72"/>
      <c r="F90" s="5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5"/>
      <c r="G91" s="73"/>
      <c r="H91" s="5"/>
      <c r="I91" s="74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113"/>
      <c r="B95" s="113"/>
      <c r="C95" s="5"/>
      <c r="D95" s="5"/>
      <c r="E95" s="5"/>
      <c r="F95" s="70"/>
      <c r="G95" s="5"/>
      <c r="H95" s="72"/>
      <c r="I95" s="72"/>
      <c r="J95" s="5"/>
      <c r="K95" s="5"/>
      <c r="L95" s="5"/>
    </row>
    <row r="96" spans="1:12" ht="20.100000000000001" customHeight="1" x14ac:dyDescent="0.3">
      <c r="A96" s="113"/>
      <c r="B96" s="113"/>
      <c r="H96" s="72"/>
      <c r="I96" s="72"/>
    </row>
    <row r="97" spans="1:12" ht="20.100000000000001" customHeight="1" x14ac:dyDescent="0.3">
      <c r="H97" s="72"/>
      <c r="I97" s="72"/>
    </row>
    <row r="98" spans="1:12" ht="20.100000000000001" customHeight="1" x14ac:dyDescent="0.3">
      <c r="H98" s="72"/>
      <c r="I98" s="72"/>
    </row>
    <row r="99" spans="1:12" ht="20.100000000000001" customHeight="1" x14ac:dyDescent="0.3">
      <c r="A99" s="113"/>
      <c r="B99" s="113"/>
      <c r="H99" s="72"/>
      <c r="I99" s="72"/>
    </row>
    <row r="100" spans="1:12" ht="20.100000000000001" customHeight="1" x14ac:dyDescent="0.3">
      <c r="A100" s="113"/>
      <c r="B100" s="113"/>
      <c r="H100" s="72"/>
      <c r="I100" s="72"/>
    </row>
    <row r="101" spans="1:12" ht="20.100000000000001" customHeight="1" x14ac:dyDescent="0.3">
      <c r="H101" s="72"/>
      <c r="I101" s="72"/>
    </row>
    <row r="102" spans="1:12" ht="20.100000000000001" customHeight="1" x14ac:dyDescent="0.3">
      <c r="H102" s="72"/>
      <c r="I102" s="72"/>
    </row>
    <row r="103" spans="1:12" ht="20.100000000000001" customHeight="1" x14ac:dyDescent="0.3">
      <c r="H103" s="72"/>
      <c r="I103" s="72"/>
    </row>
    <row r="104" spans="1:12" s="72" customFormat="1" ht="20.100000000000001" customHeight="1" x14ac:dyDescent="0.3">
      <c r="A104" s="69"/>
      <c r="B104" s="5"/>
      <c r="C104" s="5"/>
      <c r="D104" s="5"/>
      <c r="E104" s="5"/>
      <c r="F104" s="70"/>
      <c r="G104" s="5"/>
      <c r="J104" s="5"/>
      <c r="K104" s="5"/>
      <c r="L104" s="5"/>
    </row>
    <row r="105" spans="1:12" s="72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75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5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5" customFormat="1" ht="19.5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2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2" customFormat="1" ht="20.100000000000001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ht="19.5" customHeight="1" x14ac:dyDescent="0.3"/>
    <row r="112" spans="1:12" ht="19.5" customHeight="1" x14ac:dyDescent="0.3"/>
    <row r="113" spans="2:12" ht="19.5" customHeight="1" x14ac:dyDescent="0.3"/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>
        <v>2</v>
      </c>
      <c r="C174" s="5"/>
      <c r="D174" s="5"/>
      <c r="E174" s="5"/>
      <c r="F174" s="70"/>
      <c r="G174" s="5"/>
      <c r="H174" s="5"/>
      <c r="I174" s="5"/>
      <c r="J174" s="5"/>
      <c r="K174" s="5"/>
      <c r="L174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9:B8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3:I83"/>
    <mergeCell ref="A84:B84"/>
    <mergeCell ref="D84:G84"/>
    <mergeCell ref="H84:J84"/>
    <mergeCell ref="K84:L84"/>
    <mergeCell ref="A99:B99"/>
    <mergeCell ref="A100:B100"/>
    <mergeCell ref="A90:B90"/>
    <mergeCell ref="A91:B91"/>
    <mergeCell ref="A92:B92"/>
    <mergeCell ref="A94:B94"/>
    <mergeCell ref="A95:B95"/>
    <mergeCell ref="A96:B96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L192"/>
  <sheetViews>
    <sheetView view="pageBreakPreview" topLeftCell="F88" zoomScale="85" zoomScaleSheetLayoutView="85" workbookViewId="0">
      <selection activeCell="L99" sqref="L99:L10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46169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100" si="0">(H7/1000*I7/1000)*J7</f>
        <v>0</v>
      </c>
      <c r="L7" s="26">
        <f>SUM(J7:J52)</f>
        <v>184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SUM(K7:K52)</f>
        <v>1223.576372</v>
      </c>
    </row>
    <row r="9" spans="1:12" s="27" customFormat="1" ht="19.5" customHeight="1" x14ac:dyDescent="0.3">
      <c r="A9" s="28" t="s">
        <v>4177</v>
      </c>
      <c r="B9" s="16" t="s">
        <v>4178</v>
      </c>
      <c r="C9" s="17">
        <v>22</v>
      </c>
      <c r="D9" s="18" t="s">
        <v>2632</v>
      </c>
      <c r="E9" s="41">
        <v>115</v>
      </c>
      <c r="F9" s="42">
        <v>65.069999999999993</v>
      </c>
      <c r="G9" s="34" t="s">
        <v>4179</v>
      </c>
      <c r="H9" s="35">
        <v>1981</v>
      </c>
      <c r="I9" s="36">
        <v>3353</v>
      </c>
      <c r="J9" s="37">
        <v>10</v>
      </c>
      <c r="K9" s="25">
        <f t="shared" si="0"/>
        <v>66.422930000000008</v>
      </c>
      <c r="L9" s="39" t="s">
        <v>4181</v>
      </c>
    </row>
    <row r="10" spans="1:12" s="27" customFormat="1" ht="19.5" customHeight="1" x14ac:dyDescent="0.3">
      <c r="A10" s="28"/>
      <c r="B10" s="16"/>
      <c r="C10" s="17">
        <v>22</v>
      </c>
      <c r="D10" s="18" t="s">
        <v>4180</v>
      </c>
      <c r="E10" s="41">
        <v>28</v>
      </c>
      <c r="F10" s="42">
        <v>7.84</v>
      </c>
      <c r="G10" s="34"/>
      <c r="H10" s="35"/>
      <c r="I10" s="36"/>
      <c r="J10" s="37"/>
      <c r="K10" s="25">
        <f t="shared" si="0"/>
        <v>0</v>
      </c>
      <c r="L10" s="39" t="s">
        <v>4181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4239</v>
      </c>
      <c r="B12" s="16" t="s">
        <v>4178</v>
      </c>
      <c r="C12" s="17">
        <v>22</v>
      </c>
      <c r="D12" s="18" t="s">
        <v>2632</v>
      </c>
      <c r="E12" s="41">
        <v>127</v>
      </c>
      <c r="F12" s="42">
        <v>75.95</v>
      </c>
      <c r="G12" s="34" t="s">
        <v>4179</v>
      </c>
      <c r="H12" s="35">
        <v>1981</v>
      </c>
      <c r="I12" s="36">
        <v>3353</v>
      </c>
      <c r="J12" s="37">
        <v>12</v>
      </c>
      <c r="K12" s="25">
        <f t="shared" si="0"/>
        <v>79.707515999999998</v>
      </c>
      <c r="L12" s="39" t="s">
        <v>4183</v>
      </c>
    </row>
    <row r="13" spans="1:12" s="27" customFormat="1" ht="19.5" customHeight="1" x14ac:dyDescent="0.3">
      <c r="A13" s="28"/>
      <c r="B13" s="16"/>
      <c r="C13" s="17">
        <v>22</v>
      </c>
      <c r="D13" s="18" t="s">
        <v>4180</v>
      </c>
      <c r="E13" s="41">
        <v>34</v>
      </c>
      <c r="F13" s="42">
        <v>9.52</v>
      </c>
      <c r="G13" s="34" t="s">
        <v>4182</v>
      </c>
      <c r="H13" s="35">
        <v>1981</v>
      </c>
      <c r="I13" s="36">
        <v>3353</v>
      </c>
      <c r="J13" s="37">
        <v>12</v>
      </c>
      <c r="K13" s="25">
        <f t="shared" si="0"/>
        <v>79.707515999999998</v>
      </c>
      <c r="L13" s="39" t="s">
        <v>4183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0"/>
        <v>0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4184</v>
      </c>
      <c r="E15" s="41">
        <v>144</v>
      </c>
      <c r="F15" s="42">
        <v>120.42</v>
      </c>
      <c r="G15" s="34" t="s">
        <v>4179</v>
      </c>
      <c r="H15" s="35">
        <v>1981</v>
      </c>
      <c r="I15" s="36">
        <v>3353</v>
      </c>
      <c r="J15" s="37">
        <v>18</v>
      </c>
      <c r="K15" s="25">
        <f t="shared" si="0"/>
        <v>119.56127400000001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4182</v>
      </c>
      <c r="H16" s="35">
        <v>1981</v>
      </c>
      <c r="I16" s="36">
        <v>3353</v>
      </c>
      <c r="J16" s="37">
        <v>18</v>
      </c>
      <c r="K16" s="25">
        <f t="shared" si="0"/>
        <v>119.56127400000001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>
        <f t="shared" si="0"/>
        <v>0</v>
      </c>
      <c r="L17" s="39"/>
    </row>
    <row r="18" spans="1:12" s="27" customFormat="1" ht="19.5" customHeight="1" x14ac:dyDescent="0.3">
      <c r="A18" s="28" t="s">
        <v>4185</v>
      </c>
      <c r="B18" s="16" t="s">
        <v>4186</v>
      </c>
      <c r="C18" s="17">
        <v>22</v>
      </c>
      <c r="D18" s="18" t="s">
        <v>2828</v>
      </c>
      <c r="E18" s="41">
        <v>5</v>
      </c>
      <c r="F18" s="42">
        <v>3.58</v>
      </c>
      <c r="G18" s="34" t="s">
        <v>4187</v>
      </c>
      <c r="H18" s="35">
        <v>2438</v>
      </c>
      <c r="I18" s="36">
        <v>3353</v>
      </c>
      <c r="J18" s="37">
        <v>1</v>
      </c>
      <c r="K18" s="25">
        <f t="shared" si="0"/>
        <v>8.174614</v>
      </c>
      <c r="L18" s="39" t="s">
        <v>4196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0"/>
        <v>0</v>
      </c>
      <c r="L19" s="39"/>
    </row>
    <row r="20" spans="1:12" s="27" customFormat="1" ht="19.5" customHeight="1" x14ac:dyDescent="0.3">
      <c r="A20" s="28"/>
      <c r="B20" s="16"/>
      <c r="C20" s="17">
        <v>22</v>
      </c>
      <c r="D20" s="18" t="s">
        <v>2828</v>
      </c>
      <c r="E20" s="41">
        <v>5</v>
      </c>
      <c r="F20" s="42">
        <v>3.58</v>
      </c>
      <c r="G20" s="34" t="s">
        <v>2245</v>
      </c>
      <c r="H20" s="35">
        <v>1981</v>
      </c>
      <c r="I20" s="36">
        <v>3353</v>
      </c>
      <c r="J20" s="37">
        <v>1</v>
      </c>
      <c r="K20" s="25">
        <f t="shared" si="0"/>
        <v>6.6422930000000004</v>
      </c>
      <c r="L20" s="39" t="s">
        <v>4190</v>
      </c>
    </row>
    <row r="21" spans="1:12" s="27" customFormat="1" ht="19.5" customHeight="1" x14ac:dyDescent="0.3">
      <c r="A21" s="28"/>
      <c r="B21" s="16"/>
      <c r="C21" s="17">
        <v>22</v>
      </c>
      <c r="D21" s="18" t="s">
        <v>4188</v>
      </c>
      <c r="E21" s="41">
        <v>3</v>
      </c>
      <c r="F21" s="42">
        <v>2.9</v>
      </c>
      <c r="G21" s="34"/>
      <c r="H21" s="35"/>
      <c r="I21" s="36"/>
      <c r="J21" s="37"/>
      <c r="K21" s="25">
        <f t="shared" si="0"/>
        <v>0</v>
      </c>
      <c r="L21" s="39" t="s">
        <v>4191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/>
      <c r="B23" s="16"/>
      <c r="C23" s="17">
        <v>22</v>
      </c>
      <c r="D23" s="18" t="s">
        <v>4188</v>
      </c>
      <c r="E23" s="41">
        <v>3</v>
      </c>
      <c r="F23" s="42">
        <v>2.9</v>
      </c>
      <c r="G23" s="34" t="s">
        <v>4193</v>
      </c>
      <c r="H23" s="35">
        <v>2134</v>
      </c>
      <c r="I23" s="36">
        <v>3048</v>
      </c>
      <c r="J23" s="37">
        <v>1</v>
      </c>
      <c r="K23" s="25">
        <f t="shared" si="0"/>
        <v>6.5044319999999995</v>
      </c>
      <c r="L23" s="39" t="s">
        <v>4197</v>
      </c>
    </row>
    <row r="24" spans="1:12" s="27" customFormat="1" ht="19.5" customHeight="1" x14ac:dyDescent="0.3">
      <c r="A24" s="28"/>
      <c r="B24" s="16"/>
      <c r="C24" s="17">
        <v>22</v>
      </c>
      <c r="D24" s="18" t="s">
        <v>4192</v>
      </c>
      <c r="E24" s="41">
        <v>2</v>
      </c>
      <c r="F24" s="42">
        <v>0.68</v>
      </c>
      <c r="G24" s="34"/>
      <c r="H24" s="35"/>
      <c r="I24" s="36"/>
      <c r="J24" s="37"/>
      <c r="K24" s="25">
        <f t="shared" si="0"/>
        <v>0</v>
      </c>
      <c r="L24" s="39" t="s">
        <v>4197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>
        <v>22</v>
      </c>
      <c r="D26" s="18" t="s">
        <v>4192</v>
      </c>
      <c r="E26" s="41">
        <v>2</v>
      </c>
      <c r="F26" s="42">
        <v>0.68</v>
      </c>
      <c r="G26" s="34" t="s">
        <v>3493</v>
      </c>
      <c r="H26" s="35"/>
      <c r="I26" s="36"/>
      <c r="J26" s="37"/>
      <c r="K26" s="25">
        <f t="shared" si="0"/>
        <v>0</v>
      </c>
      <c r="L26" s="39" t="s">
        <v>2231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 t="s">
        <v>4194</v>
      </c>
      <c r="B28" s="16" t="s">
        <v>4195</v>
      </c>
      <c r="C28" s="17">
        <v>24</v>
      </c>
      <c r="D28" s="18" t="s">
        <v>4180</v>
      </c>
      <c r="E28" s="41">
        <v>1</v>
      </c>
      <c r="F28" s="42">
        <v>1.27</v>
      </c>
      <c r="G28" s="34" t="s">
        <v>4198</v>
      </c>
      <c r="H28" s="35"/>
      <c r="I28" s="36"/>
      <c r="J28" s="37"/>
      <c r="K28" s="25">
        <f t="shared" si="0"/>
        <v>0</v>
      </c>
      <c r="L28" s="39" t="s">
        <v>4199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 t="s">
        <v>4193</v>
      </c>
      <c r="H29" s="35"/>
      <c r="I29" s="36"/>
      <c r="J29" s="37"/>
      <c r="K29" s="25">
        <f t="shared" si="0"/>
        <v>0</v>
      </c>
      <c r="L29" s="39" t="s">
        <v>4197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 t="s">
        <v>4200</v>
      </c>
      <c r="B31" s="16" t="s">
        <v>4201</v>
      </c>
      <c r="C31" s="17">
        <v>22</v>
      </c>
      <c r="D31" s="18" t="s">
        <v>4202</v>
      </c>
      <c r="E31" s="41">
        <v>2</v>
      </c>
      <c r="F31" s="42">
        <v>1.1599999999999999</v>
      </c>
      <c r="G31" s="34" t="s">
        <v>4203</v>
      </c>
      <c r="H31" s="35">
        <v>1981</v>
      </c>
      <c r="I31" s="36">
        <v>3353</v>
      </c>
      <c r="J31" s="37">
        <v>1</v>
      </c>
      <c r="K31" s="25">
        <f t="shared" si="0"/>
        <v>6.6422930000000004</v>
      </c>
      <c r="L31" s="39" t="s">
        <v>4190</v>
      </c>
    </row>
    <row r="32" spans="1:12" s="27" customFormat="1" ht="19.5" customHeight="1" x14ac:dyDescent="0.3">
      <c r="A32" s="28"/>
      <c r="B32" s="16"/>
      <c r="C32" s="17">
        <v>22</v>
      </c>
      <c r="D32" s="18" t="s">
        <v>2828</v>
      </c>
      <c r="E32" s="41">
        <v>2</v>
      </c>
      <c r="F32" s="42">
        <v>1.1599999999999999</v>
      </c>
      <c r="G32" s="34"/>
      <c r="H32" s="35"/>
      <c r="I32" s="36"/>
      <c r="J32" s="37"/>
      <c r="K32" s="25">
        <f t="shared" si="0"/>
        <v>0</v>
      </c>
      <c r="L32" s="39" t="s">
        <v>4204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 t="s">
        <v>4205</v>
      </c>
      <c r="B34" s="16" t="s">
        <v>4206</v>
      </c>
      <c r="C34" s="17">
        <v>22</v>
      </c>
      <c r="D34" s="18" t="s">
        <v>2384</v>
      </c>
      <c r="E34" s="41">
        <v>176</v>
      </c>
      <c r="F34" s="42">
        <v>169.36</v>
      </c>
      <c r="G34" s="34" t="s">
        <v>4207</v>
      </c>
      <c r="H34" s="35">
        <v>1981</v>
      </c>
      <c r="I34" s="36">
        <v>3353</v>
      </c>
      <c r="J34" s="37">
        <v>26</v>
      </c>
      <c r="K34" s="25">
        <f t="shared" si="0"/>
        <v>172.69961800000002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 t="s">
        <v>2766</v>
      </c>
      <c r="H35" s="35">
        <v>1981</v>
      </c>
      <c r="I35" s="36">
        <v>3353</v>
      </c>
      <c r="J35" s="37">
        <v>26</v>
      </c>
      <c r="K35" s="25">
        <f t="shared" si="0"/>
        <v>172.69961800000002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 t="s">
        <v>4154</v>
      </c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 t="s">
        <v>4240</v>
      </c>
      <c r="B40" s="16" t="s">
        <v>4241</v>
      </c>
      <c r="C40" s="17">
        <v>22</v>
      </c>
      <c r="D40" s="18" t="s">
        <v>4242</v>
      </c>
      <c r="E40" s="41">
        <v>130</v>
      </c>
      <c r="F40" s="42">
        <v>98.26</v>
      </c>
      <c r="G40" s="34" t="s">
        <v>4243</v>
      </c>
      <c r="H40" s="35">
        <v>1981</v>
      </c>
      <c r="I40" s="36">
        <v>3353</v>
      </c>
      <c r="J40" s="37">
        <v>15</v>
      </c>
      <c r="K40" s="25">
        <f t="shared" si="0"/>
        <v>99.634395000000012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 t="s">
        <v>4244</v>
      </c>
      <c r="H41" s="35">
        <v>1981</v>
      </c>
      <c r="I41" s="36">
        <v>3353</v>
      </c>
      <c r="J41" s="37">
        <v>15</v>
      </c>
      <c r="K41" s="25">
        <f t="shared" si="0"/>
        <v>99.634395000000012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0"/>
        <v>0</v>
      </c>
      <c r="L42" s="39"/>
    </row>
    <row r="43" spans="1:12" s="27" customFormat="1" ht="19.5" customHeight="1" x14ac:dyDescent="0.3">
      <c r="A43" s="28" t="s">
        <v>4177</v>
      </c>
      <c r="B43" s="16" t="s">
        <v>4178</v>
      </c>
      <c r="C43" s="17">
        <v>22</v>
      </c>
      <c r="D43" s="18" t="s">
        <v>368</v>
      </c>
      <c r="E43" s="41">
        <v>115</v>
      </c>
      <c r="F43" s="42">
        <v>65.069999999999993</v>
      </c>
      <c r="G43" s="34" t="s">
        <v>4244</v>
      </c>
      <c r="H43" s="35">
        <v>1981</v>
      </c>
      <c r="I43" s="36">
        <v>3353</v>
      </c>
      <c r="J43" s="37">
        <v>10</v>
      </c>
      <c r="K43" s="25">
        <f t="shared" ref="K43:K45" si="1">(H43/1000*I43/1000)*J43</f>
        <v>66.422930000000008</v>
      </c>
      <c r="L43" s="39" t="s">
        <v>4342</v>
      </c>
    </row>
    <row r="44" spans="1:12" s="27" customFormat="1" ht="19.5" customHeight="1" x14ac:dyDescent="0.3">
      <c r="A44" s="28"/>
      <c r="B44" s="16"/>
      <c r="C44" s="17">
        <v>22</v>
      </c>
      <c r="D44" s="18" t="s">
        <v>368</v>
      </c>
      <c r="E44" s="41">
        <v>28</v>
      </c>
      <c r="F44" s="42">
        <v>7.84</v>
      </c>
      <c r="G44" s="34"/>
      <c r="H44" s="35"/>
      <c r="I44" s="36"/>
      <c r="J44" s="37"/>
      <c r="K44" s="25">
        <f t="shared" si="1"/>
        <v>0</v>
      </c>
      <c r="L44" s="39" t="s">
        <v>4342</v>
      </c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25">
        <f t="shared" si="1"/>
        <v>0</v>
      </c>
      <c r="L45" s="39"/>
    </row>
    <row r="46" spans="1:12" s="27" customFormat="1" ht="19.5" customHeight="1" x14ac:dyDescent="0.3">
      <c r="A46" s="28" t="s">
        <v>4245</v>
      </c>
      <c r="B46" s="16" t="s">
        <v>4241</v>
      </c>
      <c r="C46" s="17">
        <v>22</v>
      </c>
      <c r="D46" s="18" t="s">
        <v>4242</v>
      </c>
      <c r="E46" s="41">
        <v>144</v>
      </c>
      <c r="F46" s="42">
        <v>120.42</v>
      </c>
      <c r="G46" s="34" t="s">
        <v>4243</v>
      </c>
      <c r="H46" s="35">
        <v>1981</v>
      </c>
      <c r="I46" s="36">
        <v>3353</v>
      </c>
      <c r="J46" s="37">
        <v>18</v>
      </c>
      <c r="K46" s="25">
        <f t="shared" si="0"/>
        <v>119.56127400000001</v>
      </c>
      <c r="L46" s="39" t="s">
        <v>4246</v>
      </c>
    </row>
    <row r="47" spans="1:12" s="27" customFormat="1" ht="19.5" customHeight="1" x14ac:dyDescent="0.3">
      <c r="A47" s="28"/>
      <c r="B47" s="16"/>
      <c r="C47" s="17"/>
      <c r="D47" s="18"/>
      <c r="E47" s="41"/>
      <c r="F47" s="42"/>
      <c r="G47" s="34"/>
      <c r="H47" s="35"/>
      <c r="I47" s="36"/>
      <c r="J47" s="37"/>
      <c r="K47" s="25">
        <f t="shared" si="0"/>
        <v>0</v>
      </c>
      <c r="L47" s="39"/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25">
        <f t="shared" si="0"/>
        <v>0</v>
      </c>
      <c r="L48" s="39"/>
    </row>
    <row r="49" spans="1:12" s="27" customFormat="1" ht="19.5" customHeight="1" x14ac:dyDescent="0.3">
      <c r="A49" s="28"/>
      <c r="B49" s="16"/>
      <c r="C49" s="17"/>
      <c r="D49" s="18"/>
      <c r="E49" s="41"/>
      <c r="F49" s="42"/>
      <c r="G49" s="34"/>
      <c r="H49" s="35"/>
      <c r="I49" s="36"/>
      <c r="J49" s="37"/>
      <c r="K49" s="25">
        <f t="shared" si="0"/>
        <v>0</v>
      </c>
      <c r="L49" s="39"/>
    </row>
    <row r="50" spans="1:12" s="27" customFormat="1" ht="19.5" customHeight="1" x14ac:dyDescent="0.3">
      <c r="A50" s="28"/>
      <c r="B50" s="16"/>
      <c r="C50" s="17"/>
      <c r="D50" s="18"/>
      <c r="E50" s="41"/>
      <c r="F50" s="42"/>
      <c r="G50" s="34"/>
      <c r="H50" s="35"/>
      <c r="I50" s="36"/>
      <c r="J50" s="37"/>
      <c r="K50" s="25">
        <f t="shared" si="0"/>
        <v>0</v>
      </c>
      <c r="L50" s="39"/>
    </row>
    <row r="51" spans="1:12" s="27" customFormat="1" ht="19.5" customHeight="1" x14ac:dyDescent="0.3">
      <c r="A51" s="28"/>
      <c r="B51" s="16"/>
      <c r="C51" s="17"/>
      <c r="D51" s="18"/>
      <c r="E51" s="41"/>
      <c r="F51" s="42"/>
      <c r="G51" s="34"/>
      <c r="H51" s="35"/>
      <c r="I51" s="36"/>
      <c r="J51" s="37"/>
      <c r="K51" s="25">
        <f t="shared" si="0"/>
        <v>0</v>
      </c>
      <c r="L51" s="39"/>
    </row>
    <row r="52" spans="1:12" s="27" customFormat="1" ht="19.5" customHeight="1" x14ac:dyDescent="0.3">
      <c r="A52" s="28"/>
      <c r="B52" s="29"/>
      <c r="C52" s="30"/>
      <c r="D52" s="31"/>
      <c r="E52" s="41"/>
      <c r="F52" s="42"/>
      <c r="G52" s="43"/>
      <c r="H52" s="35"/>
      <c r="I52" s="36"/>
      <c r="J52" s="37"/>
      <c r="K52" s="38">
        <f t="shared" si="0"/>
        <v>0</v>
      </c>
      <c r="L52" s="39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/>
      <c r="L53" s="54"/>
    </row>
    <row r="54" spans="1:12" s="55" customFormat="1" ht="19.5" customHeight="1" x14ac:dyDescent="0.3">
      <c r="A54" s="44" t="s">
        <v>4208</v>
      </c>
      <c r="B54" s="45" t="s">
        <v>4209</v>
      </c>
      <c r="C54" s="46">
        <v>24</v>
      </c>
      <c r="D54" s="47" t="s">
        <v>4210</v>
      </c>
      <c r="E54" s="48">
        <v>100</v>
      </c>
      <c r="F54" s="49">
        <v>101.87</v>
      </c>
      <c r="G54" s="50" t="s">
        <v>2245</v>
      </c>
      <c r="H54" s="51">
        <v>2438</v>
      </c>
      <c r="I54" s="45">
        <v>3353</v>
      </c>
      <c r="J54" s="52">
        <v>14</v>
      </c>
      <c r="K54" s="53">
        <f t="shared" si="0"/>
        <v>114.444596</v>
      </c>
      <c r="L54" s="54" t="s">
        <v>2756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4211</v>
      </c>
      <c r="B56" s="45" t="s">
        <v>4209</v>
      </c>
      <c r="C56" s="46">
        <v>24</v>
      </c>
      <c r="D56" s="47" t="s">
        <v>4210</v>
      </c>
      <c r="E56" s="48">
        <v>36</v>
      </c>
      <c r="F56" s="49">
        <v>18.760000000000002</v>
      </c>
      <c r="G56" s="50" t="s">
        <v>2245</v>
      </c>
      <c r="H56" s="51">
        <v>2438</v>
      </c>
      <c r="I56" s="45">
        <v>3048</v>
      </c>
      <c r="J56" s="52">
        <v>1</v>
      </c>
      <c r="K56" s="53">
        <f t="shared" si="0"/>
        <v>7.4310240000000007</v>
      </c>
      <c r="L56" s="54" t="s">
        <v>2756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 t="s">
        <v>2245</v>
      </c>
      <c r="H57" s="51">
        <v>2438</v>
      </c>
      <c r="I57" s="45">
        <v>3353</v>
      </c>
      <c r="J57" s="52">
        <v>2</v>
      </c>
      <c r="K57" s="53">
        <f t="shared" si="0"/>
        <v>16.349228</v>
      </c>
      <c r="L57" s="54" t="s">
        <v>2756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4212</v>
      </c>
      <c r="B59" s="45" t="s">
        <v>4213</v>
      </c>
      <c r="C59" s="46">
        <v>24</v>
      </c>
      <c r="D59" s="47" t="s">
        <v>4210</v>
      </c>
      <c r="E59" s="48">
        <v>67</v>
      </c>
      <c r="F59" s="49">
        <v>36.36</v>
      </c>
      <c r="G59" s="50" t="s">
        <v>2245</v>
      </c>
      <c r="H59" s="51">
        <v>2438</v>
      </c>
      <c r="I59" s="45">
        <v>3048</v>
      </c>
      <c r="J59" s="52">
        <v>6</v>
      </c>
      <c r="K59" s="53">
        <f t="shared" si="0"/>
        <v>44.586144000000004</v>
      </c>
      <c r="L59" s="54" t="s">
        <v>2756</v>
      </c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4214</v>
      </c>
      <c r="B61" s="45" t="s">
        <v>4213</v>
      </c>
      <c r="C61" s="46">
        <v>24</v>
      </c>
      <c r="D61" s="47" t="s">
        <v>4210</v>
      </c>
      <c r="E61" s="48">
        <v>52</v>
      </c>
      <c r="F61" s="49">
        <v>27.89</v>
      </c>
      <c r="G61" s="50" t="s">
        <v>2245</v>
      </c>
      <c r="H61" s="51">
        <v>1981</v>
      </c>
      <c r="I61" s="45">
        <v>3353</v>
      </c>
      <c r="J61" s="52">
        <v>5</v>
      </c>
      <c r="K61" s="53">
        <f t="shared" si="0"/>
        <v>33.211465000000004</v>
      </c>
      <c r="L61" s="54" t="s">
        <v>2756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4215</v>
      </c>
      <c r="B63" s="45" t="s">
        <v>4216</v>
      </c>
      <c r="C63" s="46">
        <v>24</v>
      </c>
      <c r="D63" s="47" t="s">
        <v>4217</v>
      </c>
      <c r="E63" s="48">
        <v>3</v>
      </c>
      <c r="F63" s="49">
        <v>2.61</v>
      </c>
      <c r="G63" s="50" t="s">
        <v>4219</v>
      </c>
      <c r="H63" s="51">
        <v>2438</v>
      </c>
      <c r="I63" s="45">
        <v>3353</v>
      </c>
      <c r="J63" s="52">
        <v>14</v>
      </c>
      <c r="K63" s="53">
        <f t="shared" si="0"/>
        <v>114.444596</v>
      </c>
      <c r="L63" s="54" t="s">
        <v>4189</v>
      </c>
    </row>
    <row r="64" spans="1:12" s="55" customFormat="1" ht="19.5" customHeight="1" x14ac:dyDescent="0.3">
      <c r="A64" s="44"/>
      <c r="B64" s="45"/>
      <c r="C64" s="46">
        <v>24</v>
      </c>
      <c r="D64" s="47" t="s">
        <v>4218</v>
      </c>
      <c r="E64" s="48">
        <v>64</v>
      </c>
      <c r="F64" s="49">
        <v>97.68</v>
      </c>
      <c r="G64" s="50" t="s">
        <v>2245</v>
      </c>
      <c r="H64" s="51">
        <v>2438</v>
      </c>
      <c r="I64" s="45">
        <v>3353</v>
      </c>
      <c r="J64" s="52">
        <v>14</v>
      </c>
      <c r="K64" s="53">
        <f t="shared" si="0"/>
        <v>114.444596</v>
      </c>
      <c r="L64" s="54" t="s">
        <v>4189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4220</v>
      </c>
      <c r="B66" s="45" t="s">
        <v>3146</v>
      </c>
      <c r="C66" s="46">
        <v>28</v>
      </c>
      <c r="D66" s="47" t="s">
        <v>4221</v>
      </c>
      <c r="E66" s="48">
        <f>2</f>
        <v>2</v>
      </c>
      <c r="F66" s="49">
        <f>2.1</f>
        <v>2.1</v>
      </c>
      <c r="G66" s="50" t="s">
        <v>4222</v>
      </c>
      <c r="H66" s="51">
        <v>2438</v>
      </c>
      <c r="I66" s="45">
        <v>3048</v>
      </c>
      <c r="J66" s="52">
        <v>4</v>
      </c>
      <c r="K66" s="53">
        <f t="shared" si="0"/>
        <v>29.724096000000003</v>
      </c>
      <c r="L66" s="54" t="s">
        <v>4226</v>
      </c>
    </row>
    <row r="67" spans="1:12" s="55" customFormat="1" ht="19.5" customHeight="1" x14ac:dyDescent="0.3">
      <c r="A67" s="44"/>
      <c r="B67" s="45"/>
      <c r="C67" s="46">
        <v>28</v>
      </c>
      <c r="D67" s="47" t="s">
        <v>4223</v>
      </c>
      <c r="E67" s="48">
        <v>3</v>
      </c>
      <c r="F67" s="49">
        <f>5.01/3+18.18/18*2</f>
        <v>3.69</v>
      </c>
      <c r="G67" s="50"/>
      <c r="H67" s="51"/>
      <c r="I67" s="45"/>
      <c r="J67" s="52"/>
      <c r="K67" s="53">
        <f t="shared" si="0"/>
        <v>0</v>
      </c>
      <c r="L67" s="54" t="s">
        <v>4226</v>
      </c>
    </row>
    <row r="68" spans="1:12" s="55" customFormat="1" ht="19.5" customHeight="1" x14ac:dyDescent="0.3">
      <c r="A68" s="44"/>
      <c r="B68" s="45"/>
      <c r="C68" s="46">
        <v>28</v>
      </c>
      <c r="D68" s="47" t="s">
        <v>4221</v>
      </c>
      <c r="E68" s="48">
        <v>4</v>
      </c>
      <c r="F68" s="49">
        <f>27.96/12*2+27.6/12*2</f>
        <v>9.2600000000000016</v>
      </c>
      <c r="G68" s="50"/>
      <c r="H68" s="51"/>
      <c r="I68" s="45"/>
      <c r="J68" s="52"/>
      <c r="K68" s="53">
        <f t="shared" si="0"/>
        <v>0</v>
      </c>
      <c r="L68" s="54" t="s">
        <v>4226</v>
      </c>
    </row>
    <row r="69" spans="1:12" s="55" customFormat="1" ht="19.5" customHeight="1" x14ac:dyDescent="0.3">
      <c r="A69" s="44" t="s">
        <v>4224</v>
      </c>
      <c r="B69" s="45" t="s">
        <v>4225</v>
      </c>
      <c r="C69" s="46">
        <v>28</v>
      </c>
      <c r="D69" s="47" t="s">
        <v>4221</v>
      </c>
      <c r="E69" s="48">
        <v>2</v>
      </c>
      <c r="F69" s="49">
        <f>21.42/9*2</f>
        <v>4.7600000000000007</v>
      </c>
      <c r="G69" s="50"/>
      <c r="H69" s="51"/>
      <c r="I69" s="45"/>
      <c r="J69" s="52"/>
      <c r="K69" s="53">
        <f t="shared" si="0"/>
        <v>0</v>
      </c>
      <c r="L69" s="54" t="s">
        <v>4226</v>
      </c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4220</v>
      </c>
      <c r="B71" s="45" t="s">
        <v>3146</v>
      </c>
      <c r="C71" s="46">
        <v>28</v>
      </c>
      <c r="D71" s="47" t="s">
        <v>4223</v>
      </c>
      <c r="E71" s="48">
        <v>1</v>
      </c>
      <c r="F71" s="49">
        <f>18.18/18</f>
        <v>1.01</v>
      </c>
      <c r="G71" s="50" t="s">
        <v>4227</v>
      </c>
      <c r="H71" s="51"/>
      <c r="I71" s="45"/>
      <c r="J71" s="52"/>
      <c r="K71" s="53">
        <f t="shared" si="0"/>
        <v>0</v>
      </c>
      <c r="L71" s="54" t="s">
        <v>4228</v>
      </c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 t="s">
        <v>4229</v>
      </c>
      <c r="B73" s="45" t="s">
        <v>4230</v>
      </c>
      <c r="C73" s="46">
        <v>28</v>
      </c>
      <c r="D73" s="47" t="s">
        <v>4231</v>
      </c>
      <c r="E73" s="48">
        <v>1</v>
      </c>
      <c r="F73" s="49">
        <f>17.16/12</f>
        <v>1.43</v>
      </c>
      <c r="G73" s="50" t="s">
        <v>4232</v>
      </c>
      <c r="H73" s="51">
        <v>2438</v>
      </c>
      <c r="I73" s="45">
        <v>3353</v>
      </c>
      <c r="J73" s="52">
        <v>1</v>
      </c>
      <c r="K73" s="53">
        <f t="shared" si="0"/>
        <v>8.174614</v>
      </c>
      <c r="L73" s="54" t="s">
        <v>4233</v>
      </c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 t="s">
        <v>4234</v>
      </c>
      <c r="B76" s="45" t="s">
        <v>4235</v>
      </c>
      <c r="C76" s="46">
        <v>28</v>
      </c>
      <c r="D76" s="47" t="s">
        <v>4236</v>
      </c>
      <c r="E76" s="48">
        <v>46</v>
      </c>
      <c r="F76" s="49">
        <v>38.6</v>
      </c>
      <c r="G76" s="50" t="s">
        <v>4237</v>
      </c>
      <c r="H76" s="51">
        <v>2134</v>
      </c>
      <c r="I76" s="45">
        <v>3048</v>
      </c>
      <c r="J76" s="52">
        <v>7</v>
      </c>
      <c r="K76" s="53">
        <f t="shared" si="0"/>
        <v>45.531023999999995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 t="s">
        <v>4238</v>
      </c>
      <c r="H77" s="51">
        <v>2438</v>
      </c>
      <c r="I77" s="45">
        <v>3353</v>
      </c>
      <c r="J77" s="52">
        <v>3</v>
      </c>
      <c r="K77" s="53">
        <f t="shared" si="0"/>
        <v>24.523842000000002</v>
      </c>
      <c r="L77" s="54"/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 t="s">
        <v>4238</v>
      </c>
      <c r="H78" s="51">
        <v>2438</v>
      </c>
      <c r="I78" s="45">
        <v>3048</v>
      </c>
      <c r="J78" s="52">
        <v>2</v>
      </c>
      <c r="K78" s="53">
        <f t="shared" si="0"/>
        <v>14.862048000000001</v>
      </c>
      <c r="L78" s="54"/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 t="s">
        <v>4238</v>
      </c>
      <c r="H79" s="51">
        <v>2590</v>
      </c>
      <c r="I79" s="45">
        <v>3353</v>
      </c>
      <c r="J79" s="52">
        <v>1</v>
      </c>
      <c r="K79" s="53">
        <f t="shared" si="0"/>
        <v>8.6842699999999979</v>
      </c>
      <c r="L79" s="54"/>
    </row>
    <row r="80" spans="1:12" s="55" customFormat="1" ht="19.5" customHeight="1" x14ac:dyDescent="0.3">
      <c r="A80" s="44"/>
      <c r="B80" s="45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 t="s">
        <v>57</v>
      </c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 t="s">
        <v>4247</v>
      </c>
      <c r="B82" s="45" t="s">
        <v>4248</v>
      </c>
      <c r="C82" s="46">
        <v>24</v>
      </c>
      <c r="D82" s="47" t="s">
        <v>4249</v>
      </c>
      <c r="E82" s="48">
        <v>146</v>
      </c>
      <c r="F82" s="49">
        <v>167.58</v>
      </c>
      <c r="G82" s="50" t="s">
        <v>4243</v>
      </c>
      <c r="H82" s="51">
        <v>1981</v>
      </c>
      <c r="I82" s="45">
        <v>3353</v>
      </c>
      <c r="J82" s="52">
        <v>28</v>
      </c>
      <c r="K82" s="53">
        <f t="shared" si="0"/>
        <v>185.98420400000001</v>
      </c>
      <c r="L82" s="54" t="s">
        <v>4246</v>
      </c>
    </row>
    <row r="83" spans="1:12" s="55" customFormat="1" ht="19.5" customHeight="1" x14ac:dyDescent="0.3">
      <c r="A83" s="44"/>
      <c r="B83" s="45"/>
      <c r="C83" s="46"/>
      <c r="D83" s="47"/>
      <c r="E83" s="48"/>
      <c r="F83" s="49"/>
      <c r="G83" s="50"/>
      <c r="H83" s="51"/>
      <c r="I83" s="45"/>
      <c r="J83" s="52"/>
      <c r="K83" s="53">
        <f t="shared" si="0"/>
        <v>0</v>
      </c>
      <c r="L83" s="54"/>
    </row>
    <row r="84" spans="1:12" s="55" customFormat="1" ht="19.5" customHeight="1" x14ac:dyDescent="0.3">
      <c r="A84" s="44" t="s">
        <v>4250</v>
      </c>
      <c r="B84" s="45" t="s">
        <v>4248</v>
      </c>
      <c r="C84" s="46">
        <v>24</v>
      </c>
      <c r="D84" s="47" t="s">
        <v>4249</v>
      </c>
      <c r="E84" s="48">
        <v>173</v>
      </c>
      <c r="F84" s="49">
        <v>187.74</v>
      </c>
      <c r="G84" s="50" t="s">
        <v>4243</v>
      </c>
      <c r="H84" s="51">
        <v>1981</v>
      </c>
      <c r="I84" s="45">
        <v>3353</v>
      </c>
      <c r="J84" s="52">
        <v>32</v>
      </c>
      <c r="K84" s="53">
        <f t="shared" si="0"/>
        <v>212.55337600000001</v>
      </c>
      <c r="L84" s="54" t="s">
        <v>4246</v>
      </c>
    </row>
    <row r="85" spans="1:12" s="55" customFormat="1" ht="19.5" customHeight="1" x14ac:dyDescent="0.3">
      <c r="A85" s="44"/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5" customFormat="1" ht="19.5" customHeight="1" x14ac:dyDescent="0.3">
      <c r="A86" s="44"/>
      <c r="B86" s="45"/>
      <c r="C86" s="46"/>
      <c r="D86" s="47"/>
      <c r="E86" s="48"/>
      <c r="F86" s="49"/>
      <c r="G86" s="50"/>
      <c r="H86" s="51"/>
      <c r="I86" s="45"/>
      <c r="J86" s="52"/>
      <c r="K86" s="53">
        <f t="shared" si="0"/>
        <v>0</v>
      </c>
      <c r="L86" s="54"/>
    </row>
    <row r="87" spans="1:12" s="55" customFormat="1" ht="19.5" customHeight="1" x14ac:dyDescent="0.3">
      <c r="A87" s="44"/>
      <c r="B87" s="45"/>
      <c r="C87" s="46"/>
      <c r="D87" s="47"/>
      <c r="E87" s="48"/>
      <c r="F87" s="49"/>
      <c r="G87" s="50"/>
      <c r="H87" s="51"/>
      <c r="I87" s="45"/>
      <c r="J87" s="52"/>
      <c r="K87" s="53">
        <f t="shared" si="0"/>
        <v>0</v>
      </c>
      <c r="L87" s="54"/>
    </row>
    <row r="88" spans="1:12" s="55" customFormat="1" ht="19.5" customHeight="1" x14ac:dyDescent="0.3">
      <c r="A88" s="44"/>
      <c r="B88" s="45"/>
      <c r="C88" s="46"/>
      <c r="D88" s="47"/>
      <c r="E88" s="48"/>
      <c r="F88" s="49"/>
      <c r="G88" s="50"/>
      <c r="H88" s="51"/>
      <c r="I88" s="45"/>
      <c r="J88" s="52"/>
      <c r="K88" s="53">
        <f t="shared" si="0"/>
        <v>0</v>
      </c>
      <c r="L88" s="54"/>
    </row>
    <row r="89" spans="1:12" s="55" customFormat="1" ht="19.5" customHeight="1" x14ac:dyDescent="0.3">
      <c r="A89" s="44"/>
      <c r="B89" s="45"/>
      <c r="C89" s="46"/>
      <c r="D89" s="47"/>
      <c r="E89" s="48"/>
      <c r="F89" s="49"/>
      <c r="G89" s="50"/>
      <c r="H89" s="51"/>
      <c r="I89" s="45"/>
      <c r="J89" s="52"/>
      <c r="K89" s="53">
        <f t="shared" si="0"/>
        <v>0</v>
      </c>
      <c r="L89" s="54"/>
    </row>
    <row r="90" spans="1:12" s="55" customFormat="1" ht="19.5" customHeight="1" x14ac:dyDescent="0.3">
      <c r="A90" s="44"/>
      <c r="B90" s="45"/>
      <c r="C90" s="46"/>
      <c r="D90" s="47"/>
      <c r="E90" s="48"/>
      <c r="F90" s="49"/>
      <c r="G90" s="50"/>
      <c r="H90" s="51"/>
      <c r="I90" s="45"/>
      <c r="J90" s="52"/>
      <c r="K90" s="53">
        <f t="shared" si="0"/>
        <v>0</v>
      </c>
      <c r="L90" s="54"/>
    </row>
    <row r="91" spans="1:12" s="55" customFormat="1" ht="19.5" customHeight="1" x14ac:dyDescent="0.3">
      <c r="A91" s="44"/>
      <c r="B91" s="45"/>
      <c r="C91" s="46"/>
      <c r="D91" s="47"/>
      <c r="E91" s="48"/>
      <c r="F91" s="49"/>
      <c r="G91" s="50"/>
      <c r="H91" s="51"/>
      <c r="I91" s="45"/>
      <c r="J91" s="52"/>
      <c r="K91" s="53">
        <f t="shared" si="0"/>
        <v>0</v>
      </c>
      <c r="L91" s="54"/>
    </row>
    <row r="92" spans="1:12" s="55" customFormat="1" ht="19.5" customHeight="1" x14ac:dyDescent="0.3">
      <c r="A92" s="44"/>
      <c r="B92" s="45"/>
      <c r="C92" s="46"/>
      <c r="D92" s="47"/>
      <c r="E92" s="48"/>
      <c r="F92" s="49"/>
      <c r="G92" s="50"/>
      <c r="H92" s="51"/>
      <c r="I92" s="45"/>
      <c r="J92" s="52"/>
      <c r="K92" s="53">
        <f t="shared" si="0"/>
        <v>0</v>
      </c>
      <c r="L92" s="54"/>
    </row>
    <row r="93" spans="1:12" s="55" customFormat="1" ht="19.5" customHeight="1" x14ac:dyDescent="0.3">
      <c r="A93" s="44"/>
      <c r="B93" s="45"/>
      <c r="C93" s="46"/>
      <c r="D93" s="47"/>
      <c r="E93" s="48"/>
      <c r="F93" s="49"/>
      <c r="G93" s="50"/>
      <c r="H93" s="51"/>
      <c r="I93" s="45"/>
      <c r="J93" s="52"/>
      <c r="K93" s="53">
        <f t="shared" si="0"/>
        <v>0</v>
      </c>
      <c r="L93" s="54"/>
    </row>
    <row r="94" spans="1:12" s="55" customFormat="1" ht="19.5" customHeight="1" x14ac:dyDescent="0.3">
      <c r="A94" s="44"/>
      <c r="B94" s="45"/>
      <c r="C94" s="46"/>
      <c r="D94" s="47"/>
      <c r="E94" s="48"/>
      <c r="F94" s="49"/>
      <c r="G94" s="50"/>
      <c r="H94" s="51"/>
      <c r="I94" s="45"/>
      <c r="J94" s="52"/>
      <c r="K94" s="53">
        <f t="shared" si="0"/>
        <v>0</v>
      </c>
      <c r="L94" s="54"/>
    </row>
    <row r="95" spans="1:12" s="55" customFormat="1" ht="19.5" customHeight="1" x14ac:dyDescent="0.3">
      <c r="A95" s="44"/>
      <c r="B95" s="45"/>
      <c r="C95" s="46"/>
      <c r="D95" s="47"/>
      <c r="E95" s="48"/>
      <c r="F95" s="49"/>
      <c r="G95" s="50"/>
      <c r="H95" s="51"/>
      <c r="I95" s="45"/>
      <c r="J95" s="52"/>
      <c r="K95" s="53">
        <f t="shared" si="0"/>
        <v>0</v>
      </c>
      <c r="L95" s="54"/>
    </row>
    <row r="96" spans="1:12" s="55" customFormat="1" ht="19.5" customHeight="1" x14ac:dyDescent="0.3">
      <c r="A96" s="44"/>
      <c r="B96" s="45"/>
      <c r="C96" s="46"/>
      <c r="D96" s="47"/>
      <c r="E96" s="48"/>
      <c r="F96" s="49"/>
      <c r="G96" s="50"/>
      <c r="H96" s="51"/>
      <c r="I96" s="45"/>
      <c r="J96" s="52"/>
      <c r="K96" s="53">
        <f t="shared" si="0"/>
        <v>0</v>
      </c>
      <c r="L96" s="54"/>
    </row>
    <row r="97" spans="1:12" s="55" customFormat="1" ht="19.5" customHeight="1" x14ac:dyDescent="0.3">
      <c r="A97" s="44"/>
      <c r="B97" s="45"/>
      <c r="C97" s="46"/>
      <c r="D97" s="47"/>
      <c r="E97" s="48"/>
      <c r="F97" s="49"/>
      <c r="G97" s="50"/>
      <c r="H97" s="51"/>
      <c r="I97" s="45"/>
      <c r="J97" s="52"/>
      <c r="K97" s="53">
        <f t="shared" si="0"/>
        <v>0</v>
      </c>
      <c r="L97" s="54"/>
    </row>
    <row r="98" spans="1:12" s="55" customFormat="1" ht="19.5" customHeight="1" x14ac:dyDescent="0.3">
      <c r="A98" s="44"/>
      <c r="B98" s="45"/>
      <c r="C98" s="46"/>
      <c r="D98" s="47"/>
      <c r="E98" s="48"/>
      <c r="F98" s="49"/>
      <c r="G98" s="50"/>
      <c r="H98" s="51"/>
      <c r="I98" s="45"/>
      <c r="J98" s="52"/>
      <c r="K98" s="53">
        <f t="shared" si="0"/>
        <v>0</v>
      </c>
      <c r="L98" s="54"/>
    </row>
    <row r="99" spans="1:12" s="59" customFormat="1" ht="20.100000000000001" customHeight="1" x14ac:dyDescent="0.3">
      <c r="A99" s="44"/>
      <c r="B99" s="45"/>
      <c r="C99" s="46"/>
      <c r="D99" s="47"/>
      <c r="E99" s="56"/>
      <c r="F99" s="57"/>
      <c r="G99" s="50"/>
      <c r="H99" s="51"/>
      <c r="I99" s="45"/>
      <c r="J99" s="52"/>
      <c r="K99" s="53">
        <f t="shared" si="0"/>
        <v>0</v>
      </c>
      <c r="L99" s="58">
        <f>SUM(J53:J100)</f>
        <v>134</v>
      </c>
    </row>
    <row r="100" spans="1:12" s="59" customFormat="1" ht="20.100000000000001" customHeight="1" x14ac:dyDescent="0.3">
      <c r="A100" s="44"/>
      <c r="B100" s="45"/>
      <c r="C100" s="46"/>
      <c r="D100" s="47"/>
      <c r="E100" s="60"/>
      <c r="F100" s="61"/>
      <c r="G100" s="62"/>
      <c r="H100" s="51"/>
      <c r="I100" s="45"/>
      <c r="J100" s="63"/>
      <c r="K100" s="53">
        <f t="shared" si="0"/>
        <v>0</v>
      </c>
      <c r="L100" s="64">
        <f>SUM(K53:K100)</f>
        <v>974.94912299999987</v>
      </c>
    </row>
    <row r="101" spans="1:12" s="59" customFormat="1" ht="20.100000000000001" customHeight="1" thickBot="1" x14ac:dyDescent="0.35">
      <c r="A101" s="114"/>
      <c r="B101" s="115"/>
      <c r="C101" s="115"/>
      <c r="D101" s="115"/>
      <c r="E101" s="115"/>
      <c r="F101" s="115"/>
      <c r="G101" s="115"/>
      <c r="H101" s="115"/>
      <c r="I101" s="115"/>
      <c r="J101" s="65">
        <f>SUM(J7:J100)</f>
        <v>318</v>
      </c>
      <c r="K101" s="66">
        <f>SUM(K7:K100)</f>
        <v>2198.5254950000003</v>
      </c>
      <c r="L101" s="67"/>
    </row>
    <row r="102" spans="1:12" s="59" customFormat="1" ht="20.100000000000001" customHeight="1" thickTop="1" thickBot="1" x14ac:dyDescent="0.35">
      <c r="A102" s="116" t="s">
        <v>52</v>
      </c>
      <c r="B102" s="117"/>
      <c r="C102" s="68"/>
      <c r="D102" s="118">
        <f>J101</f>
        <v>318</v>
      </c>
      <c r="E102" s="119"/>
      <c r="F102" s="119"/>
      <c r="G102" s="120"/>
      <c r="H102" s="121"/>
      <c r="I102" s="121"/>
      <c r="J102" s="122"/>
      <c r="K102" s="119"/>
      <c r="L102" s="123"/>
    </row>
    <row r="103" spans="1:12" s="59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71"/>
    </row>
    <row r="104" spans="1:12" s="59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59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59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59" customFormat="1" ht="20.100000000000001" customHeight="1" x14ac:dyDescent="0.3">
      <c r="A107" s="113"/>
      <c r="B107" s="113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59" customFormat="1" ht="20.100000000000001" customHeight="1" x14ac:dyDescent="0.3">
      <c r="A108" s="113"/>
      <c r="B108" s="113"/>
      <c r="C108" s="5"/>
      <c r="D108" s="5"/>
      <c r="E108" s="72"/>
      <c r="F108" s="5"/>
      <c r="G108" s="5"/>
      <c r="H108" s="5"/>
      <c r="I108" s="5"/>
      <c r="J108" s="5"/>
      <c r="K108" s="5"/>
      <c r="L108" s="5"/>
    </row>
    <row r="109" spans="1:12" s="59" customFormat="1" ht="20.100000000000001" customHeight="1" x14ac:dyDescent="0.3">
      <c r="A109" s="113"/>
      <c r="B109" s="113"/>
      <c r="C109" s="5"/>
      <c r="D109" s="5"/>
      <c r="E109" s="5"/>
      <c r="F109" s="5"/>
      <c r="G109" s="73"/>
      <c r="H109" s="5"/>
      <c r="I109" s="74"/>
      <c r="J109" s="5"/>
      <c r="K109" s="5"/>
      <c r="L109" s="5"/>
    </row>
    <row r="110" spans="1:12" s="59" customFormat="1" ht="20.100000000000001" customHeight="1" x14ac:dyDescent="0.3">
      <c r="A110" s="113"/>
      <c r="B110" s="113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59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59" customFormat="1" ht="20.100000000000001" customHeight="1" x14ac:dyDescent="0.3">
      <c r="A112" s="113"/>
      <c r="B112" s="113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59" customFormat="1" ht="20.100000000000001" customHeight="1" x14ac:dyDescent="0.3">
      <c r="A113" s="113"/>
      <c r="B113" s="113"/>
      <c r="C113" s="5"/>
      <c r="D113" s="5"/>
      <c r="E113" s="5"/>
      <c r="F113" s="70"/>
      <c r="G113" s="5"/>
      <c r="H113" s="72"/>
      <c r="I113" s="72"/>
      <c r="J113" s="5"/>
      <c r="K113" s="5"/>
      <c r="L113" s="5"/>
    </row>
    <row r="114" spans="1:12" ht="20.100000000000001" customHeight="1" x14ac:dyDescent="0.3">
      <c r="A114" s="113"/>
      <c r="B114" s="113"/>
      <c r="H114" s="72"/>
      <c r="I114" s="72"/>
    </row>
    <row r="115" spans="1:12" ht="20.100000000000001" customHeight="1" x14ac:dyDescent="0.3">
      <c r="H115" s="72"/>
      <c r="I115" s="72"/>
    </row>
    <row r="116" spans="1:12" ht="20.100000000000001" customHeight="1" x14ac:dyDescent="0.3">
      <c r="H116" s="72"/>
      <c r="I116" s="72"/>
    </row>
    <row r="117" spans="1:12" ht="20.100000000000001" customHeight="1" x14ac:dyDescent="0.3">
      <c r="A117" s="113"/>
      <c r="B117" s="113"/>
      <c r="H117" s="72"/>
      <c r="I117" s="72"/>
    </row>
    <row r="118" spans="1:12" ht="20.100000000000001" customHeight="1" x14ac:dyDescent="0.3">
      <c r="A118" s="113"/>
      <c r="B118" s="113"/>
      <c r="H118" s="72"/>
      <c r="I118" s="72"/>
    </row>
    <row r="119" spans="1:12" ht="20.100000000000001" customHeight="1" x14ac:dyDescent="0.3">
      <c r="H119" s="72"/>
      <c r="I119" s="72"/>
    </row>
    <row r="120" spans="1:12" ht="20.100000000000001" customHeight="1" x14ac:dyDescent="0.3">
      <c r="H120" s="72"/>
      <c r="I120" s="72"/>
    </row>
    <row r="121" spans="1:12" ht="20.100000000000001" customHeight="1" x14ac:dyDescent="0.3">
      <c r="H121" s="72"/>
      <c r="I121" s="72"/>
    </row>
    <row r="122" spans="1:12" s="72" customFormat="1" ht="20.100000000000001" customHeight="1" x14ac:dyDescent="0.3">
      <c r="A122" s="69"/>
      <c r="B122" s="5"/>
      <c r="C122" s="5"/>
      <c r="D122" s="5"/>
      <c r="E122" s="5"/>
      <c r="F122" s="70"/>
      <c r="G122" s="5"/>
      <c r="J122" s="5"/>
      <c r="K122" s="5"/>
      <c r="L122" s="5"/>
    </row>
    <row r="123" spans="1:12" s="72" customFormat="1" ht="20.100000000000001" customHeight="1" x14ac:dyDescent="0.3">
      <c r="A123" s="69"/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75" customFormat="1" ht="20.100000000000001" customHeight="1" x14ac:dyDescent="0.3">
      <c r="A124" s="69"/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75" customFormat="1" ht="20.100000000000001" customHeight="1" x14ac:dyDescent="0.3">
      <c r="A125" s="69"/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75" customFormat="1" ht="19.5" customHeight="1" x14ac:dyDescent="0.3">
      <c r="A126" s="69"/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72" customFormat="1" ht="20.100000000000001" customHeight="1" x14ac:dyDescent="0.3">
      <c r="A127" s="69"/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72" customFormat="1" ht="20.100000000000001" customHeight="1" x14ac:dyDescent="0.3">
      <c r="A128" s="69"/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ht="19.5" customHeight="1" x14ac:dyDescent="0.3"/>
    <row r="130" spans="2:12" ht="19.5" customHeight="1" x14ac:dyDescent="0.3"/>
    <row r="131" spans="2:12" ht="19.5" customHeight="1" x14ac:dyDescent="0.3"/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ht="19.5" customHeight="1" x14ac:dyDescent="0.3"/>
    <row r="149" spans="2:12" ht="19.5" customHeight="1" x14ac:dyDescent="0.3"/>
    <row r="150" spans="2:12" ht="19.5" customHeight="1" x14ac:dyDescent="0.3"/>
    <row r="151" spans="2:12" ht="19.5" customHeight="1" x14ac:dyDescent="0.3"/>
    <row r="152" spans="2:12" ht="19.5" customHeight="1" x14ac:dyDescent="0.3"/>
    <row r="153" spans="2:12" ht="19.5" customHeight="1" x14ac:dyDescent="0.3"/>
    <row r="154" spans="2:12" ht="19.5" customHeight="1" x14ac:dyDescent="0.3"/>
    <row r="155" spans="2:12" ht="19.5" customHeight="1" x14ac:dyDescent="0.3"/>
    <row r="156" spans="2:12" ht="19.5" customHeight="1" x14ac:dyDescent="0.3"/>
    <row r="157" spans="2:12" ht="19.5" customHeight="1" x14ac:dyDescent="0.3"/>
    <row r="158" spans="2:12" ht="19.5" customHeight="1" x14ac:dyDescent="0.3"/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  <row r="185" spans="2:12" s="69" customFormat="1" ht="19.5" customHeight="1" x14ac:dyDescent="0.3">
      <c r="B185" s="5"/>
      <c r="C185" s="5"/>
      <c r="D185" s="5"/>
      <c r="E185" s="5"/>
      <c r="F185" s="70"/>
      <c r="G185" s="5"/>
      <c r="H185" s="5"/>
      <c r="I185" s="5"/>
      <c r="J185" s="5"/>
      <c r="K185" s="5"/>
      <c r="L185" s="5"/>
    </row>
    <row r="186" spans="2:12" s="69" customFormat="1" ht="19.5" customHeight="1" x14ac:dyDescent="0.3">
      <c r="B186" s="5"/>
      <c r="C186" s="5"/>
      <c r="D186" s="5"/>
      <c r="E186" s="5"/>
      <c r="F186" s="70"/>
      <c r="G186" s="5"/>
      <c r="H186" s="5"/>
      <c r="I186" s="5"/>
      <c r="J186" s="5"/>
      <c r="K186" s="5"/>
      <c r="L186" s="5"/>
    </row>
    <row r="187" spans="2:12" s="69" customFormat="1" ht="19.5" customHeight="1" x14ac:dyDescent="0.3">
      <c r="B187" s="5"/>
      <c r="C187" s="5"/>
      <c r="D187" s="5"/>
      <c r="E187" s="5"/>
      <c r="F187" s="70"/>
      <c r="G187" s="5"/>
      <c r="H187" s="5"/>
      <c r="I187" s="5"/>
      <c r="J187" s="5"/>
      <c r="K187" s="5"/>
      <c r="L187" s="5"/>
    </row>
    <row r="188" spans="2:12" s="69" customFormat="1" ht="19.5" customHeight="1" x14ac:dyDescent="0.3">
      <c r="B188" s="5"/>
      <c r="C188" s="5"/>
      <c r="D188" s="5"/>
      <c r="E188" s="5"/>
      <c r="F188" s="70"/>
      <c r="G188" s="5"/>
      <c r="H188" s="5"/>
      <c r="I188" s="5"/>
      <c r="J188" s="5"/>
      <c r="K188" s="5"/>
      <c r="L188" s="5"/>
    </row>
    <row r="189" spans="2:12" s="69" customFormat="1" ht="19.5" customHeight="1" x14ac:dyDescent="0.3">
      <c r="B189" s="5"/>
      <c r="C189" s="5"/>
      <c r="D189" s="5"/>
      <c r="E189" s="5"/>
      <c r="F189" s="70"/>
      <c r="G189" s="5"/>
      <c r="H189" s="5"/>
      <c r="I189" s="5"/>
      <c r="J189" s="5"/>
      <c r="K189" s="5"/>
      <c r="L189" s="5"/>
    </row>
    <row r="190" spans="2:12" s="69" customFormat="1" ht="19.5" customHeight="1" x14ac:dyDescent="0.3">
      <c r="B190" s="5"/>
      <c r="C190" s="5"/>
      <c r="D190" s="5"/>
      <c r="E190" s="5"/>
      <c r="F190" s="70"/>
      <c r="G190" s="5"/>
      <c r="H190" s="5"/>
      <c r="I190" s="5"/>
      <c r="J190" s="5"/>
      <c r="K190" s="5"/>
      <c r="L190" s="5"/>
    </row>
    <row r="191" spans="2:12" s="69" customFormat="1" ht="19.5" customHeight="1" x14ac:dyDescent="0.3">
      <c r="B191" s="5"/>
      <c r="C191" s="5"/>
      <c r="D191" s="5"/>
      <c r="E191" s="5"/>
      <c r="F191" s="70"/>
      <c r="G191" s="5"/>
      <c r="H191" s="5"/>
      <c r="I191" s="5"/>
      <c r="J191" s="5"/>
      <c r="K191" s="5"/>
      <c r="L191" s="5"/>
    </row>
    <row r="192" spans="2:12" s="69" customFormat="1" ht="19.5" customHeight="1" x14ac:dyDescent="0.3">
      <c r="B192" s="5">
        <v>2</v>
      </c>
      <c r="C192" s="5"/>
      <c r="D192" s="5"/>
      <c r="E192" s="5"/>
      <c r="F192" s="70"/>
      <c r="G192" s="5"/>
      <c r="H192" s="5"/>
      <c r="I192" s="5"/>
      <c r="J192" s="5"/>
      <c r="K192" s="5"/>
      <c r="L192" s="5"/>
    </row>
  </sheetData>
  <mergeCells count="30">
    <mergeCell ref="A117:B117"/>
    <mergeCell ref="A118:B118"/>
    <mergeCell ref="A108:B108"/>
    <mergeCell ref="A109:B109"/>
    <mergeCell ref="A110:B110"/>
    <mergeCell ref="A112:B112"/>
    <mergeCell ref="A113:B113"/>
    <mergeCell ref="A114:B114"/>
    <mergeCell ref="A107:B107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101:I101"/>
    <mergeCell ref="A102:B102"/>
    <mergeCell ref="D102:G102"/>
    <mergeCell ref="H102:J102"/>
    <mergeCell ref="K102:L102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38" orientation="portrait" verticalDpi="30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L173"/>
  <sheetViews>
    <sheetView view="pageBreakPreview" topLeftCell="F61" zoomScale="85" zoomScaleSheetLayoutView="85" workbookViewId="0">
      <selection activeCell="L80" sqref="L80:L8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46168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1" si="0">(H7/1000*I7/1000)*J7</f>
        <v>0</v>
      </c>
      <c r="L7" s="26">
        <f>SUM(J7:J38)</f>
        <v>194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SUM(K7:K38)</f>
        <v>1273.8382299999998</v>
      </c>
    </row>
    <row r="9" spans="1:12" s="27" customFormat="1" ht="19.5" customHeight="1" x14ac:dyDescent="0.3">
      <c r="A9" s="28" t="s">
        <v>4136</v>
      </c>
      <c r="B9" s="16" t="s">
        <v>408</v>
      </c>
      <c r="C9" s="17">
        <v>22</v>
      </c>
      <c r="D9" s="18" t="s">
        <v>73</v>
      </c>
      <c r="E9" s="41">
        <v>275</v>
      </c>
      <c r="F9" s="42">
        <v>215.8</v>
      </c>
      <c r="G9" s="34" t="s">
        <v>49</v>
      </c>
      <c r="H9" s="35">
        <v>1829</v>
      </c>
      <c r="I9" s="36">
        <v>3353</v>
      </c>
      <c r="J9" s="37">
        <v>37</v>
      </c>
      <c r="K9" s="25">
        <f t="shared" si="0"/>
        <v>226.907569</v>
      </c>
      <c r="L9" s="39" t="s">
        <v>4137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>
        <f t="shared" si="0"/>
        <v>0</v>
      </c>
      <c r="L10" s="39"/>
    </row>
    <row r="11" spans="1:12" s="27" customFormat="1" ht="19.5" customHeight="1" x14ac:dyDescent="0.3">
      <c r="A11" s="28" t="s">
        <v>4138</v>
      </c>
      <c r="B11" s="16" t="s">
        <v>431</v>
      </c>
      <c r="C11" s="17">
        <v>8</v>
      </c>
      <c r="D11" s="18" t="s">
        <v>1751</v>
      </c>
      <c r="E11" s="41">
        <v>14</v>
      </c>
      <c r="F11" s="42">
        <v>20.16</v>
      </c>
      <c r="G11" s="34" t="s">
        <v>1351</v>
      </c>
      <c r="H11" s="35">
        <v>2286</v>
      </c>
      <c r="I11" s="36">
        <v>3353</v>
      </c>
      <c r="J11" s="37">
        <v>4</v>
      </c>
      <c r="K11" s="25">
        <f t="shared" si="0"/>
        <v>30.659832000000002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 t="s">
        <v>4068</v>
      </c>
      <c r="B13" s="16" t="s">
        <v>4139</v>
      </c>
      <c r="C13" s="17">
        <v>22</v>
      </c>
      <c r="D13" s="18" t="s">
        <v>4140</v>
      </c>
      <c r="E13" s="41">
        <v>162</v>
      </c>
      <c r="F13" s="42">
        <v>135.84</v>
      </c>
      <c r="G13" s="34" t="s">
        <v>4141</v>
      </c>
      <c r="H13" s="35">
        <v>1981</v>
      </c>
      <c r="I13" s="36">
        <v>3353</v>
      </c>
      <c r="J13" s="37">
        <v>20</v>
      </c>
      <c r="K13" s="25">
        <f t="shared" si="0"/>
        <v>132.84586000000002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18</v>
      </c>
      <c r="H14" s="35">
        <v>1981</v>
      </c>
      <c r="I14" s="36">
        <v>3353</v>
      </c>
      <c r="J14" s="37">
        <v>20</v>
      </c>
      <c r="K14" s="25">
        <f t="shared" si="0"/>
        <v>132.84586000000002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25">
        <f t="shared" si="0"/>
        <v>0</v>
      </c>
      <c r="L15" s="39"/>
    </row>
    <row r="16" spans="1:12" s="27" customFormat="1" ht="19.5" customHeight="1" x14ac:dyDescent="0.3">
      <c r="A16" s="28" t="s">
        <v>4142</v>
      </c>
      <c r="B16" s="16" t="s">
        <v>4139</v>
      </c>
      <c r="C16" s="17">
        <v>22</v>
      </c>
      <c r="D16" s="18" t="s">
        <v>4143</v>
      </c>
      <c r="E16" s="41">
        <v>12</v>
      </c>
      <c r="F16" s="42">
        <v>28.32</v>
      </c>
      <c r="G16" s="34" t="s">
        <v>49</v>
      </c>
      <c r="H16" s="35">
        <v>1981</v>
      </c>
      <c r="I16" s="36">
        <v>3353</v>
      </c>
      <c r="J16" s="37">
        <v>24</v>
      </c>
      <c r="K16" s="25">
        <f t="shared" si="0"/>
        <v>159.415032</v>
      </c>
      <c r="L16" s="39"/>
    </row>
    <row r="17" spans="1:12" s="27" customFormat="1" ht="19.5" customHeight="1" x14ac:dyDescent="0.3">
      <c r="A17" s="28"/>
      <c r="B17" s="16"/>
      <c r="C17" s="17">
        <v>22</v>
      </c>
      <c r="D17" s="18" t="s">
        <v>4144</v>
      </c>
      <c r="E17" s="41">
        <v>3</v>
      </c>
      <c r="F17" s="42">
        <v>9.69</v>
      </c>
      <c r="G17" s="34" t="s">
        <v>4148</v>
      </c>
      <c r="H17" s="35">
        <v>1981</v>
      </c>
      <c r="I17" s="36">
        <v>3353</v>
      </c>
      <c r="J17" s="37">
        <v>16</v>
      </c>
      <c r="K17" s="25">
        <f t="shared" si="0"/>
        <v>106.27668800000001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4141</v>
      </c>
      <c r="H18" s="35">
        <v>1981</v>
      </c>
      <c r="I18" s="36">
        <v>3353</v>
      </c>
      <c r="J18" s="37">
        <v>9</v>
      </c>
      <c r="K18" s="25">
        <f t="shared" si="0"/>
        <v>59.780637000000006</v>
      </c>
      <c r="L18" s="39"/>
    </row>
    <row r="19" spans="1:12" s="27" customFormat="1" ht="19.5" customHeight="1" x14ac:dyDescent="0.3">
      <c r="A19" s="28" t="s">
        <v>4145</v>
      </c>
      <c r="B19" s="16" t="s">
        <v>4139</v>
      </c>
      <c r="C19" s="17">
        <v>22</v>
      </c>
      <c r="D19" s="18" t="s">
        <v>4143</v>
      </c>
      <c r="E19" s="41">
        <v>12</v>
      </c>
      <c r="F19" s="42">
        <v>28.32</v>
      </c>
      <c r="G19" s="34"/>
      <c r="H19" s="35"/>
      <c r="I19" s="36"/>
      <c r="J19" s="37"/>
      <c r="K19" s="25">
        <f t="shared" ref="K19:K24" si="1">(H19/1000*I19/1000)*J19</f>
        <v>0</v>
      </c>
      <c r="L19" s="39"/>
    </row>
    <row r="20" spans="1:12" s="27" customFormat="1" ht="19.5" customHeight="1" x14ac:dyDescent="0.3">
      <c r="A20" s="28"/>
      <c r="B20" s="16"/>
      <c r="C20" s="17">
        <v>22</v>
      </c>
      <c r="D20" s="18" t="s">
        <v>4144</v>
      </c>
      <c r="E20" s="41">
        <v>5</v>
      </c>
      <c r="F20" s="42">
        <v>16.149999999999999</v>
      </c>
      <c r="G20" s="34"/>
      <c r="H20" s="35"/>
      <c r="I20" s="36"/>
      <c r="J20" s="37"/>
      <c r="K20" s="25">
        <f t="shared" si="1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1"/>
        <v>0</v>
      </c>
      <c r="L21" s="39"/>
    </row>
    <row r="22" spans="1:12" s="27" customFormat="1" ht="19.5" customHeight="1" x14ac:dyDescent="0.3">
      <c r="A22" s="28" t="s">
        <v>4146</v>
      </c>
      <c r="B22" s="16" t="s">
        <v>4139</v>
      </c>
      <c r="C22" s="17">
        <v>22</v>
      </c>
      <c r="D22" s="18" t="s">
        <v>4143</v>
      </c>
      <c r="E22" s="41">
        <v>6</v>
      </c>
      <c r="F22" s="42">
        <v>14.16</v>
      </c>
      <c r="G22" s="34"/>
      <c r="H22" s="35"/>
      <c r="I22" s="36"/>
      <c r="J22" s="37"/>
      <c r="K22" s="25">
        <f t="shared" si="1"/>
        <v>0</v>
      </c>
      <c r="L22" s="39"/>
    </row>
    <row r="23" spans="1:12" s="27" customFormat="1" ht="19.5" customHeight="1" x14ac:dyDescent="0.3">
      <c r="A23" s="28"/>
      <c r="B23" s="16"/>
      <c r="C23" s="17">
        <v>22</v>
      </c>
      <c r="D23" s="18" t="s">
        <v>4144</v>
      </c>
      <c r="E23" s="41">
        <v>5</v>
      </c>
      <c r="F23" s="42">
        <v>16.149999999999999</v>
      </c>
      <c r="G23" s="34"/>
      <c r="H23" s="35"/>
      <c r="I23" s="36"/>
      <c r="J23" s="37"/>
      <c r="K23" s="25">
        <f t="shared" si="1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1"/>
        <v>0</v>
      </c>
      <c r="L24" s="39"/>
    </row>
    <row r="25" spans="1:12" s="27" customFormat="1" ht="19.5" customHeight="1" x14ac:dyDescent="0.3">
      <c r="A25" s="28" t="s">
        <v>4147</v>
      </c>
      <c r="B25" s="16" t="s">
        <v>4139</v>
      </c>
      <c r="C25" s="17">
        <v>22</v>
      </c>
      <c r="D25" s="18" t="s">
        <v>4143</v>
      </c>
      <c r="E25" s="41">
        <v>12</v>
      </c>
      <c r="F25" s="42">
        <v>28.32</v>
      </c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>
        <v>22</v>
      </c>
      <c r="D26" s="18" t="s">
        <v>4144</v>
      </c>
      <c r="E26" s="41">
        <v>5</v>
      </c>
      <c r="F26" s="42">
        <v>16.149999999999999</v>
      </c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 t="s">
        <v>4154</v>
      </c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ref="K28:K36" si="2">(H28/1000*I28/1000)*J28</f>
        <v>0</v>
      </c>
      <c r="L28" s="39"/>
    </row>
    <row r="29" spans="1:12" s="27" customFormat="1" ht="19.5" customHeight="1" x14ac:dyDescent="0.3">
      <c r="A29" s="28" t="s">
        <v>4155</v>
      </c>
      <c r="B29" s="16" t="s">
        <v>4156</v>
      </c>
      <c r="C29" s="17">
        <v>22</v>
      </c>
      <c r="D29" s="18" t="s">
        <v>4157</v>
      </c>
      <c r="E29" s="41">
        <v>141</v>
      </c>
      <c r="F29" s="42">
        <v>83.67</v>
      </c>
      <c r="G29" s="34" t="s">
        <v>4158</v>
      </c>
      <c r="H29" s="35">
        <v>1981</v>
      </c>
      <c r="I29" s="36">
        <v>3353</v>
      </c>
      <c r="J29" s="37">
        <v>14</v>
      </c>
      <c r="K29" s="25">
        <f t="shared" si="2"/>
        <v>92.992102000000003</v>
      </c>
      <c r="L29" s="39" t="s">
        <v>4162</v>
      </c>
    </row>
    <row r="30" spans="1:12" s="27" customFormat="1" ht="19.5" customHeight="1" x14ac:dyDescent="0.3">
      <c r="A30" s="28"/>
      <c r="B30" s="16"/>
      <c r="C30" s="17">
        <v>22</v>
      </c>
      <c r="D30" s="18" t="s">
        <v>4161</v>
      </c>
      <c r="E30" s="41">
        <v>36</v>
      </c>
      <c r="F30" s="42">
        <v>10.08</v>
      </c>
      <c r="G30" s="34" t="s">
        <v>4141</v>
      </c>
      <c r="H30" s="35">
        <v>1981</v>
      </c>
      <c r="I30" s="36">
        <v>3353</v>
      </c>
      <c r="J30" s="37">
        <v>14</v>
      </c>
      <c r="K30" s="25">
        <f t="shared" si="2"/>
        <v>92.992102000000003</v>
      </c>
      <c r="L30" s="39" t="s">
        <v>4163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/>
      <c r="L31" s="39"/>
    </row>
    <row r="32" spans="1:12" s="27" customFormat="1" ht="19.5" customHeight="1" x14ac:dyDescent="0.3">
      <c r="A32" s="28"/>
      <c r="B32" s="16"/>
      <c r="C32" s="17">
        <v>22</v>
      </c>
      <c r="D32" s="18" t="s">
        <v>4159</v>
      </c>
      <c r="E32" s="41">
        <v>156</v>
      </c>
      <c r="F32" s="42">
        <v>121.68</v>
      </c>
      <c r="G32" s="34" t="s">
        <v>4160</v>
      </c>
      <c r="H32" s="35">
        <v>1981</v>
      </c>
      <c r="I32" s="36">
        <v>3353</v>
      </c>
      <c r="J32" s="37">
        <v>18</v>
      </c>
      <c r="K32" s="25">
        <f t="shared" si="2"/>
        <v>119.56127400000001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 t="s">
        <v>4141</v>
      </c>
      <c r="H33" s="35">
        <v>1981</v>
      </c>
      <c r="I33" s="36">
        <v>3353</v>
      </c>
      <c r="J33" s="37">
        <v>18</v>
      </c>
      <c r="K33" s="25">
        <f t="shared" si="2"/>
        <v>119.56127400000001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2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2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2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38">
        <f t="shared" si="0"/>
        <v>0</v>
      </c>
      <c r="L38" s="39"/>
    </row>
    <row r="39" spans="1:12" s="55" customFormat="1" ht="19.5" customHeight="1" x14ac:dyDescent="0.3">
      <c r="A39" s="44" t="s">
        <v>4117</v>
      </c>
      <c r="B39" s="45" t="s">
        <v>4118</v>
      </c>
      <c r="C39" s="46">
        <v>24</v>
      </c>
      <c r="D39" s="47" t="s">
        <v>4119</v>
      </c>
      <c r="E39" s="48">
        <v>1</v>
      </c>
      <c r="F39" s="49">
        <v>2.88</v>
      </c>
      <c r="G39" s="50" t="s">
        <v>3727</v>
      </c>
      <c r="H39" s="51">
        <v>1981</v>
      </c>
      <c r="I39" s="45">
        <v>3658</v>
      </c>
      <c r="J39" s="52">
        <v>1</v>
      </c>
      <c r="K39" s="53">
        <v>7.2464980000000008</v>
      </c>
      <c r="L39" s="54" t="s">
        <v>4120</v>
      </c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4121</v>
      </c>
      <c r="B41" s="45" t="s">
        <v>3525</v>
      </c>
      <c r="C41" s="46">
        <v>43</v>
      </c>
      <c r="D41" s="47" t="s">
        <v>4122</v>
      </c>
      <c r="E41" s="48">
        <v>1</v>
      </c>
      <c r="F41" s="49">
        <v>0.56000000000000005</v>
      </c>
      <c r="G41" s="50" t="s">
        <v>4123</v>
      </c>
      <c r="H41" s="51"/>
      <c r="I41" s="45"/>
      <c r="J41" s="52"/>
      <c r="K41" s="53">
        <f t="shared" si="0"/>
        <v>0</v>
      </c>
      <c r="L41" s="54" t="s">
        <v>4124</v>
      </c>
    </row>
    <row r="42" spans="1:12" s="55" customFormat="1" ht="19.5" customHeight="1" x14ac:dyDescent="0.3">
      <c r="A42" s="44" t="s">
        <v>4121</v>
      </c>
      <c r="B42" s="45" t="s">
        <v>3525</v>
      </c>
      <c r="C42" s="46">
        <v>43</v>
      </c>
      <c r="D42" s="47" t="s">
        <v>4122</v>
      </c>
      <c r="E42" s="48">
        <v>1</v>
      </c>
      <c r="F42" s="49">
        <v>0.28000000000000003</v>
      </c>
      <c r="G42" s="50" t="s">
        <v>18</v>
      </c>
      <c r="H42" s="51"/>
      <c r="I42" s="45"/>
      <c r="J42" s="52"/>
      <c r="K42" s="53">
        <f t="shared" si="0"/>
        <v>0</v>
      </c>
      <c r="L42" s="54" t="s">
        <v>4125</v>
      </c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4126</v>
      </c>
      <c r="B44" s="45" t="s">
        <v>4127</v>
      </c>
      <c r="C44" s="46">
        <v>24</v>
      </c>
      <c r="D44" s="47" t="s">
        <v>289</v>
      </c>
      <c r="E44" s="48">
        <v>100</v>
      </c>
      <c r="F44" s="49">
        <v>101.87</v>
      </c>
      <c r="G44" s="50" t="s">
        <v>291</v>
      </c>
      <c r="H44" s="51">
        <v>2438</v>
      </c>
      <c r="I44" s="45">
        <v>3353</v>
      </c>
      <c r="J44" s="52">
        <v>14</v>
      </c>
      <c r="K44" s="53">
        <f t="shared" si="0"/>
        <v>114.444596</v>
      </c>
      <c r="L44" s="54" t="s">
        <v>224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4128</v>
      </c>
      <c r="B46" s="45" t="s">
        <v>4127</v>
      </c>
      <c r="C46" s="46">
        <v>24</v>
      </c>
      <c r="D46" s="47" t="s">
        <v>289</v>
      </c>
      <c r="E46" s="48">
        <v>36</v>
      </c>
      <c r="F46" s="49">
        <v>18.760000000000002</v>
      </c>
      <c r="G46" s="50" t="s">
        <v>291</v>
      </c>
      <c r="H46" s="51">
        <v>2438</v>
      </c>
      <c r="I46" s="45">
        <v>3353</v>
      </c>
      <c r="J46" s="52">
        <v>3</v>
      </c>
      <c r="K46" s="53">
        <f t="shared" si="0"/>
        <v>24.523842000000002</v>
      </c>
      <c r="L46" s="54" t="s">
        <v>224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4129</v>
      </c>
      <c r="B48" s="45" t="s">
        <v>4127</v>
      </c>
      <c r="C48" s="46">
        <v>24</v>
      </c>
      <c r="D48" s="47" t="s">
        <v>289</v>
      </c>
      <c r="E48" s="48">
        <v>67</v>
      </c>
      <c r="F48" s="49">
        <v>36.36</v>
      </c>
      <c r="G48" s="50" t="s">
        <v>291</v>
      </c>
      <c r="H48" s="51">
        <v>2438</v>
      </c>
      <c r="I48" s="45">
        <v>3048</v>
      </c>
      <c r="J48" s="52">
        <v>6</v>
      </c>
      <c r="K48" s="53">
        <f t="shared" si="0"/>
        <v>44.586144000000004</v>
      </c>
      <c r="L48" s="54" t="s">
        <v>224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4130</v>
      </c>
      <c r="B50" s="45" t="s">
        <v>4127</v>
      </c>
      <c r="C50" s="46">
        <v>24</v>
      </c>
      <c r="D50" s="47" t="s">
        <v>289</v>
      </c>
      <c r="E50" s="48">
        <v>146</v>
      </c>
      <c r="F50" s="49">
        <v>167.58</v>
      </c>
      <c r="G50" s="50" t="s">
        <v>291</v>
      </c>
      <c r="H50" s="51">
        <v>1981</v>
      </c>
      <c r="I50" s="45">
        <v>3353</v>
      </c>
      <c r="J50" s="52">
        <v>27</v>
      </c>
      <c r="K50" s="53">
        <f t="shared" si="0"/>
        <v>179.34191100000001</v>
      </c>
      <c r="L50" s="54" t="s">
        <v>224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4131</v>
      </c>
      <c r="B52" s="45" t="s">
        <v>4127</v>
      </c>
      <c r="C52" s="46">
        <v>24</v>
      </c>
      <c r="D52" s="47" t="s">
        <v>289</v>
      </c>
      <c r="E52" s="48">
        <v>52</v>
      </c>
      <c r="F52" s="49">
        <v>27.89</v>
      </c>
      <c r="G52" s="50" t="s">
        <v>291</v>
      </c>
      <c r="H52" s="51">
        <v>1981</v>
      </c>
      <c r="I52" s="45">
        <v>3353</v>
      </c>
      <c r="J52" s="52">
        <v>4</v>
      </c>
      <c r="K52" s="53">
        <f t="shared" si="0"/>
        <v>26.569172000000002</v>
      </c>
      <c r="L52" s="54" t="s">
        <v>224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 t="s">
        <v>291</v>
      </c>
      <c r="H53" s="51">
        <v>2438</v>
      </c>
      <c r="I53" s="45">
        <v>3048</v>
      </c>
      <c r="J53" s="52">
        <v>1</v>
      </c>
      <c r="K53" s="53">
        <f t="shared" si="0"/>
        <v>7.4310240000000007</v>
      </c>
      <c r="L53" s="54" t="s">
        <v>224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4132</v>
      </c>
      <c r="B55" s="45" t="s">
        <v>4133</v>
      </c>
      <c r="C55" s="46">
        <v>28</v>
      </c>
      <c r="D55" s="47" t="s">
        <v>4134</v>
      </c>
      <c r="E55" s="48">
        <v>5</v>
      </c>
      <c r="F55" s="49">
        <v>2.16</v>
      </c>
      <c r="G55" s="50" t="s">
        <v>655</v>
      </c>
      <c r="H55" s="51">
        <v>2134</v>
      </c>
      <c r="I55" s="45">
        <v>3048</v>
      </c>
      <c r="J55" s="52">
        <v>1</v>
      </c>
      <c r="K55" s="53">
        <f t="shared" si="0"/>
        <v>6.5044319999999995</v>
      </c>
      <c r="L55" s="54" t="s">
        <v>224</v>
      </c>
    </row>
    <row r="56" spans="1:12" s="55" customFormat="1" ht="19.5" customHeight="1" x14ac:dyDescent="0.3">
      <c r="A56" s="44" t="s">
        <v>4135</v>
      </c>
      <c r="B56" s="45" t="s">
        <v>4133</v>
      </c>
      <c r="C56" s="46">
        <v>28</v>
      </c>
      <c r="D56" s="47" t="s">
        <v>4134</v>
      </c>
      <c r="E56" s="48">
        <v>5</v>
      </c>
      <c r="F56" s="49">
        <v>2.16</v>
      </c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4149</v>
      </c>
      <c r="B58" s="45" t="s">
        <v>2998</v>
      </c>
      <c r="C58" s="46">
        <v>24</v>
      </c>
      <c r="D58" s="47" t="s">
        <v>3571</v>
      </c>
      <c r="E58" s="48">
        <v>1</v>
      </c>
      <c r="F58" s="49">
        <v>2.85</v>
      </c>
      <c r="G58" s="50" t="s">
        <v>3610</v>
      </c>
      <c r="H58" s="51">
        <v>1981</v>
      </c>
      <c r="I58" s="45">
        <v>3658</v>
      </c>
      <c r="J58" s="52">
        <v>1</v>
      </c>
      <c r="K58" s="53">
        <f t="shared" si="0"/>
        <v>7.2464980000000008</v>
      </c>
      <c r="L58" s="54" t="s">
        <v>224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>
        <v>28</v>
      </c>
      <c r="D60" s="47" t="s">
        <v>4150</v>
      </c>
      <c r="E60" s="48">
        <v>20</v>
      </c>
      <c r="F60" s="49">
        <v>9.1999999999999993</v>
      </c>
      <c r="G60" s="50" t="s">
        <v>540</v>
      </c>
      <c r="H60" s="51">
        <v>2438</v>
      </c>
      <c r="I60" s="45">
        <v>3048</v>
      </c>
      <c r="J60" s="52">
        <v>48</v>
      </c>
      <c r="K60" s="53">
        <f t="shared" si="0"/>
        <v>356.68915200000004</v>
      </c>
      <c r="L60" s="54" t="s">
        <v>229</v>
      </c>
    </row>
    <row r="61" spans="1:12" s="55" customFormat="1" ht="19.5" customHeight="1" x14ac:dyDescent="0.3">
      <c r="A61" s="44"/>
      <c r="B61" s="45"/>
      <c r="C61" s="46">
        <v>28</v>
      </c>
      <c r="D61" s="47" t="s">
        <v>4151</v>
      </c>
      <c r="E61" s="48">
        <v>69</v>
      </c>
      <c r="F61" s="49">
        <v>178.1</v>
      </c>
      <c r="G61" s="50" t="s">
        <v>540</v>
      </c>
      <c r="H61" s="51">
        <v>2438</v>
      </c>
      <c r="I61" s="45">
        <v>3353</v>
      </c>
      <c r="J61" s="52">
        <v>18</v>
      </c>
      <c r="K61" s="53">
        <f t="shared" si="0"/>
        <v>147.14305200000001</v>
      </c>
      <c r="L61" s="54"/>
    </row>
    <row r="62" spans="1:12" s="55" customFormat="1" ht="19.5" customHeight="1" x14ac:dyDescent="0.3">
      <c r="A62" s="44"/>
      <c r="B62" s="45"/>
      <c r="C62" s="46">
        <v>28</v>
      </c>
      <c r="D62" s="47" t="s">
        <v>4151</v>
      </c>
      <c r="E62" s="48">
        <v>210</v>
      </c>
      <c r="F62" s="49">
        <v>281.39999999999998</v>
      </c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/>
      <c r="L63" s="54"/>
    </row>
    <row r="64" spans="1:12" s="55" customFormat="1" ht="19.5" customHeight="1" x14ac:dyDescent="0.3">
      <c r="A64" s="44" t="s">
        <v>4164</v>
      </c>
      <c r="B64" s="45"/>
      <c r="C64" s="46"/>
      <c r="D64" s="47"/>
      <c r="E64" s="48"/>
      <c r="F64" s="49"/>
      <c r="G64" s="50"/>
      <c r="H64" s="51"/>
      <c r="I64" s="45"/>
      <c r="J64" s="52"/>
      <c r="K64" s="53"/>
      <c r="L64" s="54"/>
    </row>
    <row r="65" spans="1:12" s="55" customFormat="1" ht="19.5" customHeight="1" x14ac:dyDescent="0.3">
      <c r="A65" s="44" t="s">
        <v>4165</v>
      </c>
      <c r="B65" s="45" t="s">
        <v>4166</v>
      </c>
      <c r="C65" s="46">
        <v>28</v>
      </c>
      <c r="D65" s="47" t="s">
        <v>4167</v>
      </c>
      <c r="E65" s="48">
        <v>23</v>
      </c>
      <c r="F65" s="49">
        <v>13.87</v>
      </c>
      <c r="G65" s="50" t="s">
        <v>4168</v>
      </c>
      <c r="H65" s="51">
        <v>2134</v>
      </c>
      <c r="I65" s="45">
        <v>3048</v>
      </c>
      <c r="J65" s="52">
        <v>8</v>
      </c>
      <c r="K65" s="53">
        <f t="shared" si="0"/>
        <v>52.035455999999996</v>
      </c>
      <c r="L65" s="54" t="s">
        <v>4172</v>
      </c>
    </row>
    <row r="66" spans="1:12" s="55" customFormat="1" ht="19.5" customHeight="1" x14ac:dyDescent="0.3">
      <c r="A66" s="44"/>
      <c r="B66" s="45"/>
      <c r="C66" s="46">
        <v>28</v>
      </c>
      <c r="D66" s="47" t="s">
        <v>4170</v>
      </c>
      <c r="E66" s="48">
        <v>18</v>
      </c>
      <c r="F66" s="49">
        <v>20.14</v>
      </c>
      <c r="G66" s="50" t="s">
        <v>4169</v>
      </c>
      <c r="H66" s="51">
        <v>2438</v>
      </c>
      <c r="I66" s="45">
        <v>3353</v>
      </c>
      <c r="J66" s="52">
        <v>6</v>
      </c>
      <c r="K66" s="53">
        <f t="shared" si="0"/>
        <v>49.047684000000004</v>
      </c>
      <c r="L66" s="54" t="s">
        <v>4173</v>
      </c>
    </row>
    <row r="67" spans="1:12" s="55" customFormat="1" ht="19.5" customHeight="1" x14ac:dyDescent="0.3">
      <c r="A67" s="44"/>
      <c r="B67" s="45"/>
      <c r="C67" s="46">
        <v>28</v>
      </c>
      <c r="D67" s="47" t="s">
        <v>4171</v>
      </c>
      <c r="E67" s="48">
        <v>14</v>
      </c>
      <c r="F67" s="49">
        <v>11.06</v>
      </c>
      <c r="G67" s="50"/>
      <c r="H67" s="51"/>
      <c r="I67" s="45"/>
      <c r="J67" s="52"/>
      <c r="K67" s="53"/>
      <c r="L67" s="54" t="s">
        <v>4174</v>
      </c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/>
      <c r="L68" s="54"/>
    </row>
    <row r="69" spans="1:12" s="55" customFormat="1" ht="19.5" customHeight="1" x14ac:dyDescent="0.3">
      <c r="A69" s="44" t="s">
        <v>4175</v>
      </c>
      <c r="B69" s="45" t="s">
        <v>4166</v>
      </c>
      <c r="C69" s="46">
        <v>28</v>
      </c>
      <c r="D69" s="47" t="s">
        <v>4167</v>
      </c>
      <c r="E69" s="48">
        <v>33</v>
      </c>
      <c r="F69" s="49">
        <v>16.239999999999998</v>
      </c>
      <c r="G69" s="50" t="s">
        <v>4168</v>
      </c>
      <c r="H69" s="51">
        <v>2134</v>
      </c>
      <c r="I69" s="45">
        <v>3048</v>
      </c>
      <c r="J69" s="52">
        <v>9</v>
      </c>
      <c r="K69" s="53">
        <f t="shared" ref="K69:K70" si="3">(H69/1000*I69/1000)*J69</f>
        <v>58.539887999999998</v>
      </c>
      <c r="L69" s="54" t="s">
        <v>4172</v>
      </c>
    </row>
    <row r="70" spans="1:12" s="55" customFormat="1" ht="19.5" customHeight="1" x14ac:dyDescent="0.3">
      <c r="A70" s="44"/>
      <c r="B70" s="45"/>
      <c r="C70" s="46">
        <v>28</v>
      </c>
      <c r="D70" s="47" t="s">
        <v>4170</v>
      </c>
      <c r="E70" s="48">
        <v>18</v>
      </c>
      <c r="F70" s="49">
        <v>20.14</v>
      </c>
      <c r="G70" s="50" t="s">
        <v>4169</v>
      </c>
      <c r="H70" s="51">
        <v>2438</v>
      </c>
      <c r="I70" s="45">
        <v>3353</v>
      </c>
      <c r="J70" s="52">
        <v>7</v>
      </c>
      <c r="K70" s="53">
        <f t="shared" si="3"/>
        <v>57.222298000000002</v>
      </c>
      <c r="L70" s="54" t="s">
        <v>4173</v>
      </c>
    </row>
    <row r="71" spans="1:12" s="55" customFormat="1" ht="19.5" customHeight="1" x14ac:dyDescent="0.3">
      <c r="A71" s="44"/>
      <c r="B71" s="45"/>
      <c r="C71" s="46">
        <v>28</v>
      </c>
      <c r="D71" s="47" t="s">
        <v>4171</v>
      </c>
      <c r="E71" s="48">
        <v>14</v>
      </c>
      <c r="F71" s="49">
        <v>11.06</v>
      </c>
      <c r="G71" s="50"/>
      <c r="H71" s="51"/>
      <c r="I71" s="45"/>
      <c r="J71" s="52"/>
      <c r="K71" s="53"/>
      <c r="L71" s="54" t="s">
        <v>4174</v>
      </c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/>
      <c r="L72" s="54"/>
    </row>
    <row r="73" spans="1:12" s="55" customFormat="1" ht="19.5" customHeight="1" x14ac:dyDescent="0.3">
      <c r="A73" s="44" t="s">
        <v>4132</v>
      </c>
      <c r="B73" s="45" t="s">
        <v>4133</v>
      </c>
      <c r="C73" s="46">
        <v>28</v>
      </c>
      <c r="D73" s="47" t="s">
        <v>4134</v>
      </c>
      <c r="E73" s="48">
        <v>5</v>
      </c>
      <c r="F73" s="49">
        <v>2.16</v>
      </c>
      <c r="G73" s="50" t="s">
        <v>654</v>
      </c>
      <c r="H73" s="51">
        <v>2438</v>
      </c>
      <c r="I73" s="45">
        <v>3048</v>
      </c>
      <c r="J73" s="52">
        <v>1</v>
      </c>
      <c r="K73" s="53">
        <f t="shared" ref="K73:K74" si="4">(H73/1000*I73/1000)*J73</f>
        <v>7.4310240000000007</v>
      </c>
      <c r="L73" s="54" t="s">
        <v>4176</v>
      </c>
    </row>
    <row r="74" spans="1:12" s="55" customFormat="1" ht="19.5" customHeight="1" x14ac:dyDescent="0.3">
      <c r="A74" s="44" t="s">
        <v>4135</v>
      </c>
      <c r="B74" s="45" t="s">
        <v>4133</v>
      </c>
      <c r="C74" s="46">
        <v>28</v>
      </c>
      <c r="D74" s="47" t="s">
        <v>4134</v>
      </c>
      <c r="E74" s="48">
        <v>5</v>
      </c>
      <c r="F74" s="49">
        <v>2.16</v>
      </c>
      <c r="G74" s="50"/>
      <c r="H74" s="51"/>
      <c r="I74" s="45"/>
      <c r="J74" s="52"/>
      <c r="K74" s="53">
        <f t="shared" si="4"/>
        <v>0</v>
      </c>
      <c r="L74" s="54" t="s">
        <v>4176</v>
      </c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/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/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9" customFormat="1" ht="20.100000000000001" customHeight="1" x14ac:dyDescent="0.3">
      <c r="A80" s="44"/>
      <c r="B80" s="45"/>
      <c r="C80" s="46"/>
      <c r="D80" s="47"/>
      <c r="E80" s="56"/>
      <c r="F80" s="57"/>
      <c r="G80" s="50"/>
      <c r="H80" s="51"/>
      <c r="I80" s="45"/>
      <c r="J80" s="52"/>
      <c r="K80" s="53">
        <f t="shared" si="0"/>
        <v>0</v>
      </c>
      <c r="L80" s="58">
        <f>SUM(J39:J81)</f>
        <v>155</v>
      </c>
    </row>
    <row r="81" spans="1:12" s="59" customFormat="1" ht="20.100000000000001" customHeight="1" x14ac:dyDescent="0.3">
      <c r="A81" s="44"/>
      <c r="B81" s="45"/>
      <c r="C81" s="46"/>
      <c r="D81" s="47"/>
      <c r="E81" s="60"/>
      <c r="F81" s="61"/>
      <c r="G81" s="62"/>
      <c r="H81" s="51"/>
      <c r="I81" s="45"/>
      <c r="J81" s="63"/>
      <c r="K81" s="53">
        <f t="shared" si="0"/>
        <v>0</v>
      </c>
      <c r="L81" s="64">
        <f>SUM(K39:K81)</f>
        <v>1146.0026709999997</v>
      </c>
    </row>
    <row r="82" spans="1:12" s="59" customFormat="1" ht="20.100000000000001" customHeight="1" thickBot="1" x14ac:dyDescent="0.35">
      <c r="A82" s="114"/>
      <c r="B82" s="115"/>
      <c r="C82" s="115"/>
      <c r="D82" s="115"/>
      <c r="E82" s="115"/>
      <c r="F82" s="115"/>
      <c r="G82" s="115"/>
      <c r="H82" s="115"/>
      <c r="I82" s="115"/>
      <c r="J82" s="65">
        <f>SUM(J7:J81)</f>
        <v>349</v>
      </c>
      <c r="K82" s="66">
        <f>SUM(K7:K81)</f>
        <v>2419.840901</v>
      </c>
      <c r="L82" s="67"/>
    </row>
    <row r="83" spans="1:12" s="59" customFormat="1" ht="20.100000000000001" customHeight="1" thickTop="1" thickBot="1" x14ac:dyDescent="0.35">
      <c r="A83" s="116" t="s">
        <v>52</v>
      </c>
      <c r="B83" s="117"/>
      <c r="C83" s="68"/>
      <c r="D83" s="118">
        <f>J82</f>
        <v>349</v>
      </c>
      <c r="E83" s="119"/>
      <c r="F83" s="119"/>
      <c r="G83" s="120"/>
      <c r="H83" s="121"/>
      <c r="I83" s="121"/>
      <c r="J83" s="122"/>
      <c r="K83" s="119"/>
      <c r="L83" s="123"/>
    </row>
    <row r="84" spans="1:12" s="59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71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72"/>
      <c r="F89" s="5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5"/>
      <c r="G90" s="73"/>
      <c r="H90" s="5"/>
      <c r="I90" s="74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72"/>
      <c r="I94" s="72"/>
      <c r="J94" s="5"/>
      <c r="K94" s="5"/>
      <c r="L94" s="5"/>
    </row>
    <row r="95" spans="1:12" ht="20.100000000000001" customHeight="1" x14ac:dyDescent="0.3">
      <c r="A95" s="113"/>
      <c r="B95" s="113"/>
      <c r="H95" s="72"/>
      <c r="I95" s="72"/>
    </row>
    <row r="96" spans="1:12" ht="20.100000000000001" customHeight="1" x14ac:dyDescent="0.3">
      <c r="H96" s="72"/>
      <c r="I96" s="72"/>
    </row>
    <row r="97" spans="1:12" ht="20.100000000000001" customHeight="1" x14ac:dyDescent="0.3">
      <c r="H97" s="72"/>
      <c r="I97" s="72"/>
    </row>
    <row r="98" spans="1:12" ht="20.100000000000001" customHeight="1" x14ac:dyDescent="0.3">
      <c r="A98" s="113"/>
      <c r="B98" s="113"/>
      <c r="H98" s="72"/>
      <c r="I98" s="72"/>
    </row>
    <row r="99" spans="1:12" ht="20.100000000000001" customHeight="1" x14ac:dyDescent="0.3">
      <c r="A99" s="113"/>
      <c r="B99" s="113"/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H101" s="72"/>
      <c r="I101" s="72"/>
    </row>
    <row r="102" spans="1:12" ht="20.100000000000001" customHeight="1" x14ac:dyDescent="0.3">
      <c r="H102" s="72"/>
      <c r="I102" s="72"/>
    </row>
    <row r="103" spans="1:12" s="72" customFormat="1" ht="20.100000000000001" customHeight="1" x14ac:dyDescent="0.3">
      <c r="A103" s="69"/>
      <c r="B103" s="5"/>
      <c r="C103" s="5"/>
      <c r="D103" s="5"/>
      <c r="E103" s="5"/>
      <c r="F103" s="70"/>
      <c r="G103" s="5"/>
      <c r="J103" s="5"/>
      <c r="K103" s="5"/>
      <c r="L103" s="5"/>
    </row>
    <row r="104" spans="1:12" s="72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5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75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5" customFormat="1" ht="19.5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2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2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ht="19.5" customHeight="1" x14ac:dyDescent="0.3"/>
    <row r="111" spans="1:12" ht="19.5" customHeight="1" x14ac:dyDescent="0.3"/>
    <row r="112" spans="1:12" ht="19.5" customHeight="1" x14ac:dyDescent="0.3"/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>
        <v>2</v>
      </c>
      <c r="C173" s="5"/>
      <c r="D173" s="5"/>
      <c r="E173" s="5"/>
      <c r="F173" s="70"/>
      <c r="G173" s="5"/>
      <c r="H173" s="5"/>
      <c r="I173" s="5"/>
      <c r="J173" s="5"/>
      <c r="K173" s="5"/>
      <c r="L173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8:B8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2:I82"/>
    <mergeCell ref="A83:B83"/>
    <mergeCell ref="D83:G83"/>
    <mergeCell ref="H83:J83"/>
    <mergeCell ref="K83:L83"/>
    <mergeCell ref="A98:B98"/>
    <mergeCell ref="A99:B99"/>
    <mergeCell ref="A89:B89"/>
    <mergeCell ref="A90:B90"/>
    <mergeCell ref="A91:B91"/>
    <mergeCell ref="A93:B93"/>
    <mergeCell ref="A94:B94"/>
    <mergeCell ref="A95:B95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L145"/>
  <sheetViews>
    <sheetView view="pageBreakPreview" topLeftCell="F34" zoomScale="85" zoomScaleSheetLayoutView="85" workbookViewId="0">
      <selection activeCell="L52" sqref="L52:L5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46167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3" si="0">(H7/1000*I7/1000)*J7</f>
        <v>0</v>
      </c>
      <c r="L7" s="26">
        <f>SUM(J7:J26)</f>
        <v>136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SUM(K7:K26)</f>
        <v>834.03863199999989</v>
      </c>
    </row>
    <row r="9" spans="1:12" s="27" customFormat="1" ht="19.5" customHeight="1" x14ac:dyDescent="0.3">
      <c r="A9" s="28"/>
      <c r="B9" s="16"/>
      <c r="C9" s="17"/>
      <c r="D9" s="18"/>
      <c r="E9" s="41"/>
      <c r="F9" s="42"/>
      <c r="G9" s="34"/>
      <c r="H9" s="35"/>
      <c r="I9" s="36"/>
      <c r="J9" s="37"/>
      <c r="K9" s="25"/>
      <c r="L9" s="39"/>
    </row>
    <row r="10" spans="1:12" s="27" customFormat="1" ht="19.5" customHeight="1" x14ac:dyDescent="0.3">
      <c r="A10" s="28" t="s">
        <v>4098</v>
      </c>
      <c r="B10" s="16" t="s">
        <v>306</v>
      </c>
      <c r="C10" s="17">
        <v>22</v>
      </c>
      <c r="D10" s="18" t="s">
        <v>307</v>
      </c>
      <c r="E10" s="41">
        <v>60</v>
      </c>
      <c r="F10" s="42">
        <v>47.36</v>
      </c>
      <c r="G10" s="34" t="s">
        <v>4099</v>
      </c>
      <c r="H10" s="35">
        <v>1829</v>
      </c>
      <c r="I10" s="36">
        <v>3353</v>
      </c>
      <c r="J10" s="37">
        <v>8</v>
      </c>
      <c r="K10" s="25">
        <f t="shared" ref="K10:K11" si="1">(H10/1000*I10/1000)*J10</f>
        <v>49.061095999999999</v>
      </c>
      <c r="L10" s="39" t="s">
        <v>1472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 t="s">
        <v>4100</v>
      </c>
      <c r="H11" s="35">
        <v>1829</v>
      </c>
      <c r="I11" s="36">
        <v>3353</v>
      </c>
      <c r="J11" s="37">
        <v>8</v>
      </c>
      <c r="K11" s="25">
        <f t="shared" si="1"/>
        <v>49.061095999999999</v>
      </c>
      <c r="L11" s="39"/>
    </row>
    <row r="12" spans="1:12" s="27" customFormat="1" ht="19.5" customHeight="1" x14ac:dyDescent="0.3">
      <c r="A12" s="28"/>
      <c r="B12" s="16"/>
      <c r="C12" s="17">
        <v>22</v>
      </c>
      <c r="D12" s="18" t="s">
        <v>320</v>
      </c>
      <c r="E12" s="41">
        <v>60</v>
      </c>
      <c r="F12" s="42">
        <v>47.36</v>
      </c>
      <c r="G12" s="34" t="s">
        <v>4099</v>
      </c>
      <c r="H12" s="35">
        <v>1829</v>
      </c>
      <c r="I12" s="36">
        <v>3353</v>
      </c>
      <c r="J12" s="37">
        <v>8</v>
      </c>
      <c r="K12" s="25">
        <f t="shared" ref="K12:K13" si="2">(H12/1000*I12/1000)*J12</f>
        <v>49.061095999999999</v>
      </c>
      <c r="L12" s="39" t="s">
        <v>1472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4100</v>
      </c>
      <c r="H13" s="35">
        <v>1829</v>
      </c>
      <c r="I13" s="36">
        <v>3353</v>
      </c>
      <c r="J13" s="37">
        <v>8</v>
      </c>
      <c r="K13" s="25">
        <f t="shared" si="2"/>
        <v>49.061095999999999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/>
      <c r="L14" s="39"/>
    </row>
    <row r="15" spans="1:12" s="27" customFormat="1" ht="19.5" customHeight="1" x14ac:dyDescent="0.3">
      <c r="A15" s="28" t="s">
        <v>4101</v>
      </c>
      <c r="B15" s="16" t="s">
        <v>306</v>
      </c>
      <c r="C15" s="17">
        <v>22</v>
      </c>
      <c r="D15" s="18" t="s">
        <v>320</v>
      </c>
      <c r="E15" s="41">
        <v>89</v>
      </c>
      <c r="F15" s="42">
        <v>81.41</v>
      </c>
      <c r="G15" s="34" t="s">
        <v>4099</v>
      </c>
      <c r="H15" s="35">
        <v>1829</v>
      </c>
      <c r="I15" s="36">
        <v>3353</v>
      </c>
      <c r="J15" s="37">
        <v>15</v>
      </c>
      <c r="K15" s="25">
        <f t="shared" ref="K15:K16" si="3">(H15/1000*I15/1000)*J15</f>
        <v>91.989554999999996</v>
      </c>
      <c r="L15" s="39" t="s">
        <v>1472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4100</v>
      </c>
      <c r="H16" s="35">
        <v>1829</v>
      </c>
      <c r="I16" s="36">
        <v>3353</v>
      </c>
      <c r="J16" s="37">
        <v>15</v>
      </c>
      <c r="K16" s="25">
        <f t="shared" si="3"/>
        <v>91.989554999999996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/>
      <c r="L17" s="39"/>
    </row>
    <row r="18" spans="1:12" s="27" customFormat="1" ht="19.5" customHeight="1" x14ac:dyDescent="0.3">
      <c r="A18" s="28" t="s">
        <v>4136</v>
      </c>
      <c r="B18" s="16" t="s">
        <v>306</v>
      </c>
      <c r="C18" s="17">
        <v>22</v>
      </c>
      <c r="D18" s="18" t="s">
        <v>307</v>
      </c>
      <c r="E18" s="41">
        <v>275</v>
      </c>
      <c r="F18" s="42">
        <v>215.8</v>
      </c>
      <c r="G18" s="34" t="s">
        <v>46</v>
      </c>
      <c r="H18" s="35">
        <v>1829</v>
      </c>
      <c r="I18" s="36">
        <v>3353</v>
      </c>
      <c r="J18" s="37">
        <v>37</v>
      </c>
      <c r="K18" s="25">
        <f t="shared" ref="K18" si="4">(H18/1000*I18/1000)*J18</f>
        <v>226.907569</v>
      </c>
      <c r="L18" s="39" t="s">
        <v>1472</v>
      </c>
    </row>
    <row r="19" spans="1:12" s="27" customFormat="1" ht="19.5" customHeight="1" x14ac:dyDescent="0.3">
      <c r="A19" s="28"/>
      <c r="B19" s="16"/>
      <c r="C19" s="17">
        <v>22</v>
      </c>
      <c r="D19" s="18" t="s">
        <v>4152</v>
      </c>
      <c r="E19" s="41">
        <v>275</v>
      </c>
      <c r="F19" s="42">
        <v>215.8</v>
      </c>
      <c r="G19" s="34" t="s">
        <v>46</v>
      </c>
      <c r="H19" s="35">
        <v>1829</v>
      </c>
      <c r="I19" s="36">
        <v>3353</v>
      </c>
      <c r="J19" s="37">
        <v>37</v>
      </c>
      <c r="K19" s="25">
        <f t="shared" ref="K19" si="5">(H19/1000*I19/1000)*J19</f>
        <v>226.907569</v>
      </c>
      <c r="L19" s="39" t="s">
        <v>1472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/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/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/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 t="s">
        <v>4116</v>
      </c>
      <c r="H23" s="35"/>
      <c r="I23" s="36"/>
      <c r="J23" s="37"/>
      <c r="K23" s="25"/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29"/>
      <c r="C26" s="30"/>
      <c r="D26" s="31"/>
      <c r="E26" s="41"/>
      <c r="F26" s="42"/>
      <c r="G26" s="43"/>
      <c r="H26" s="35"/>
      <c r="I26" s="36"/>
      <c r="J26" s="37"/>
      <c r="K26" s="38">
        <f t="shared" si="0"/>
        <v>0</v>
      </c>
      <c r="L26" s="39"/>
    </row>
    <row r="27" spans="1:12" s="55" customFormat="1" ht="19.5" customHeight="1" x14ac:dyDescent="0.3">
      <c r="A27" s="44"/>
      <c r="B27" s="45"/>
      <c r="C27" s="46"/>
      <c r="D27" s="47"/>
      <c r="E27" s="48"/>
      <c r="F27" s="49"/>
      <c r="G27" s="50"/>
      <c r="H27" s="51"/>
      <c r="I27" s="45"/>
      <c r="J27" s="52"/>
      <c r="K27" s="53">
        <f t="shared" si="0"/>
        <v>0</v>
      </c>
      <c r="L27" s="54"/>
    </row>
    <row r="28" spans="1:12" s="55" customFormat="1" ht="19.5" customHeight="1" x14ac:dyDescent="0.3">
      <c r="A28" s="44" t="s">
        <v>3989</v>
      </c>
      <c r="B28" s="45" t="s">
        <v>1890</v>
      </c>
      <c r="C28" s="46">
        <v>28</v>
      </c>
      <c r="D28" s="47" t="s">
        <v>4102</v>
      </c>
      <c r="E28" s="48">
        <v>72</v>
      </c>
      <c r="F28" s="49">
        <v>77.58</v>
      </c>
      <c r="G28" s="50" t="s">
        <v>3002</v>
      </c>
      <c r="H28" s="51">
        <v>2438</v>
      </c>
      <c r="I28" s="45">
        <v>3048</v>
      </c>
      <c r="J28" s="52">
        <v>37</v>
      </c>
      <c r="K28" s="53">
        <f t="shared" si="0"/>
        <v>274.94788800000003</v>
      </c>
      <c r="L28" s="54" t="s">
        <v>4104</v>
      </c>
    </row>
    <row r="29" spans="1:12" s="55" customFormat="1" ht="19.5" customHeight="1" x14ac:dyDescent="0.3">
      <c r="A29" s="44"/>
      <c r="B29" s="45"/>
      <c r="C29" s="46">
        <v>28</v>
      </c>
      <c r="D29" s="47" t="s">
        <v>4103</v>
      </c>
      <c r="E29" s="48">
        <v>84</v>
      </c>
      <c r="F29" s="49">
        <v>88.44</v>
      </c>
      <c r="G29" s="50"/>
      <c r="H29" s="51"/>
      <c r="I29" s="45"/>
      <c r="J29" s="52"/>
      <c r="K29" s="53"/>
      <c r="L29" s="54" t="s">
        <v>4104</v>
      </c>
    </row>
    <row r="30" spans="1:12" s="55" customFormat="1" ht="19.5" customHeight="1" x14ac:dyDescent="0.3">
      <c r="A30" s="44"/>
      <c r="B30" s="45"/>
      <c r="C30" s="46">
        <v>28</v>
      </c>
      <c r="D30" s="47" t="s">
        <v>4102</v>
      </c>
      <c r="E30" s="48">
        <v>36</v>
      </c>
      <c r="F30" s="49">
        <v>83.88</v>
      </c>
      <c r="G30" s="50"/>
      <c r="H30" s="51"/>
      <c r="I30" s="45"/>
      <c r="J30" s="52"/>
      <c r="K30" s="53"/>
      <c r="L30" s="54" t="s">
        <v>4104</v>
      </c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/>
      <c r="L31" s="54"/>
    </row>
    <row r="32" spans="1:12" s="55" customFormat="1" ht="19.5" customHeight="1" x14ac:dyDescent="0.3">
      <c r="A32" s="44" t="s">
        <v>3993</v>
      </c>
      <c r="B32" s="45" t="s">
        <v>1890</v>
      </c>
      <c r="C32" s="46">
        <v>28</v>
      </c>
      <c r="D32" s="47" t="s">
        <v>4102</v>
      </c>
      <c r="E32" s="48">
        <v>72</v>
      </c>
      <c r="F32" s="49">
        <v>78.66</v>
      </c>
      <c r="G32" s="50" t="s">
        <v>3002</v>
      </c>
      <c r="H32" s="51">
        <v>2438</v>
      </c>
      <c r="I32" s="45">
        <v>3048</v>
      </c>
      <c r="J32" s="52">
        <v>38</v>
      </c>
      <c r="K32" s="53">
        <f t="shared" ref="K32:K38" si="6">(H32/1000*I32/1000)*J32</f>
        <v>282.37891200000001</v>
      </c>
      <c r="L32" s="54" t="s">
        <v>4105</v>
      </c>
    </row>
    <row r="33" spans="1:12" s="55" customFormat="1" ht="19.5" customHeight="1" x14ac:dyDescent="0.3">
      <c r="A33" s="44"/>
      <c r="B33" s="45"/>
      <c r="C33" s="46">
        <v>28</v>
      </c>
      <c r="D33" s="47" t="s">
        <v>4103</v>
      </c>
      <c r="E33" s="48">
        <v>84</v>
      </c>
      <c r="F33" s="49">
        <v>89.64</v>
      </c>
      <c r="G33" s="50"/>
      <c r="H33" s="51"/>
      <c r="I33" s="45"/>
      <c r="J33" s="52"/>
      <c r="K33" s="53"/>
      <c r="L33" s="54" t="s">
        <v>4105</v>
      </c>
    </row>
    <row r="34" spans="1:12" s="55" customFormat="1" ht="19.5" customHeight="1" x14ac:dyDescent="0.3">
      <c r="A34" s="44"/>
      <c r="B34" s="45"/>
      <c r="C34" s="46">
        <v>28</v>
      </c>
      <c r="D34" s="47" t="s">
        <v>4102</v>
      </c>
      <c r="E34" s="48">
        <v>36</v>
      </c>
      <c r="F34" s="49">
        <v>84.93</v>
      </c>
      <c r="G34" s="50"/>
      <c r="H34" s="51"/>
      <c r="I34" s="45"/>
      <c r="J34" s="52"/>
      <c r="K34" s="53"/>
      <c r="L34" s="54" t="s">
        <v>4105</v>
      </c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/>
      <c r="L35" s="54"/>
    </row>
    <row r="36" spans="1:12" s="55" customFormat="1" ht="19.5" customHeight="1" x14ac:dyDescent="0.3">
      <c r="A36" s="44" t="s">
        <v>4106</v>
      </c>
      <c r="B36" s="45" t="s">
        <v>4107</v>
      </c>
      <c r="C36" s="46">
        <v>28</v>
      </c>
      <c r="D36" s="47" t="s">
        <v>4108</v>
      </c>
      <c r="E36" s="48">
        <v>2</v>
      </c>
      <c r="F36" s="49">
        <v>4.87</v>
      </c>
      <c r="G36" s="50" t="s">
        <v>4109</v>
      </c>
      <c r="H36" s="51">
        <v>2438</v>
      </c>
      <c r="I36" s="45">
        <v>3048</v>
      </c>
      <c r="J36" s="52">
        <v>1</v>
      </c>
      <c r="K36" s="53">
        <f t="shared" si="6"/>
        <v>7.4310240000000007</v>
      </c>
      <c r="L36" s="54" t="s">
        <v>4113</v>
      </c>
    </row>
    <row r="37" spans="1:12" s="55" customFormat="1" ht="19.5" customHeight="1" x14ac:dyDescent="0.3">
      <c r="A37" s="44" t="s">
        <v>4111</v>
      </c>
      <c r="B37" s="45" t="s">
        <v>4107</v>
      </c>
      <c r="C37" s="46">
        <v>28</v>
      </c>
      <c r="D37" s="47" t="s">
        <v>4108</v>
      </c>
      <c r="E37" s="48">
        <v>1</v>
      </c>
      <c r="F37" s="49">
        <v>1.45</v>
      </c>
      <c r="G37" s="50" t="s">
        <v>4109</v>
      </c>
      <c r="H37" s="51">
        <v>1829</v>
      </c>
      <c r="I37" s="45">
        <v>3353</v>
      </c>
      <c r="J37" s="52">
        <v>1</v>
      </c>
      <c r="K37" s="53">
        <f t="shared" si="6"/>
        <v>6.1326369999999999</v>
      </c>
      <c r="L37" s="54" t="s">
        <v>4114</v>
      </c>
    </row>
    <row r="38" spans="1:12" s="55" customFormat="1" ht="19.5" customHeight="1" x14ac:dyDescent="0.3">
      <c r="A38" s="44" t="s">
        <v>3665</v>
      </c>
      <c r="B38" s="45" t="s">
        <v>4107</v>
      </c>
      <c r="C38" s="46">
        <v>28</v>
      </c>
      <c r="D38" s="47" t="s">
        <v>4108</v>
      </c>
      <c r="E38" s="48">
        <v>8</v>
      </c>
      <c r="F38" s="49">
        <v>16.989999999999998</v>
      </c>
      <c r="G38" s="50" t="s">
        <v>4110</v>
      </c>
      <c r="H38" s="51">
        <v>2438</v>
      </c>
      <c r="I38" s="45">
        <v>3353</v>
      </c>
      <c r="J38" s="52">
        <v>2</v>
      </c>
      <c r="K38" s="53">
        <f t="shared" si="6"/>
        <v>16.349228</v>
      </c>
      <c r="L38" s="54" t="s">
        <v>4115</v>
      </c>
    </row>
    <row r="39" spans="1:12" s="55" customFormat="1" ht="19.5" customHeight="1" x14ac:dyDescent="0.3">
      <c r="A39" s="44" t="s">
        <v>4112</v>
      </c>
      <c r="B39" s="45" t="s">
        <v>4107</v>
      </c>
      <c r="C39" s="46">
        <v>28</v>
      </c>
      <c r="D39" s="47" t="s">
        <v>4108</v>
      </c>
      <c r="E39" s="48">
        <v>2</v>
      </c>
      <c r="F39" s="49">
        <v>4.97</v>
      </c>
      <c r="G39" s="50"/>
      <c r="H39" s="51"/>
      <c r="I39" s="45"/>
      <c r="J39" s="52"/>
      <c r="K39" s="53"/>
      <c r="L39" s="54" t="s">
        <v>4115</v>
      </c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/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/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/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/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/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/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/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/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/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/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/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9" customFormat="1" ht="20.100000000000001" customHeight="1" x14ac:dyDescent="0.3">
      <c r="A52" s="44"/>
      <c r="B52" s="45"/>
      <c r="C52" s="46"/>
      <c r="D52" s="47"/>
      <c r="E52" s="56"/>
      <c r="F52" s="57"/>
      <c r="G52" s="50"/>
      <c r="H52" s="51"/>
      <c r="I52" s="45"/>
      <c r="J52" s="52"/>
      <c r="K52" s="53">
        <f t="shared" si="0"/>
        <v>0</v>
      </c>
      <c r="L52" s="58">
        <f>SUM(J27:J53)</f>
        <v>79</v>
      </c>
    </row>
    <row r="53" spans="1:12" s="59" customFormat="1" ht="20.100000000000001" customHeight="1" x14ac:dyDescent="0.3">
      <c r="A53" s="44"/>
      <c r="B53" s="45"/>
      <c r="C53" s="46"/>
      <c r="D53" s="47"/>
      <c r="E53" s="60"/>
      <c r="F53" s="61"/>
      <c r="G53" s="62"/>
      <c r="H53" s="51"/>
      <c r="I53" s="45"/>
      <c r="J53" s="63"/>
      <c r="K53" s="53">
        <f t="shared" si="0"/>
        <v>0</v>
      </c>
      <c r="L53" s="64">
        <f>SUM(K27:K53)</f>
        <v>587.23968900000011</v>
      </c>
    </row>
    <row r="54" spans="1:12" s="59" customFormat="1" ht="20.100000000000001" customHeight="1" thickBot="1" x14ac:dyDescent="0.35">
      <c r="A54" s="114"/>
      <c r="B54" s="115"/>
      <c r="C54" s="115"/>
      <c r="D54" s="115"/>
      <c r="E54" s="115"/>
      <c r="F54" s="115"/>
      <c r="G54" s="115"/>
      <c r="H54" s="115"/>
      <c r="I54" s="115"/>
      <c r="J54" s="65">
        <f>SUM(J7:J53)</f>
        <v>215</v>
      </c>
      <c r="K54" s="66">
        <f>SUM(K7:K53)</f>
        <v>1421.278321</v>
      </c>
      <c r="L54" s="67"/>
    </row>
    <row r="55" spans="1:12" s="59" customFormat="1" ht="20.100000000000001" customHeight="1" thickTop="1" thickBot="1" x14ac:dyDescent="0.35">
      <c r="A55" s="116" t="s">
        <v>52</v>
      </c>
      <c r="B55" s="117"/>
      <c r="C55" s="68"/>
      <c r="D55" s="118">
        <f>J54</f>
        <v>215</v>
      </c>
      <c r="E55" s="119"/>
      <c r="F55" s="119"/>
      <c r="G55" s="120"/>
      <c r="H55" s="121"/>
      <c r="I55" s="121"/>
      <c r="J55" s="122"/>
      <c r="K55" s="119"/>
      <c r="L55" s="123"/>
    </row>
    <row r="56" spans="1:12" s="59" customFormat="1" ht="20.100000000000001" customHeight="1" x14ac:dyDescent="0.3">
      <c r="A56" s="69"/>
      <c r="B56" s="5"/>
      <c r="C56" s="5"/>
      <c r="D56" s="5"/>
      <c r="E56" s="5"/>
      <c r="F56" s="70"/>
      <c r="G56" s="5"/>
      <c r="H56" s="5"/>
      <c r="I56" s="5"/>
      <c r="J56" s="5"/>
      <c r="K56" s="5"/>
      <c r="L56" s="71"/>
    </row>
    <row r="57" spans="1:12" s="59" customFormat="1" ht="20.100000000000001" customHeight="1" x14ac:dyDescent="0.3">
      <c r="A57" s="69"/>
      <c r="B57" s="5"/>
      <c r="C57" s="5"/>
      <c r="D57" s="5"/>
      <c r="E57" s="5"/>
      <c r="F57" s="70"/>
      <c r="G57" s="5"/>
      <c r="H57" s="5"/>
      <c r="I57" s="5"/>
      <c r="J57" s="5"/>
      <c r="K57" s="5"/>
      <c r="L57" s="5"/>
    </row>
    <row r="58" spans="1:12" s="59" customFormat="1" ht="20.100000000000001" customHeight="1" x14ac:dyDescent="0.3">
      <c r="A58" s="69"/>
      <c r="B58" s="5"/>
      <c r="C58" s="5"/>
      <c r="D58" s="5"/>
      <c r="E58" s="5"/>
      <c r="F58" s="70"/>
      <c r="G58" s="5"/>
      <c r="H58" s="5"/>
      <c r="I58" s="5"/>
      <c r="J58" s="5"/>
      <c r="K58" s="5"/>
      <c r="L58" s="5"/>
    </row>
    <row r="59" spans="1:12" s="59" customFormat="1" ht="20.100000000000001" customHeight="1" x14ac:dyDescent="0.3">
      <c r="A59" s="69"/>
      <c r="B59" s="5"/>
      <c r="C59" s="5"/>
      <c r="D59" s="5"/>
      <c r="E59" s="5"/>
      <c r="F59" s="70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113"/>
      <c r="B60" s="113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72"/>
      <c r="F61" s="5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113"/>
      <c r="B62" s="113"/>
      <c r="C62" s="5"/>
      <c r="D62" s="5"/>
      <c r="E62" s="5"/>
      <c r="F62" s="5"/>
      <c r="G62" s="73"/>
      <c r="H62" s="5"/>
      <c r="I62" s="74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72"/>
      <c r="I66" s="72"/>
      <c r="J66" s="5"/>
      <c r="K66" s="5"/>
      <c r="L66" s="5"/>
    </row>
    <row r="67" spans="1:12" ht="20.100000000000001" customHeight="1" x14ac:dyDescent="0.3">
      <c r="A67" s="113"/>
      <c r="B67" s="113"/>
      <c r="H67" s="72"/>
      <c r="I67" s="72"/>
    </row>
    <row r="68" spans="1:12" ht="20.100000000000001" customHeight="1" x14ac:dyDescent="0.3">
      <c r="H68" s="72"/>
      <c r="I68" s="72"/>
    </row>
    <row r="69" spans="1:12" ht="20.100000000000001" customHeight="1" x14ac:dyDescent="0.3">
      <c r="H69" s="72"/>
      <c r="I69" s="72"/>
    </row>
    <row r="70" spans="1:12" ht="20.100000000000001" customHeight="1" x14ac:dyDescent="0.3">
      <c r="A70" s="113"/>
      <c r="B70" s="113"/>
      <c r="H70" s="72"/>
      <c r="I70" s="72"/>
    </row>
    <row r="71" spans="1:12" ht="20.100000000000001" customHeight="1" x14ac:dyDescent="0.3">
      <c r="A71" s="113"/>
      <c r="B71" s="113"/>
      <c r="H71" s="72"/>
      <c r="I71" s="72"/>
    </row>
    <row r="72" spans="1:12" ht="20.100000000000001" customHeight="1" x14ac:dyDescent="0.3"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H74" s="72"/>
      <c r="I74" s="72"/>
    </row>
    <row r="75" spans="1:12" s="72" customFormat="1" ht="20.100000000000001" customHeight="1" x14ac:dyDescent="0.3">
      <c r="A75" s="69"/>
      <c r="B75" s="5"/>
      <c r="C75" s="5"/>
      <c r="D75" s="5"/>
      <c r="E75" s="5"/>
      <c r="F75" s="70"/>
      <c r="G75" s="5"/>
      <c r="J75" s="5"/>
      <c r="K75" s="5"/>
      <c r="L75" s="5"/>
    </row>
    <row r="76" spans="1:12" s="72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75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75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75" customFormat="1" ht="19.5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72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2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ht="19.5" customHeight="1" x14ac:dyDescent="0.3"/>
    <row r="83" spans="1:12" ht="19.5" customHeight="1" x14ac:dyDescent="0.3"/>
    <row r="84" spans="1:12" ht="19.5" customHeight="1" x14ac:dyDescent="0.3"/>
    <row r="85" spans="1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ht="19.5" customHeight="1" x14ac:dyDescent="0.3"/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>
        <v>2</v>
      </c>
      <c r="C145" s="5"/>
      <c r="D145" s="5"/>
      <c r="E145" s="5"/>
      <c r="F145" s="70"/>
      <c r="G145" s="5"/>
      <c r="H145" s="5"/>
      <c r="I145" s="5"/>
      <c r="J145" s="5"/>
      <c r="K145" s="5"/>
      <c r="L145" s="5"/>
    </row>
  </sheetData>
  <mergeCells count="30">
    <mergeCell ref="A70:B70"/>
    <mergeCell ref="A71:B71"/>
    <mergeCell ref="A61:B61"/>
    <mergeCell ref="A62:B62"/>
    <mergeCell ref="A63:B63"/>
    <mergeCell ref="A65:B65"/>
    <mergeCell ref="A66:B66"/>
    <mergeCell ref="A67:B67"/>
    <mergeCell ref="A60:B6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4:I54"/>
    <mergeCell ref="A55:B55"/>
    <mergeCell ref="D55:G55"/>
    <mergeCell ref="H55:J55"/>
    <mergeCell ref="K55:L55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L134"/>
  <sheetViews>
    <sheetView view="pageBreakPreview" topLeftCell="F25" zoomScale="85" zoomScaleSheetLayoutView="85" workbookViewId="0">
      <selection activeCell="L41" sqref="L41:L42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46165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42" si="0">(H7/1000*I7/1000)*J7</f>
        <v>0</v>
      </c>
      <c r="L7" s="26">
        <f>SUM(J7:J23)</f>
        <v>153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SUM(K7:K23)</f>
        <v>938.29346099999975</v>
      </c>
    </row>
    <row r="9" spans="1:12" s="27" customFormat="1" ht="19.5" customHeight="1" x14ac:dyDescent="0.3">
      <c r="A9" s="28" t="s">
        <v>4077</v>
      </c>
      <c r="B9" s="16" t="s">
        <v>4078</v>
      </c>
      <c r="C9" s="17">
        <v>22</v>
      </c>
      <c r="D9" s="18" t="s">
        <v>307</v>
      </c>
      <c r="E9" s="41">
        <v>204</v>
      </c>
      <c r="F9" s="42">
        <v>167.2</v>
      </c>
      <c r="G9" s="34" t="s">
        <v>4079</v>
      </c>
      <c r="H9" s="35">
        <v>1829</v>
      </c>
      <c r="I9" s="36">
        <v>3353</v>
      </c>
      <c r="J9" s="37">
        <v>29</v>
      </c>
      <c r="K9" s="25">
        <f t="shared" si="0"/>
        <v>177.846473</v>
      </c>
      <c r="L9" s="39" t="s">
        <v>1472</v>
      </c>
    </row>
    <row r="10" spans="1:12" s="27" customFormat="1" ht="19.5" customHeight="1" x14ac:dyDescent="0.3">
      <c r="A10" s="28"/>
      <c r="B10" s="16"/>
      <c r="C10" s="17">
        <v>22</v>
      </c>
      <c r="D10" s="18" t="s">
        <v>320</v>
      </c>
      <c r="E10" s="41">
        <v>204</v>
      </c>
      <c r="F10" s="42">
        <v>167.2</v>
      </c>
      <c r="G10" s="34" t="s">
        <v>4080</v>
      </c>
      <c r="H10" s="35">
        <v>1829</v>
      </c>
      <c r="I10" s="36">
        <v>3353</v>
      </c>
      <c r="J10" s="37">
        <v>58</v>
      </c>
      <c r="K10" s="25">
        <f t="shared" si="0"/>
        <v>355.69294600000001</v>
      </c>
      <c r="L10" s="39" t="s">
        <v>4081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3986</v>
      </c>
      <c r="B12" s="16" t="s">
        <v>306</v>
      </c>
      <c r="C12" s="17">
        <v>22</v>
      </c>
      <c r="D12" s="18" t="s">
        <v>307</v>
      </c>
      <c r="E12" s="41">
        <v>164</v>
      </c>
      <c r="F12" s="42">
        <v>141.72</v>
      </c>
      <c r="G12" s="34" t="s">
        <v>4079</v>
      </c>
      <c r="H12" s="35">
        <v>1829</v>
      </c>
      <c r="I12" s="36">
        <v>3353</v>
      </c>
      <c r="J12" s="37">
        <v>24</v>
      </c>
      <c r="K12" s="25">
        <f t="shared" si="0"/>
        <v>147.183288</v>
      </c>
      <c r="L12" s="39" t="s">
        <v>4083</v>
      </c>
    </row>
    <row r="13" spans="1:12" s="27" customFormat="1" ht="19.5" customHeight="1" x14ac:dyDescent="0.3">
      <c r="A13" s="28"/>
      <c r="B13" s="16"/>
      <c r="C13" s="17">
        <v>22</v>
      </c>
      <c r="D13" s="18" t="s">
        <v>320</v>
      </c>
      <c r="E13" s="41">
        <v>136</v>
      </c>
      <c r="F13" s="42">
        <v>85.84</v>
      </c>
      <c r="G13" s="34" t="s">
        <v>39</v>
      </c>
      <c r="H13" s="35">
        <v>1829</v>
      </c>
      <c r="I13" s="36">
        <v>3353</v>
      </c>
      <c r="J13" s="37">
        <v>14</v>
      </c>
      <c r="K13" s="25">
        <f t="shared" si="0"/>
        <v>85.856917999999993</v>
      </c>
      <c r="L13" s="39" t="s">
        <v>4082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0"/>
        <v>0</v>
      </c>
      <c r="L14" s="39"/>
    </row>
    <row r="15" spans="1:12" s="27" customFormat="1" ht="19.5" customHeight="1" x14ac:dyDescent="0.3">
      <c r="A15" s="28" t="s">
        <v>4084</v>
      </c>
      <c r="B15" s="16" t="s">
        <v>306</v>
      </c>
      <c r="C15" s="17">
        <v>22</v>
      </c>
      <c r="D15" s="18" t="s">
        <v>307</v>
      </c>
      <c r="E15" s="41">
        <v>89</v>
      </c>
      <c r="F15" s="42">
        <v>81.41</v>
      </c>
      <c r="G15" s="34" t="s">
        <v>39</v>
      </c>
      <c r="H15" s="35">
        <v>1829</v>
      </c>
      <c r="I15" s="36">
        <v>3353</v>
      </c>
      <c r="J15" s="37">
        <v>14</v>
      </c>
      <c r="K15" s="25">
        <f t="shared" si="0"/>
        <v>85.856917999999993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49</v>
      </c>
      <c r="H16" s="35">
        <v>1829</v>
      </c>
      <c r="I16" s="36">
        <v>3353</v>
      </c>
      <c r="J16" s="37">
        <v>14</v>
      </c>
      <c r="K16" s="25">
        <f t="shared" si="0"/>
        <v>85.856917999999993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>
        <f t="shared" si="0"/>
        <v>0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0"/>
        <v>0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/>
      <c r="B23" s="29"/>
      <c r="C23" s="30"/>
      <c r="D23" s="31"/>
      <c r="E23" s="41"/>
      <c r="F23" s="42"/>
      <c r="G23" s="43"/>
      <c r="H23" s="35"/>
      <c r="I23" s="36"/>
      <c r="J23" s="37"/>
      <c r="K23" s="38">
        <f t="shared" si="0"/>
        <v>0</v>
      </c>
      <c r="L23" s="39"/>
    </row>
    <row r="24" spans="1:12" s="55" customFormat="1" ht="19.5" customHeight="1" x14ac:dyDescent="0.3">
      <c r="A24" s="44"/>
      <c r="B24" s="45"/>
      <c r="C24" s="46"/>
      <c r="D24" s="47"/>
      <c r="E24" s="48"/>
      <c r="F24" s="49"/>
      <c r="G24" s="50"/>
      <c r="H24" s="51"/>
      <c r="I24" s="45"/>
      <c r="J24" s="52"/>
      <c r="K24" s="53">
        <f t="shared" si="0"/>
        <v>0</v>
      </c>
      <c r="L24" s="54"/>
    </row>
    <row r="25" spans="1:12" s="55" customFormat="1" ht="19.5" customHeight="1" x14ac:dyDescent="0.3">
      <c r="A25" s="44" t="s">
        <v>4085</v>
      </c>
      <c r="B25" s="45" t="s">
        <v>4086</v>
      </c>
      <c r="C25" s="46">
        <v>24</v>
      </c>
      <c r="D25" s="47" t="s">
        <v>4088</v>
      </c>
      <c r="E25" s="48">
        <v>78</v>
      </c>
      <c r="F25" s="49">
        <v>154.63999999999999</v>
      </c>
      <c r="G25" s="50" t="s">
        <v>4089</v>
      </c>
      <c r="H25" s="51">
        <v>2134</v>
      </c>
      <c r="I25" s="45">
        <v>3048</v>
      </c>
      <c r="J25" s="52">
        <v>47</v>
      </c>
      <c r="K25" s="53">
        <f t="shared" si="0"/>
        <v>305.708304</v>
      </c>
      <c r="L25" s="54" t="s">
        <v>4090</v>
      </c>
    </row>
    <row r="26" spans="1:12" s="55" customFormat="1" ht="19.5" customHeight="1" x14ac:dyDescent="0.3">
      <c r="A26" s="44" t="s">
        <v>4087</v>
      </c>
      <c r="B26" s="45" t="s">
        <v>4086</v>
      </c>
      <c r="C26" s="46">
        <v>24</v>
      </c>
      <c r="D26" s="47" t="s">
        <v>4088</v>
      </c>
      <c r="E26" s="48">
        <v>78</v>
      </c>
      <c r="F26" s="49">
        <v>154.63999999999999</v>
      </c>
      <c r="G26" s="50"/>
      <c r="H26" s="51"/>
      <c r="I26" s="45"/>
      <c r="J26" s="52"/>
      <c r="K26" s="53">
        <f t="shared" si="0"/>
        <v>0</v>
      </c>
      <c r="L26" s="54" t="s">
        <v>4090</v>
      </c>
    </row>
    <row r="27" spans="1:12" s="55" customFormat="1" ht="19.5" customHeight="1" x14ac:dyDescent="0.3">
      <c r="A27" s="44"/>
      <c r="B27" s="45"/>
      <c r="C27" s="46"/>
      <c r="D27" s="47"/>
      <c r="E27" s="48"/>
      <c r="F27" s="49"/>
      <c r="G27" s="50"/>
      <c r="H27" s="51"/>
      <c r="I27" s="45"/>
      <c r="J27" s="52"/>
      <c r="K27" s="53">
        <f t="shared" si="0"/>
        <v>0</v>
      </c>
      <c r="L27" s="54"/>
    </row>
    <row r="28" spans="1:12" s="55" customFormat="1" ht="19.5" customHeight="1" x14ac:dyDescent="0.3">
      <c r="A28" s="44" t="s">
        <v>4091</v>
      </c>
      <c r="B28" s="45" t="s">
        <v>4086</v>
      </c>
      <c r="C28" s="46">
        <v>24</v>
      </c>
      <c r="D28" s="47" t="s">
        <v>4088</v>
      </c>
      <c r="E28" s="48">
        <v>78</v>
      </c>
      <c r="F28" s="49">
        <v>154.58000000000001</v>
      </c>
      <c r="G28" s="50" t="s">
        <v>4089</v>
      </c>
      <c r="H28" s="51">
        <v>2134</v>
      </c>
      <c r="I28" s="45">
        <v>3048</v>
      </c>
      <c r="J28" s="52">
        <v>59</v>
      </c>
      <c r="K28" s="53">
        <f t="shared" si="0"/>
        <v>383.76148799999999</v>
      </c>
      <c r="L28" s="54" t="s">
        <v>4090</v>
      </c>
    </row>
    <row r="29" spans="1:12" s="55" customFormat="1" ht="19.5" customHeight="1" x14ac:dyDescent="0.3">
      <c r="A29" s="44" t="s">
        <v>4092</v>
      </c>
      <c r="B29" s="45" t="s">
        <v>4086</v>
      </c>
      <c r="C29" s="46">
        <v>24</v>
      </c>
      <c r="D29" s="47" t="s">
        <v>4088</v>
      </c>
      <c r="E29" s="48">
        <v>120</v>
      </c>
      <c r="F29" s="49">
        <v>118.8</v>
      </c>
      <c r="G29" s="50"/>
      <c r="H29" s="51"/>
      <c r="I29" s="45"/>
      <c r="J29" s="52"/>
      <c r="K29" s="53">
        <f t="shared" si="0"/>
        <v>0</v>
      </c>
      <c r="L29" s="54" t="s">
        <v>4090</v>
      </c>
    </row>
    <row r="30" spans="1:12" s="55" customFormat="1" ht="19.5" customHeight="1" x14ac:dyDescent="0.3">
      <c r="A30" s="44" t="s">
        <v>4093</v>
      </c>
      <c r="B30" s="45" t="s">
        <v>4086</v>
      </c>
      <c r="C30" s="46">
        <v>24</v>
      </c>
      <c r="D30" s="47" t="s">
        <v>4088</v>
      </c>
      <c r="E30" s="48">
        <v>80</v>
      </c>
      <c r="F30" s="49">
        <v>79.2</v>
      </c>
      <c r="G30" s="50"/>
      <c r="H30" s="51"/>
      <c r="I30" s="45"/>
      <c r="J30" s="52"/>
      <c r="K30" s="53">
        <f t="shared" si="0"/>
        <v>0</v>
      </c>
      <c r="L30" s="54" t="s">
        <v>4090</v>
      </c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4094</v>
      </c>
      <c r="B32" s="45" t="s">
        <v>4095</v>
      </c>
      <c r="C32" s="46">
        <v>24</v>
      </c>
      <c r="D32" s="47" t="s">
        <v>4096</v>
      </c>
      <c r="E32" s="48">
        <v>1</v>
      </c>
      <c r="F32" s="49">
        <v>0.59</v>
      </c>
      <c r="G32" s="50"/>
      <c r="H32" s="51"/>
      <c r="I32" s="45"/>
      <c r="J32" s="52"/>
      <c r="K32" s="53">
        <f t="shared" si="0"/>
        <v>0</v>
      </c>
      <c r="L32" s="54" t="s">
        <v>4097</v>
      </c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9" customFormat="1" ht="20.100000000000001" customHeight="1" x14ac:dyDescent="0.3">
      <c r="A41" s="44"/>
      <c r="B41" s="45"/>
      <c r="C41" s="46"/>
      <c r="D41" s="47"/>
      <c r="E41" s="56"/>
      <c r="F41" s="57"/>
      <c r="G41" s="50"/>
      <c r="H41" s="51"/>
      <c r="I41" s="45"/>
      <c r="J41" s="52"/>
      <c r="K41" s="53">
        <f t="shared" si="0"/>
        <v>0</v>
      </c>
      <c r="L41" s="58">
        <f>SUM(J24:J42)</f>
        <v>106</v>
      </c>
    </row>
    <row r="42" spans="1:12" s="59" customFormat="1" ht="20.100000000000001" customHeight="1" x14ac:dyDescent="0.3">
      <c r="A42" s="44"/>
      <c r="B42" s="45"/>
      <c r="C42" s="46"/>
      <c r="D42" s="47"/>
      <c r="E42" s="60"/>
      <c r="F42" s="61"/>
      <c r="G42" s="62"/>
      <c r="H42" s="51"/>
      <c r="I42" s="45"/>
      <c r="J42" s="63"/>
      <c r="K42" s="53">
        <f t="shared" si="0"/>
        <v>0</v>
      </c>
      <c r="L42" s="64">
        <f>SUM(K24:K42)</f>
        <v>689.46979199999998</v>
      </c>
    </row>
    <row r="43" spans="1:12" s="59" customFormat="1" ht="20.100000000000001" customHeight="1" thickBot="1" x14ac:dyDescent="0.35">
      <c r="A43" s="114"/>
      <c r="B43" s="115"/>
      <c r="C43" s="115"/>
      <c r="D43" s="115"/>
      <c r="E43" s="115"/>
      <c r="F43" s="115"/>
      <c r="G43" s="115"/>
      <c r="H43" s="115"/>
      <c r="I43" s="115"/>
      <c r="J43" s="65">
        <f>SUM(J7:J42)</f>
        <v>259</v>
      </c>
      <c r="K43" s="66">
        <f>SUM(K7:K42)</f>
        <v>1627.7632529999996</v>
      </c>
      <c r="L43" s="67"/>
    </row>
    <row r="44" spans="1:12" s="59" customFormat="1" ht="20.100000000000001" customHeight="1" thickTop="1" thickBot="1" x14ac:dyDescent="0.35">
      <c r="A44" s="116" t="s">
        <v>52</v>
      </c>
      <c r="B44" s="117"/>
      <c r="C44" s="68"/>
      <c r="D44" s="118">
        <f>J43</f>
        <v>259</v>
      </c>
      <c r="E44" s="119"/>
      <c r="F44" s="119"/>
      <c r="G44" s="120"/>
      <c r="H44" s="121"/>
      <c r="I44" s="121"/>
      <c r="J44" s="122"/>
      <c r="K44" s="119"/>
      <c r="L44" s="123"/>
    </row>
    <row r="45" spans="1:12" s="59" customFormat="1" ht="20.100000000000001" customHeight="1" x14ac:dyDescent="0.3">
      <c r="A45" s="69"/>
      <c r="B45" s="5"/>
      <c r="C45" s="5"/>
      <c r="D45" s="5"/>
      <c r="E45" s="5"/>
      <c r="F45" s="70"/>
      <c r="G45" s="5"/>
      <c r="H45" s="5"/>
      <c r="I45" s="5"/>
      <c r="J45" s="5"/>
      <c r="K45" s="5"/>
      <c r="L45" s="71"/>
    </row>
    <row r="46" spans="1:12" s="59" customFormat="1" ht="20.100000000000001" customHeight="1" x14ac:dyDescent="0.3">
      <c r="A46" s="69"/>
      <c r="B46" s="5"/>
      <c r="C46" s="5"/>
      <c r="D46" s="5"/>
      <c r="E46" s="5"/>
      <c r="F46" s="70"/>
      <c r="G46" s="5"/>
      <c r="H46" s="5"/>
      <c r="I46" s="5"/>
      <c r="J46" s="5"/>
      <c r="K46" s="5"/>
      <c r="L46" s="5"/>
    </row>
    <row r="47" spans="1:12" s="59" customFormat="1" ht="20.100000000000001" customHeight="1" x14ac:dyDescent="0.3">
      <c r="A47" s="69"/>
      <c r="B47" s="5"/>
      <c r="C47" s="5"/>
      <c r="D47" s="5"/>
      <c r="E47" s="5"/>
      <c r="F47" s="70"/>
      <c r="G47" s="5"/>
      <c r="H47" s="5"/>
      <c r="I47" s="5"/>
      <c r="J47" s="5"/>
      <c r="K47" s="5"/>
      <c r="L47" s="5"/>
    </row>
    <row r="48" spans="1:12" s="59" customFormat="1" ht="20.100000000000001" customHeight="1" x14ac:dyDescent="0.3">
      <c r="A48" s="69"/>
      <c r="B48" s="5"/>
      <c r="C48" s="5"/>
      <c r="D48" s="5"/>
      <c r="E48" s="5"/>
      <c r="F48" s="70"/>
      <c r="G48" s="5"/>
      <c r="H48" s="5"/>
      <c r="I48" s="5"/>
      <c r="J48" s="5"/>
      <c r="K48" s="5"/>
      <c r="L48" s="5"/>
    </row>
    <row r="49" spans="1:12" s="59" customFormat="1" ht="20.100000000000001" customHeight="1" x14ac:dyDescent="0.3">
      <c r="A49" s="113"/>
      <c r="B49" s="113"/>
      <c r="C49" s="5"/>
      <c r="D49" s="5"/>
      <c r="E49" s="5"/>
      <c r="F49" s="70"/>
      <c r="G49" s="5"/>
      <c r="H49" s="5"/>
      <c r="I49" s="5"/>
      <c r="J49" s="5"/>
      <c r="K49" s="5"/>
      <c r="L49" s="5"/>
    </row>
    <row r="50" spans="1:12" s="59" customFormat="1" ht="20.100000000000001" customHeight="1" x14ac:dyDescent="0.3">
      <c r="A50" s="113"/>
      <c r="B50" s="113"/>
      <c r="C50" s="5"/>
      <c r="D50" s="5"/>
      <c r="E50" s="72"/>
      <c r="F50" s="5"/>
      <c r="G50" s="5"/>
      <c r="H50" s="5"/>
      <c r="I50" s="5"/>
      <c r="J50" s="5"/>
      <c r="K50" s="5"/>
      <c r="L50" s="5"/>
    </row>
    <row r="51" spans="1:12" s="59" customFormat="1" ht="20.100000000000001" customHeight="1" x14ac:dyDescent="0.3">
      <c r="A51" s="113"/>
      <c r="B51" s="113"/>
      <c r="C51" s="5"/>
      <c r="D51" s="5"/>
      <c r="E51" s="5"/>
      <c r="F51" s="5"/>
      <c r="G51" s="73"/>
      <c r="H51" s="5"/>
      <c r="I51" s="74"/>
      <c r="J51" s="5"/>
      <c r="K51" s="5"/>
      <c r="L51" s="5"/>
    </row>
    <row r="52" spans="1:12" s="59" customFormat="1" ht="20.100000000000001" customHeight="1" x14ac:dyDescent="0.3">
      <c r="A52" s="113"/>
      <c r="B52" s="113"/>
      <c r="C52" s="5"/>
      <c r="D52" s="5"/>
      <c r="E52" s="5"/>
      <c r="F52" s="70"/>
      <c r="G52" s="5"/>
      <c r="H52" s="5"/>
      <c r="I52" s="5"/>
      <c r="J52" s="5"/>
      <c r="K52" s="5"/>
      <c r="L52" s="5"/>
    </row>
    <row r="53" spans="1:12" s="59" customFormat="1" ht="20.100000000000001" customHeight="1" x14ac:dyDescent="0.3">
      <c r="A53" s="69"/>
      <c r="B53" s="5"/>
      <c r="C53" s="5"/>
      <c r="D53" s="5"/>
      <c r="E53" s="5"/>
      <c r="F53" s="70"/>
      <c r="G53" s="5"/>
      <c r="H53" s="5"/>
      <c r="I53" s="5"/>
      <c r="J53" s="5"/>
      <c r="K53" s="5"/>
      <c r="L53" s="5"/>
    </row>
    <row r="54" spans="1:12" s="59" customFormat="1" ht="20.100000000000001" customHeight="1" x14ac:dyDescent="0.3">
      <c r="A54" s="113"/>
      <c r="B54" s="113"/>
      <c r="C54" s="5"/>
      <c r="D54" s="5"/>
      <c r="E54" s="5"/>
      <c r="F54" s="70"/>
      <c r="G54" s="5"/>
      <c r="H54" s="5"/>
      <c r="I54" s="5"/>
      <c r="J54" s="5"/>
      <c r="K54" s="5"/>
      <c r="L54" s="5"/>
    </row>
    <row r="55" spans="1:12" s="59" customFormat="1" ht="20.100000000000001" customHeight="1" x14ac:dyDescent="0.3">
      <c r="A55" s="113"/>
      <c r="B55" s="113"/>
      <c r="C55" s="5"/>
      <c r="D55" s="5"/>
      <c r="E55" s="5"/>
      <c r="F55" s="70"/>
      <c r="G55" s="5"/>
      <c r="H55" s="72"/>
      <c r="I55" s="72"/>
      <c r="J55" s="5"/>
      <c r="K55" s="5"/>
      <c r="L55" s="5"/>
    </row>
    <row r="56" spans="1:12" ht="20.100000000000001" customHeight="1" x14ac:dyDescent="0.3">
      <c r="A56" s="113"/>
      <c r="B56" s="113"/>
      <c r="H56" s="72"/>
      <c r="I56" s="72"/>
    </row>
    <row r="57" spans="1:12" ht="20.100000000000001" customHeight="1" x14ac:dyDescent="0.3">
      <c r="H57" s="72"/>
      <c r="I57" s="72"/>
    </row>
    <row r="58" spans="1:12" ht="20.100000000000001" customHeight="1" x14ac:dyDescent="0.3">
      <c r="H58" s="72"/>
      <c r="I58" s="72"/>
    </row>
    <row r="59" spans="1:12" ht="20.100000000000001" customHeight="1" x14ac:dyDescent="0.3">
      <c r="A59" s="113"/>
      <c r="B59" s="113"/>
      <c r="H59" s="72"/>
      <c r="I59" s="72"/>
    </row>
    <row r="60" spans="1:12" ht="20.100000000000001" customHeight="1" x14ac:dyDescent="0.3">
      <c r="A60" s="113"/>
      <c r="B60" s="113"/>
      <c r="H60" s="72"/>
      <c r="I60" s="72"/>
    </row>
    <row r="61" spans="1:12" ht="20.100000000000001" customHeight="1" x14ac:dyDescent="0.3">
      <c r="H61" s="72"/>
      <c r="I61" s="72"/>
    </row>
    <row r="62" spans="1:12" ht="20.100000000000001" customHeight="1" x14ac:dyDescent="0.3">
      <c r="H62" s="72"/>
      <c r="I62" s="72"/>
    </row>
    <row r="63" spans="1:12" ht="20.100000000000001" customHeight="1" x14ac:dyDescent="0.3">
      <c r="H63" s="72"/>
      <c r="I63" s="72"/>
    </row>
    <row r="64" spans="1:12" s="72" customFormat="1" ht="20.100000000000001" customHeight="1" x14ac:dyDescent="0.3">
      <c r="A64" s="69"/>
      <c r="B64" s="5"/>
      <c r="C64" s="5"/>
      <c r="D64" s="5"/>
      <c r="E64" s="5"/>
      <c r="F64" s="70"/>
      <c r="G64" s="5"/>
      <c r="J64" s="5"/>
      <c r="K64" s="5"/>
      <c r="L64" s="5"/>
    </row>
    <row r="65" spans="1:12" s="72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75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75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75" customFormat="1" ht="19.5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72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72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ht="19.5" customHeight="1" x14ac:dyDescent="0.3"/>
    <row r="72" spans="1:12" ht="19.5" customHeight="1" x14ac:dyDescent="0.3"/>
    <row r="73" spans="1:12" ht="19.5" customHeight="1" x14ac:dyDescent="0.3"/>
    <row r="74" spans="1:12" s="69" customFormat="1" ht="19.5" customHeight="1" x14ac:dyDescent="0.3"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69" customFormat="1" ht="19.5" customHeight="1" x14ac:dyDescent="0.3"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69" customFormat="1" ht="19.5" customHeight="1" x14ac:dyDescent="0.3"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69" customFormat="1" ht="19.5" customHeight="1" x14ac:dyDescent="0.3"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69" customFormat="1" ht="19.5" customHeight="1" x14ac:dyDescent="0.3"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69" customFormat="1" ht="19.5" customHeight="1" x14ac:dyDescent="0.3"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69" customFormat="1" ht="19.5" customHeight="1" x14ac:dyDescent="0.3"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2:12" s="69" customFormat="1" ht="19.5" customHeight="1" x14ac:dyDescent="0.3"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2:12" s="69" customFormat="1" ht="19.5" customHeight="1" x14ac:dyDescent="0.3"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2:12" s="69" customFormat="1" ht="19.5" customHeight="1" x14ac:dyDescent="0.3"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2:12" s="69" customFormat="1" ht="19.5" customHeight="1" x14ac:dyDescent="0.3"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2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2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2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2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2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2:12" ht="19.5" customHeight="1" x14ac:dyDescent="0.3"/>
    <row r="91" spans="2:12" ht="19.5" customHeight="1" x14ac:dyDescent="0.3"/>
    <row r="92" spans="2:12" ht="19.5" customHeight="1" x14ac:dyDescent="0.3"/>
    <row r="93" spans="2:12" ht="19.5" customHeight="1" x14ac:dyDescent="0.3"/>
    <row r="94" spans="2:12" ht="19.5" customHeight="1" x14ac:dyDescent="0.3"/>
    <row r="95" spans="2:12" ht="19.5" customHeight="1" x14ac:dyDescent="0.3"/>
    <row r="96" spans="2:12" ht="19.5" customHeight="1" x14ac:dyDescent="0.3"/>
    <row r="97" spans="2:12" ht="19.5" customHeight="1" x14ac:dyDescent="0.3"/>
    <row r="98" spans="2:12" ht="19.5" customHeight="1" x14ac:dyDescent="0.3"/>
    <row r="99" spans="2:12" ht="19.5" customHeight="1" x14ac:dyDescent="0.3"/>
    <row r="100" spans="2:12" ht="19.5" customHeight="1" x14ac:dyDescent="0.3"/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>
        <v>2</v>
      </c>
      <c r="C134" s="5"/>
      <c r="D134" s="5"/>
      <c r="E134" s="5"/>
      <c r="F134" s="70"/>
      <c r="G134" s="5"/>
      <c r="H134" s="5"/>
      <c r="I134" s="5"/>
      <c r="J134" s="5"/>
      <c r="K134" s="5"/>
      <c r="L134" s="5"/>
    </row>
  </sheetData>
  <mergeCells count="30">
    <mergeCell ref="A59:B59"/>
    <mergeCell ref="A60:B60"/>
    <mergeCell ref="A50:B50"/>
    <mergeCell ref="A51:B51"/>
    <mergeCell ref="A52:B52"/>
    <mergeCell ref="A54:B54"/>
    <mergeCell ref="A55:B55"/>
    <mergeCell ref="A56:B56"/>
    <mergeCell ref="A49:B4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43:I43"/>
    <mergeCell ref="A44:B44"/>
    <mergeCell ref="D44:G44"/>
    <mergeCell ref="H44:J44"/>
    <mergeCell ref="K44:L44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L150"/>
  <sheetViews>
    <sheetView view="pageBreakPreview" topLeftCell="E49" zoomScale="85" zoomScaleSheetLayoutView="85" workbookViewId="0">
      <selection activeCell="L57" sqref="L57:L5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46164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8" si="0">(H7/1000*I7/1000)*J7</f>
        <v>0</v>
      </c>
      <c r="L7" s="26">
        <f>SUM(J7:J31)</f>
        <v>197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SUM(K7:K31)</f>
        <v>1274.894425</v>
      </c>
    </row>
    <row r="9" spans="1:12" s="27" customFormat="1" ht="19.5" customHeight="1" x14ac:dyDescent="0.3">
      <c r="A9" s="28" t="s">
        <v>4002</v>
      </c>
      <c r="B9" s="16" t="s">
        <v>2662</v>
      </c>
      <c r="C9" s="17">
        <v>22</v>
      </c>
      <c r="D9" s="18" t="s">
        <v>146</v>
      </c>
      <c r="E9" s="41">
        <v>12</v>
      </c>
      <c r="F9" s="42">
        <v>28.32</v>
      </c>
      <c r="G9" s="34" t="s">
        <v>4038</v>
      </c>
      <c r="H9" s="35">
        <v>1981</v>
      </c>
      <c r="I9" s="36">
        <v>3353</v>
      </c>
      <c r="J9" s="37">
        <v>15</v>
      </c>
      <c r="K9" s="25">
        <f t="shared" si="0"/>
        <v>99.634395000000012</v>
      </c>
      <c r="L9" s="39" t="s">
        <v>4039</v>
      </c>
    </row>
    <row r="10" spans="1:12" s="27" customFormat="1" ht="19.5" customHeight="1" x14ac:dyDescent="0.3">
      <c r="A10" s="28"/>
      <c r="B10" s="16"/>
      <c r="C10" s="17">
        <v>22</v>
      </c>
      <c r="D10" s="18" t="s">
        <v>665</v>
      </c>
      <c r="E10" s="41">
        <v>6</v>
      </c>
      <c r="F10" s="42">
        <v>19.38</v>
      </c>
      <c r="G10" s="34" t="s">
        <v>4040</v>
      </c>
      <c r="H10" s="35">
        <v>1981</v>
      </c>
      <c r="I10" s="36">
        <v>3353</v>
      </c>
      <c r="J10" s="37">
        <v>21</v>
      </c>
      <c r="K10" s="25">
        <f t="shared" si="0"/>
        <v>139.48815300000001</v>
      </c>
      <c r="L10" s="39" t="s">
        <v>4036</v>
      </c>
    </row>
    <row r="11" spans="1:12" s="27" customFormat="1" ht="19.5" customHeight="1" x14ac:dyDescent="0.3">
      <c r="A11" s="28"/>
      <c r="B11" s="16"/>
      <c r="C11" s="17">
        <v>22</v>
      </c>
      <c r="D11" s="18" t="s">
        <v>45</v>
      </c>
      <c r="E11" s="41">
        <v>144</v>
      </c>
      <c r="F11" s="42">
        <v>88.14</v>
      </c>
      <c r="G11" s="34" t="s">
        <v>3950</v>
      </c>
      <c r="H11" s="35">
        <v>1981</v>
      </c>
      <c r="I11" s="36">
        <v>3353</v>
      </c>
      <c r="J11" s="37">
        <v>41</v>
      </c>
      <c r="K11" s="25">
        <f t="shared" si="0"/>
        <v>272.33401300000003</v>
      </c>
      <c r="L11" s="39"/>
    </row>
    <row r="12" spans="1:12" s="27" customFormat="1" ht="19.5" customHeight="1" x14ac:dyDescent="0.3">
      <c r="A12" s="28"/>
      <c r="B12" s="16"/>
      <c r="C12" s="17">
        <v>22</v>
      </c>
      <c r="D12" s="18" t="s">
        <v>4037</v>
      </c>
      <c r="E12" s="41">
        <v>162</v>
      </c>
      <c r="F12" s="42">
        <v>135.84</v>
      </c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/>
      <c r="B13" s="16"/>
      <c r="C13" s="17">
        <v>22</v>
      </c>
      <c r="D13" s="18" t="s">
        <v>45</v>
      </c>
      <c r="E13" s="41">
        <v>36</v>
      </c>
      <c r="F13" s="42">
        <v>10.08</v>
      </c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0"/>
        <v>0</v>
      </c>
      <c r="L14" s="39"/>
    </row>
    <row r="15" spans="1:12" s="27" customFormat="1" ht="27" x14ac:dyDescent="0.3">
      <c r="A15" s="28" t="s">
        <v>3853</v>
      </c>
      <c r="B15" s="16" t="s">
        <v>2662</v>
      </c>
      <c r="C15" s="17">
        <v>22</v>
      </c>
      <c r="D15" s="18" t="s">
        <v>146</v>
      </c>
      <c r="E15" s="41">
        <v>12</v>
      </c>
      <c r="F15" s="42">
        <v>28.32</v>
      </c>
      <c r="G15" s="34" t="s">
        <v>4041</v>
      </c>
      <c r="H15" s="35">
        <v>1981</v>
      </c>
      <c r="I15" s="36">
        <v>3353</v>
      </c>
      <c r="J15" s="37">
        <v>23</v>
      </c>
      <c r="K15" s="25">
        <f t="shared" si="0"/>
        <v>152.772739</v>
      </c>
      <c r="L15" s="39" t="s">
        <v>4043</v>
      </c>
    </row>
    <row r="16" spans="1:12" s="27" customFormat="1" ht="27" x14ac:dyDescent="0.3">
      <c r="A16" s="28" t="s">
        <v>3854</v>
      </c>
      <c r="B16" s="16" t="s">
        <v>2662</v>
      </c>
      <c r="C16" s="17">
        <v>22</v>
      </c>
      <c r="D16" s="18" t="s">
        <v>146</v>
      </c>
      <c r="E16" s="41">
        <v>12</v>
      </c>
      <c r="F16" s="42">
        <v>28.32</v>
      </c>
      <c r="G16" s="34"/>
      <c r="H16" s="35"/>
      <c r="I16" s="36"/>
      <c r="J16" s="37"/>
      <c r="K16" s="25">
        <f t="shared" si="0"/>
        <v>0</v>
      </c>
      <c r="L16" s="39" t="s">
        <v>4043</v>
      </c>
    </row>
    <row r="17" spans="1:12" s="27" customFormat="1" ht="27" x14ac:dyDescent="0.3">
      <c r="A17" s="28" t="s">
        <v>3855</v>
      </c>
      <c r="B17" s="16" t="s">
        <v>2662</v>
      </c>
      <c r="C17" s="17">
        <v>22</v>
      </c>
      <c r="D17" s="18" t="s">
        <v>146</v>
      </c>
      <c r="E17" s="41">
        <v>12</v>
      </c>
      <c r="F17" s="42">
        <v>28.32</v>
      </c>
      <c r="G17" s="34"/>
      <c r="H17" s="35"/>
      <c r="I17" s="36"/>
      <c r="J17" s="37"/>
      <c r="K17" s="25">
        <f t="shared" si="0"/>
        <v>0</v>
      </c>
      <c r="L17" s="39" t="s">
        <v>4043</v>
      </c>
    </row>
    <row r="18" spans="1:12" s="27" customFormat="1" ht="19.5" customHeight="1" x14ac:dyDescent="0.3">
      <c r="A18" s="28" t="s">
        <v>4035</v>
      </c>
      <c r="B18" s="16" t="s">
        <v>2662</v>
      </c>
      <c r="C18" s="17">
        <v>22</v>
      </c>
      <c r="D18" s="18" t="s">
        <v>146</v>
      </c>
      <c r="E18" s="41">
        <v>12</v>
      </c>
      <c r="F18" s="42">
        <v>28.32</v>
      </c>
      <c r="G18" s="34"/>
      <c r="H18" s="35"/>
      <c r="I18" s="36"/>
      <c r="J18" s="37"/>
      <c r="K18" s="25">
        <f t="shared" si="0"/>
        <v>0</v>
      </c>
      <c r="L18" s="39" t="s">
        <v>4044</v>
      </c>
    </row>
    <row r="19" spans="1:12" s="27" customFormat="1" ht="19.5" customHeight="1" x14ac:dyDescent="0.3">
      <c r="A19" s="28" t="s">
        <v>4042</v>
      </c>
      <c r="B19" s="16" t="s">
        <v>2662</v>
      </c>
      <c r="C19" s="17">
        <v>22</v>
      </c>
      <c r="D19" s="18" t="s">
        <v>146</v>
      </c>
      <c r="E19" s="41">
        <v>12</v>
      </c>
      <c r="F19" s="42">
        <v>28.32</v>
      </c>
      <c r="G19" s="34"/>
      <c r="H19" s="35"/>
      <c r="I19" s="36"/>
      <c r="J19" s="37"/>
      <c r="K19" s="25">
        <f t="shared" si="0"/>
        <v>0</v>
      </c>
      <c r="L19" s="39" t="s">
        <v>4044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 t="s">
        <v>4045</v>
      </c>
      <c r="B21" s="16" t="s">
        <v>4046</v>
      </c>
      <c r="C21" s="17">
        <v>22</v>
      </c>
      <c r="D21" s="18" t="s">
        <v>4047</v>
      </c>
      <c r="E21" s="41">
        <v>204</v>
      </c>
      <c r="F21" s="42">
        <v>167.2</v>
      </c>
      <c r="G21" s="34" t="s">
        <v>4040</v>
      </c>
      <c r="H21" s="35">
        <v>1829</v>
      </c>
      <c r="I21" s="36">
        <v>3353</v>
      </c>
      <c r="J21" s="37">
        <v>29</v>
      </c>
      <c r="K21" s="25">
        <f t="shared" si="0"/>
        <v>177.846473</v>
      </c>
      <c r="L21" s="39" t="s">
        <v>4048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 t="s">
        <v>4049</v>
      </c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0"/>
        <v>0</v>
      </c>
      <c r="L23" s="39"/>
    </row>
    <row r="24" spans="1:12" s="27" customFormat="1" ht="19.5" customHeight="1" x14ac:dyDescent="0.3">
      <c r="A24" s="28" t="s">
        <v>4068</v>
      </c>
      <c r="B24" s="16" t="s">
        <v>2662</v>
      </c>
      <c r="C24" s="17">
        <v>22</v>
      </c>
      <c r="D24" s="18" t="s">
        <v>4071</v>
      </c>
      <c r="E24" s="41">
        <v>6</v>
      </c>
      <c r="F24" s="42">
        <v>19.38</v>
      </c>
      <c r="G24" s="34" t="s">
        <v>4070</v>
      </c>
      <c r="H24" s="35">
        <v>1981</v>
      </c>
      <c r="I24" s="36">
        <v>3353</v>
      </c>
      <c r="J24" s="37">
        <v>14</v>
      </c>
      <c r="K24" s="25">
        <f t="shared" si="0"/>
        <v>92.992102000000003</v>
      </c>
      <c r="L24" s="39" t="s">
        <v>4072</v>
      </c>
    </row>
    <row r="25" spans="1:12" s="27" customFormat="1" ht="19.5" customHeight="1" x14ac:dyDescent="0.3">
      <c r="A25" s="28"/>
      <c r="B25" s="16"/>
      <c r="C25" s="17">
        <v>22</v>
      </c>
      <c r="D25" s="18" t="s">
        <v>4069</v>
      </c>
      <c r="E25" s="41">
        <v>144</v>
      </c>
      <c r="F25" s="42">
        <v>88.14</v>
      </c>
      <c r="G25" s="34" t="s">
        <v>3950</v>
      </c>
      <c r="H25" s="35">
        <v>1981</v>
      </c>
      <c r="I25" s="36">
        <v>3353</v>
      </c>
      <c r="J25" s="37">
        <v>17</v>
      </c>
      <c r="K25" s="25">
        <f t="shared" si="0"/>
        <v>112.918981</v>
      </c>
      <c r="L25" s="39"/>
    </row>
    <row r="26" spans="1:12" s="27" customFormat="1" ht="19.5" customHeight="1" x14ac:dyDescent="0.3">
      <c r="A26" s="28"/>
      <c r="B26" s="16"/>
      <c r="C26" s="17">
        <v>22</v>
      </c>
      <c r="D26" s="18" t="s">
        <v>4069</v>
      </c>
      <c r="E26" s="41">
        <v>36</v>
      </c>
      <c r="F26" s="42">
        <v>10.08</v>
      </c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 t="s">
        <v>4136</v>
      </c>
      <c r="B28" s="16" t="s">
        <v>306</v>
      </c>
      <c r="C28" s="17">
        <v>22</v>
      </c>
      <c r="D28" s="18" t="s">
        <v>4152</v>
      </c>
      <c r="E28" s="41">
        <v>275</v>
      </c>
      <c r="F28" s="42">
        <v>215.8</v>
      </c>
      <c r="G28" s="34" t="s">
        <v>4153</v>
      </c>
      <c r="H28" s="35">
        <v>1829</v>
      </c>
      <c r="I28" s="36">
        <v>3353</v>
      </c>
      <c r="J28" s="37">
        <v>37</v>
      </c>
      <c r="K28" s="25">
        <f t="shared" si="0"/>
        <v>226.907569</v>
      </c>
      <c r="L28" s="39" t="s">
        <v>1472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/>
      <c r="B31" s="29"/>
      <c r="C31" s="30"/>
      <c r="D31" s="31"/>
      <c r="E31" s="41"/>
      <c r="F31" s="42"/>
      <c r="G31" s="43"/>
      <c r="H31" s="35"/>
      <c r="I31" s="36"/>
      <c r="J31" s="37"/>
      <c r="K31" s="38">
        <f t="shared" si="0"/>
        <v>0</v>
      </c>
      <c r="L31" s="39"/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4050</v>
      </c>
      <c r="B33" s="45" t="s">
        <v>4051</v>
      </c>
      <c r="C33" s="46">
        <v>28</v>
      </c>
      <c r="D33" s="47" t="s">
        <v>3001</v>
      </c>
      <c r="E33" s="48">
        <v>78</v>
      </c>
      <c r="F33" s="49">
        <v>83.84</v>
      </c>
      <c r="G33" s="50" t="s">
        <v>4052</v>
      </c>
      <c r="H33" s="51">
        <v>2438</v>
      </c>
      <c r="I33" s="45">
        <v>3048</v>
      </c>
      <c r="J33" s="52">
        <v>38</v>
      </c>
      <c r="K33" s="53">
        <f t="shared" si="0"/>
        <v>282.37891200000001</v>
      </c>
      <c r="L33" s="54" t="s">
        <v>4036</v>
      </c>
    </row>
    <row r="34" spans="1:12" s="55" customFormat="1" ht="19.5" customHeight="1" x14ac:dyDescent="0.3">
      <c r="A34" s="44"/>
      <c r="B34" s="45"/>
      <c r="C34" s="46">
        <v>28</v>
      </c>
      <c r="D34" s="47" t="s">
        <v>3007</v>
      </c>
      <c r="E34" s="48">
        <v>72</v>
      </c>
      <c r="F34" s="49">
        <v>74.59</v>
      </c>
      <c r="G34" s="50"/>
      <c r="H34" s="51"/>
      <c r="I34" s="45"/>
      <c r="J34" s="52"/>
      <c r="K34" s="53">
        <f t="shared" si="0"/>
        <v>0</v>
      </c>
      <c r="L34" s="54" t="s">
        <v>4036</v>
      </c>
    </row>
    <row r="35" spans="1:12" s="55" customFormat="1" ht="19.5" customHeight="1" x14ac:dyDescent="0.3">
      <c r="A35" s="44"/>
      <c r="B35" s="45"/>
      <c r="C35" s="46">
        <v>28</v>
      </c>
      <c r="D35" s="47" t="s">
        <v>3001</v>
      </c>
      <c r="E35" s="48">
        <v>39</v>
      </c>
      <c r="F35" s="49">
        <v>90.33</v>
      </c>
      <c r="G35" s="50"/>
      <c r="H35" s="51"/>
      <c r="I35" s="45"/>
      <c r="J35" s="52"/>
      <c r="K35" s="53">
        <f t="shared" si="0"/>
        <v>0</v>
      </c>
      <c r="L35" s="54" t="s">
        <v>4036</v>
      </c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4053</v>
      </c>
      <c r="B37" s="45" t="s">
        <v>4054</v>
      </c>
      <c r="C37" s="46">
        <v>24</v>
      </c>
      <c r="D37" s="47" t="s">
        <v>4055</v>
      </c>
      <c r="E37" s="48">
        <v>33</v>
      </c>
      <c r="F37" s="49">
        <v>44.21</v>
      </c>
      <c r="G37" s="50" t="s">
        <v>4056</v>
      </c>
      <c r="H37" s="51">
        <v>2438</v>
      </c>
      <c r="I37" s="45">
        <v>3353</v>
      </c>
      <c r="J37" s="52">
        <v>6</v>
      </c>
      <c r="K37" s="53">
        <f t="shared" si="0"/>
        <v>49.047684000000004</v>
      </c>
      <c r="L37" s="54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 t="s">
        <v>4040</v>
      </c>
      <c r="H38" s="51">
        <v>2438</v>
      </c>
      <c r="I38" s="45">
        <v>3353</v>
      </c>
      <c r="J38" s="52">
        <v>7</v>
      </c>
      <c r="K38" s="53">
        <f t="shared" si="0"/>
        <v>57.222298000000002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4057</v>
      </c>
      <c r="B40" s="45" t="s">
        <v>4054</v>
      </c>
      <c r="C40" s="46">
        <v>24</v>
      </c>
      <c r="D40" s="47" t="s">
        <v>4055</v>
      </c>
      <c r="E40" s="48">
        <v>18</v>
      </c>
      <c r="F40" s="49">
        <v>27.85</v>
      </c>
      <c r="G40" s="50" t="s">
        <v>39</v>
      </c>
      <c r="H40" s="51">
        <v>2438</v>
      </c>
      <c r="I40" s="45">
        <v>3353</v>
      </c>
      <c r="J40" s="52">
        <v>7</v>
      </c>
      <c r="K40" s="53">
        <f t="shared" si="0"/>
        <v>57.222298000000002</v>
      </c>
      <c r="L40" s="54" t="s">
        <v>4060</v>
      </c>
    </row>
    <row r="41" spans="1:12" s="55" customFormat="1" ht="19.5" customHeight="1" x14ac:dyDescent="0.3">
      <c r="A41" s="44" t="s">
        <v>4058</v>
      </c>
      <c r="B41" s="45" t="s">
        <v>4054</v>
      </c>
      <c r="C41" s="46">
        <v>24</v>
      </c>
      <c r="D41" s="47" t="s">
        <v>4055</v>
      </c>
      <c r="E41" s="48">
        <v>13</v>
      </c>
      <c r="F41" s="49">
        <v>10.67</v>
      </c>
      <c r="G41" s="50" t="s">
        <v>4040</v>
      </c>
      <c r="H41" s="51">
        <v>2438</v>
      </c>
      <c r="I41" s="45">
        <v>3353</v>
      </c>
      <c r="J41" s="52">
        <v>8</v>
      </c>
      <c r="K41" s="53">
        <f t="shared" si="0"/>
        <v>65.396912</v>
      </c>
      <c r="L41" s="54" t="s">
        <v>4060</v>
      </c>
    </row>
    <row r="42" spans="1:12" s="55" customFormat="1" ht="19.5" customHeight="1" x14ac:dyDescent="0.3">
      <c r="A42" s="44" t="s">
        <v>4059</v>
      </c>
      <c r="B42" s="45" t="s">
        <v>4054</v>
      </c>
      <c r="C42" s="46">
        <v>24</v>
      </c>
      <c r="D42" s="47" t="s">
        <v>4055</v>
      </c>
      <c r="E42" s="48">
        <v>16</v>
      </c>
      <c r="F42" s="49">
        <v>14.97</v>
      </c>
      <c r="G42" s="50"/>
      <c r="H42" s="51"/>
      <c r="I42" s="45"/>
      <c r="J42" s="52"/>
      <c r="K42" s="53">
        <f t="shared" si="0"/>
        <v>0</v>
      </c>
      <c r="L42" s="54" t="s">
        <v>4060</v>
      </c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4061</v>
      </c>
      <c r="B44" s="45" t="s">
        <v>4062</v>
      </c>
      <c r="C44" s="46">
        <v>43</v>
      </c>
      <c r="D44" s="47" t="s">
        <v>4063</v>
      </c>
      <c r="E44" s="48">
        <v>19</v>
      </c>
      <c r="F44" s="49">
        <v>24.98</v>
      </c>
      <c r="G44" s="50" t="s">
        <v>4064</v>
      </c>
      <c r="H44" s="51">
        <v>2438</v>
      </c>
      <c r="I44" s="45">
        <v>3353</v>
      </c>
      <c r="J44" s="52">
        <v>4</v>
      </c>
      <c r="K44" s="53">
        <f t="shared" si="0"/>
        <v>32.698456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4064</v>
      </c>
      <c r="H45" s="51">
        <v>2134</v>
      </c>
      <c r="I45" s="45">
        <v>3048</v>
      </c>
      <c r="J45" s="52">
        <v>4</v>
      </c>
      <c r="K45" s="53">
        <f t="shared" si="0"/>
        <v>26.017727999999998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 t="s">
        <v>4040</v>
      </c>
      <c r="H46" s="51">
        <v>2438</v>
      </c>
      <c r="I46" s="45">
        <v>3353</v>
      </c>
      <c r="J46" s="52">
        <v>2</v>
      </c>
      <c r="K46" s="53">
        <f t="shared" si="0"/>
        <v>16.349228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 t="s">
        <v>4040</v>
      </c>
      <c r="H47" s="51">
        <v>2134</v>
      </c>
      <c r="I47" s="45">
        <v>3048</v>
      </c>
      <c r="J47" s="52">
        <v>2</v>
      </c>
      <c r="K47" s="53">
        <f t="shared" si="0"/>
        <v>13.008863999999999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4065</v>
      </c>
      <c r="B49" s="45" t="s">
        <v>4051</v>
      </c>
      <c r="C49" s="46">
        <v>28</v>
      </c>
      <c r="D49" s="47" t="s">
        <v>4066</v>
      </c>
      <c r="E49" s="48">
        <v>72</v>
      </c>
      <c r="F49" s="49">
        <v>78.709999999999994</v>
      </c>
      <c r="G49" s="50" t="s">
        <v>4067</v>
      </c>
      <c r="H49" s="51">
        <v>2438</v>
      </c>
      <c r="I49" s="45">
        <v>3048</v>
      </c>
      <c r="J49" s="52">
        <v>12</v>
      </c>
      <c r="K49" s="53">
        <f t="shared" si="0"/>
        <v>89.172288000000009</v>
      </c>
      <c r="L49" s="54" t="s">
        <v>4036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4049</v>
      </c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4073</v>
      </c>
      <c r="B52" s="45" t="s">
        <v>3872</v>
      </c>
      <c r="C52" s="46">
        <v>24</v>
      </c>
      <c r="D52" s="47" t="s">
        <v>2186</v>
      </c>
      <c r="E52" s="48">
        <v>80</v>
      </c>
      <c r="F52" s="49">
        <v>158.56</v>
      </c>
      <c r="G52" s="50" t="s">
        <v>4076</v>
      </c>
      <c r="H52" s="51">
        <v>2134</v>
      </c>
      <c r="I52" s="45">
        <v>3048</v>
      </c>
      <c r="J52" s="52">
        <v>66</v>
      </c>
      <c r="K52" s="53">
        <f t="shared" si="0"/>
        <v>429.29251199999999</v>
      </c>
      <c r="L52" s="54" t="s">
        <v>100</v>
      </c>
    </row>
    <row r="53" spans="1:12" s="55" customFormat="1" ht="19.5" customHeight="1" x14ac:dyDescent="0.3">
      <c r="A53" s="44" t="s">
        <v>4074</v>
      </c>
      <c r="B53" s="45" t="s">
        <v>3872</v>
      </c>
      <c r="C53" s="46">
        <v>24</v>
      </c>
      <c r="D53" s="47" t="s">
        <v>2186</v>
      </c>
      <c r="E53" s="48">
        <v>76</v>
      </c>
      <c r="F53" s="49">
        <v>75.239999999999995</v>
      </c>
      <c r="G53" s="50"/>
      <c r="H53" s="51"/>
      <c r="I53" s="45"/>
      <c r="J53" s="52"/>
      <c r="K53" s="53">
        <f t="shared" si="0"/>
        <v>0</v>
      </c>
      <c r="L53" s="54" t="s">
        <v>100</v>
      </c>
    </row>
    <row r="54" spans="1:12" s="55" customFormat="1" ht="19.5" customHeight="1" x14ac:dyDescent="0.3">
      <c r="A54" s="44" t="s">
        <v>4075</v>
      </c>
      <c r="B54" s="45" t="s">
        <v>3872</v>
      </c>
      <c r="C54" s="46">
        <v>24</v>
      </c>
      <c r="D54" s="47" t="s">
        <v>2186</v>
      </c>
      <c r="E54" s="48">
        <v>78</v>
      </c>
      <c r="F54" s="49">
        <v>154.6</v>
      </c>
      <c r="G54" s="50"/>
      <c r="H54" s="51"/>
      <c r="I54" s="45"/>
      <c r="J54" s="52"/>
      <c r="K54" s="53">
        <f t="shared" si="0"/>
        <v>0</v>
      </c>
      <c r="L54" s="54" t="s">
        <v>100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9" customFormat="1" ht="20.100000000000001" customHeight="1" x14ac:dyDescent="0.3">
      <c r="A57" s="44"/>
      <c r="B57" s="45"/>
      <c r="C57" s="46"/>
      <c r="D57" s="47"/>
      <c r="E57" s="56"/>
      <c r="F57" s="57"/>
      <c r="G57" s="50"/>
      <c r="H57" s="51"/>
      <c r="I57" s="45"/>
      <c r="J57" s="52"/>
      <c r="K57" s="53">
        <f t="shared" si="0"/>
        <v>0</v>
      </c>
      <c r="L57" s="58">
        <f>SUM(J32:J58)</f>
        <v>156</v>
      </c>
    </row>
    <row r="58" spans="1:12" s="59" customFormat="1" ht="20.100000000000001" customHeight="1" x14ac:dyDescent="0.3">
      <c r="A58" s="44"/>
      <c r="B58" s="45"/>
      <c r="C58" s="46"/>
      <c r="D58" s="47"/>
      <c r="E58" s="60"/>
      <c r="F58" s="61"/>
      <c r="G58" s="62"/>
      <c r="H58" s="51"/>
      <c r="I58" s="45"/>
      <c r="J58" s="63"/>
      <c r="K58" s="53">
        <f t="shared" si="0"/>
        <v>0</v>
      </c>
      <c r="L58" s="64">
        <f>SUM(K32:K58)</f>
        <v>1117.8071800000002</v>
      </c>
    </row>
    <row r="59" spans="1:12" s="59" customFormat="1" ht="20.100000000000001" customHeight="1" thickBot="1" x14ac:dyDescent="0.35">
      <c r="A59" s="114"/>
      <c r="B59" s="115"/>
      <c r="C59" s="115"/>
      <c r="D59" s="115"/>
      <c r="E59" s="115"/>
      <c r="F59" s="115"/>
      <c r="G59" s="115"/>
      <c r="H59" s="115"/>
      <c r="I59" s="115"/>
      <c r="J59" s="65">
        <f>SUM(J7:J58)</f>
        <v>353</v>
      </c>
      <c r="K59" s="66">
        <f>SUM(K7:K58)</f>
        <v>2392.7016050000002</v>
      </c>
      <c r="L59" s="67"/>
    </row>
    <row r="60" spans="1:12" s="59" customFormat="1" ht="20.100000000000001" customHeight="1" thickTop="1" thickBot="1" x14ac:dyDescent="0.35">
      <c r="A60" s="116" t="s">
        <v>52</v>
      </c>
      <c r="B60" s="117"/>
      <c r="C60" s="68"/>
      <c r="D60" s="118">
        <f>J59</f>
        <v>353</v>
      </c>
      <c r="E60" s="119"/>
      <c r="F60" s="119"/>
      <c r="G60" s="120"/>
      <c r="H60" s="121"/>
      <c r="I60" s="121"/>
      <c r="J60" s="122"/>
      <c r="K60" s="119"/>
      <c r="L60" s="123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71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72"/>
      <c r="F66" s="5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5"/>
      <c r="G67" s="73"/>
      <c r="H67" s="5"/>
      <c r="I67" s="74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72"/>
      <c r="I71" s="72"/>
      <c r="J71" s="5"/>
      <c r="K71" s="5"/>
      <c r="L71" s="5"/>
    </row>
    <row r="72" spans="1:12" ht="20.100000000000001" customHeight="1" x14ac:dyDescent="0.3">
      <c r="A72" s="113"/>
      <c r="B72" s="113"/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A75" s="113"/>
      <c r="B75" s="113"/>
      <c r="H75" s="72"/>
      <c r="I75" s="72"/>
    </row>
    <row r="76" spans="1:12" ht="20.100000000000001" customHeight="1" x14ac:dyDescent="0.3">
      <c r="A76" s="113"/>
      <c r="B76" s="113"/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H79" s="72"/>
      <c r="I79" s="72"/>
    </row>
    <row r="80" spans="1:12" s="72" customFormat="1" ht="20.100000000000001" customHeight="1" x14ac:dyDescent="0.3">
      <c r="A80" s="69"/>
      <c r="B80" s="5"/>
      <c r="C80" s="5"/>
      <c r="D80" s="5"/>
      <c r="E80" s="5"/>
      <c r="F80" s="70"/>
      <c r="G80" s="5"/>
      <c r="J80" s="5"/>
      <c r="K80" s="5"/>
      <c r="L80" s="5"/>
    </row>
    <row r="81" spans="1:12" s="72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5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5" customFormat="1" ht="19.5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ht="19.5" customHeight="1" x14ac:dyDescent="0.3"/>
    <row r="88" spans="1:12" ht="19.5" customHeight="1" x14ac:dyDescent="0.3"/>
    <row r="89" spans="1:12" ht="19.5" customHeight="1" x14ac:dyDescent="0.3"/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>
        <v>2</v>
      </c>
      <c r="C150" s="5"/>
      <c r="D150" s="5"/>
      <c r="E150" s="5"/>
      <c r="F150" s="70"/>
      <c r="G150" s="5"/>
      <c r="H150" s="5"/>
      <c r="I150" s="5"/>
      <c r="J150" s="5"/>
      <c r="K150" s="5"/>
      <c r="L150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5:B6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9:I59"/>
    <mergeCell ref="A60:B60"/>
    <mergeCell ref="D60:G60"/>
    <mergeCell ref="H60:J60"/>
    <mergeCell ref="K60:L60"/>
    <mergeCell ref="A75:B75"/>
    <mergeCell ref="A76:B76"/>
    <mergeCell ref="A66:B66"/>
    <mergeCell ref="A67:B67"/>
    <mergeCell ref="A68:B68"/>
    <mergeCell ref="A70:B70"/>
    <mergeCell ref="A71:B71"/>
    <mergeCell ref="A72:B72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L170"/>
  <sheetViews>
    <sheetView view="pageBreakPreview" topLeftCell="F58" zoomScale="85" zoomScaleSheetLayoutView="85" workbookViewId="0">
      <selection activeCell="L77" sqref="L77:L7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46163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8" si="0">(H7/1000*I7/1000)*J7</f>
        <v>0</v>
      </c>
      <c r="L7" s="26">
        <f>SUM(J7:J46)</f>
        <v>138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SUM(K7:K46)</f>
        <v>905.92570599999999</v>
      </c>
    </row>
    <row r="9" spans="1:12" s="27" customFormat="1" ht="19.5" customHeight="1" x14ac:dyDescent="0.3">
      <c r="A9" s="28" t="s">
        <v>3960</v>
      </c>
      <c r="B9" s="16" t="s">
        <v>3961</v>
      </c>
      <c r="C9" s="17">
        <v>5</v>
      </c>
      <c r="D9" s="18" t="s">
        <v>3962</v>
      </c>
      <c r="E9" s="41">
        <v>42</v>
      </c>
      <c r="F9" s="42">
        <v>18.64</v>
      </c>
      <c r="G9" s="34" t="s">
        <v>3963</v>
      </c>
      <c r="H9" s="35">
        <v>1981</v>
      </c>
      <c r="I9" s="36">
        <v>3048</v>
      </c>
      <c r="J9" s="37">
        <v>3</v>
      </c>
      <c r="K9" s="25">
        <f t="shared" si="0"/>
        <v>18.114264000000002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>
        <f t="shared" si="0"/>
        <v>0</v>
      </c>
      <c r="L10" s="39"/>
    </row>
    <row r="11" spans="1:12" s="27" customFormat="1" ht="19.5" customHeight="1" x14ac:dyDescent="0.3">
      <c r="A11" s="28" t="s">
        <v>3964</v>
      </c>
      <c r="B11" s="16" t="s">
        <v>3965</v>
      </c>
      <c r="C11" s="17">
        <v>5</v>
      </c>
      <c r="D11" s="18" t="s">
        <v>3962</v>
      </c>
      <c r="E11" s="41">
        <v>30</v>
      </c>
      <c r="F11" s="42">
        <v>19.8</v>
      </c>
      <c r="G11" s="34" t="s">
        <v>3963</v>
      </c>
      <c r="H11" s="35">
        <v>1829</v>
      </c>
      <c r="I11" s="36">
        <v>3353</v>
      </c>
      <c r="J11" s="37">
        <v>2</v>
      </c>
      <c r="K11" s="25">
        <f t="shared" si="0"/>
        <v>12.265274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 t="s">
        <v>3966</v>
      </c>
      <c r="B13" s="16" t="s">
        <v>3967</v>
      </c>
      <c r="C13" s="17">
        <v>22</v>
      </c>
      <c r="D13" s="18" t="s">
        <v>3968</v>
      </c>
      <c r="E13" s="41">
        <v>16</v>
      </c>
      <c r="F13" s="42">
        <v>19.760000000000002</v>
      </c>
      <c r="G13" s="34" t="s">
        <v>3963</v>
      </c>
      <c r="H13" s="35">
        <v>1981</v>
      </c>
      <c r="I13" s="36">
        <v>3048</v>
      </c>
      <c r="J13" s="37">
        <v>5</v>
      </c>
      <c r="K13" s="25">
        <f t="shared" si="0"/>
        <v>30.190440000000006</v>
      </c>
      <c r="L13" s="39"/>
    </row>
    <row r="14" spans="1:12" s="27" customFormat="1" ht="19.5" customHeight="1" x14ac:dyDescent="0.3">
      <c r="A14" s="28"/>
      <c r="B14" s="16"/>
      <c r="C14" s="17">
        <v>26</v>
      </c>
      <c r="D14" s="18" t="s">
        <v>3968</v>
      </c>
      <c r="E14" s="41">
        <v>2</v>
      </c>
      <c r="F14" s="42">
        <v>3.07</v>
      </c>
      <c r="G14" s="34" t="s">
        <v>3969</v>
      </c>
      <c r="H14" s="35">
        <v>1981</v>
      </c>
      <c r="I14" s="36">
        <v>3048</v>
      </c>
      <c r="J14" s="37">
        <v>5</v>
      </c>
      <c r="K14" s="25">
        <f t="shared" si="0"/>
        <v>30.190440000000006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25">
        <f t="shared" si="0"/>
        <v>0</v>
      </c>
      <c r="L15" s="39"/>
    </row>
    <row r="16" spans="1:12" s="27" customFormat="1" ht="19.5" customHeight="1" x14ac:dyDescent="0.3">
      <c r="A16" s="28" t="s">
        <v>3970</v>
      </c>
      <c r="B16" s="16" t="s">
        <v>3971</v>
      </c>
      <c r="C16" s="17">
        <v>22</v>
      </c>
      <c r="D16" s="18" t="s">
        <v>3968</v>
      </c>
      <c r="E16" s="41">
        <v>17</v>
      </c>
      <c r="F16" s="42">
        <v>6.6</v>
      </c>
      <c r="G16" s="34" t="s">
        <v>3963</v>
      </c>
      <c r="H16" s="35">
        <v>1981</v>
      </c>
      <c r="I16" s="36">
        <v>3048</v>
      </c>
      <c r="J16" s="37">
        <v>2</v>
      </c>
      <c r="K16" s="25">
        <f t="shared" si="0"/>
        <v>12.076176000000002</v>
      </c>
      <c r="L16" s="39"/>
    </row>
    <row r="17" spans="1:12" s="27" customFormat="1" ht="19.5" customHeight="1" x14ac:dyDescent="0.3">
      <c r="A17" s="28"/>
      <c r="B17" s="16"/>
      <c r="C17" s="17">
        <v>22</v>
      </c>
      <c r="D17" s="18" t="s">
        <v>3968</v>
      </c>
      <c r="E17" s="41">
        <v>1</v>
      </c>
      <c r="F17" s="42">
        <v>1.1100000000000001</v>
      </c>
      <c r="G17" s="34" t="s">
        <v>3969</v>
      </c>
      <c r="H17" s="35">
        <v>1981</v>
      </c>
      <c r="I17" s="36">
        <v>3048</v>
      </c>
      <c r="J17" s="37">
        <v>2</v>
      </c>
      <c r="K17" s="25">
        <f t="shared" si="0"/>
        <v>12.076176000000002</v>
      </c>
      <c r="L17" s="39"/>
    </row>
    <row r="18" spans="1:12" s="27" customFormat="1" ht="19.5" customHeight="1" x14ac:dyDescent="0.3">
      <c r="A18" s="28"/>
      <c r="B18" s="16"/>
      <c r="C18" s="17">
        <v>22</v>
      </c>
      <c r="D18" s="18" t="s">
        <v>3968</v>
      </c>
      <c r="E18" s="41">
        <v>1</v>
      </c>
      <c r="F18" s="42">
        <v>3.09</v>
      </c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0"/>
        <v>0</v>
      </c>
      <c r="L19" s="39"/>
    </row>
    <row r="20" spans="1:12" s="27" customFormat="1" ht="19.5" customHeight="1" x14ac:dyDescent="0.3">
      <c r="A20" s="28" t="s">
        <v>3972</v>
      </c>
      <c r="B20" s="16" t="s">
        <v>3973</v>
      </c>
      <c r="C20" s="17">
        <v>22</v>
      </c>
      <c r="D20" s="18" t="s">
        <v>3968</v>
      </c>
      <c r="E20" s="41">
        <v>2</v>
      </c>
      <c r="F20" s="42">
        <v>2.82</v>
      </c>
      <c r="G20" s="34" t="s">
        <v>3963</v>
      </c>
      <c r="H20" s="35">
        <v>1981</v>
      </c>
      <c r="I20" s="36">
        <v>3353</v>
      </c>
      <c r="J20" s="37">
        <v>2</v>
      </c>
      <c r="K20" s="25">
        <f t="shared" si="0"/>
        <v>13.284586000000001</v>
      </c>
      <c r="L20" s="39" t="s">
        <v>3976</v>
      </c>
    </row>
    <row r="21" spans="1:12" s="27" customFormat="1" ht="19.5" customHeight="1" x14ac:dyDescent="0.3">
      <c r="A21" s="28"/>
      <c r="B21" s="16"/>
      <c r="C21" s="17">
        <v>22</v>
      </c>
      <c r="D21" s="18" t="s">
        <v>3974</v>
      </c>
      <c r="E21" s="41">
        <v>3</v>
      </c>
      <c r="F21" s="42">
        <v>7.38</v>
      </c>
      <c r="G21" s="34" t="s">
        <v>3963</v>
      </c>
      <c r="H21" s="35">
        <v>2590</v>
      </c>
      <c r="I21" s="36">
        <v>3353</v>
      </c>
      <c r="J21" s="37">
        <v>1</v>
      </c>
      <c r="K21" s="25">
        <f t="shared" si="0"/>
        <v>8.6842699999999979</v>
      </c>
      <c r="L21" s="39" t="s">
        <v>3976</v>
      </c>
    </row>
    <row r="22" spans="1:12" s="27" customFormat="1" ht="19.5" customHeight="1" x14ac:dyDescent="0.3">
      <c r="A22" s="28" t="s">
        <v>3975</v>
      </c>
      <c r="B22" s="16" t="s">
        <v>3971</v>
      </c>
      <c r="C22" s="17">
        <v>22</v>
      </c>
      <c r="D22" s="18" t="s">
        <v>3968</v>
      </c>
      <c r="E22" s="41">
        <v>3</v>
      </c>
      <c r="F22" s="42">
        <v>2.68</v>
      </c>
      <c r="G22" s="34" t="s">
        <v>3969</v>
      </c>
      <c r="H22" s="35">
        <v>2438</v>
      </c>
      <c r="I22" s="36">
        <v>3353</v>
      </c>
      <c r="J22" s="37">
        <v>1</v>
      </c>
      <c r="K22" s="25">
        <f t="shared" si="0"/>
        <v>8.174614</v>
      </c>
      <c r="L22" s="39" t="s">
        <v>3976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0"/>
        <v>0</v>
      </c>
      <c r="L23" s="39"/>
    </row>
    <row r="24" spans="1:12" s="27" customFormat="1" ht="19.5" customHeight="1" x14ac:dyDescent="0.3">
      <c r="A24" s="28" t="s">
        <v>3977</v>
      </c>
      <c r="B24" s="16" t="s">
        <v>3978</v>
      </c>
      <c r="C24" s="17">
        <v>22</v>
      </c>
      <c r="D24" s="18" t="s">
        <v>3979</v>
      </c>
      <c r="E24" s="41">
        <v>131</v>
      </c>
      <c r="F24" s="42">
        <v>77.290000000000006</v>
      </c>
      <c r="G24" s="34" t="s">
        <v>3980</v>
      </c>
      <c r="H24" s="35">
        <v>1981</v>
      </c>
      <c r="I24" s="36">
        <v>3353</v>
      </c>
      <c r="J24" s="37">
        <v>12</v>
      </c>
      <c r="K24" s="25">
        <f t="shared" si="0"/>
        <v>79.707515999999998</v>
      </c>
      <c r="L24" s="39"/>
    </row>
    <row r="25" spans="1:12" s="27" customFormat="1" ht="19.5" customHeight="1" x14ac:dyDescent="0.3">
      <c r="A25" s="28"/>
      <c r="B25" s="16"/>
      <c r="C25" s="17">
        <v>22</v>
      </c>
      <c r="D25" s="18" t="s">
        <v>3979</v>
      </c>
      <c r="E25" s="41">
        <v>34</v>
      </c>
      <c r="F25" s="42">
        <v>9.52</v>
      </c>
      <c r="G25" s="34" t="s">
        <v>3981</v>
      </c>
      <c r="H25" s="35">
        <v>1981</v>
      </c>
      <c r="I25" s="36">
        <v>3353</v>
      </c>
      <c r="J25" s="37">
        <v>12</v>
      </c>
      <c r="K25" s="25">
        <f t="shared" si="0"/>
        <v>79.707515999999998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 t="s">
        <v>3994</v>
      </c>
      <c r="B27" s="16" t="s">
        <v>3982</v>
      </c>
      <c r="C27" s="17">
        <v>5</v>
      </c>
      <c r="D27" s="18" t="s">
        <v>3983</v>
      </c>
      <c r="E27" s="41">
        <v>44</v>
      </c>
      <c r="F27" s="42">
        <v>57.15</v>
      </c>
      <c r="G27" s="34" t="s">
        <v>3963</v>
      </c>
      <c r="H27" s="35">
        <v>2590</v>
      </c>
      <c r="I27" s="36">
        <v>3353</v>
      </c>
      <c r="J27" s="37">
        <v>7</v>
      </c>
      <c r="K27" s="25">
        <f t="shared" si="0"/>
        <v>60.789889999999986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 t="s">
        <v>3986</v>
      </c>
      <c r="B29" s="16" t="s">
        <v>3965</v>
      </c>
      <c r="C29" s="17">
        <v>22</v>
      </c>
      <c r="D29" s="18" t="s">
        <v>307</v>
      </c>
      <c r="E29" s="41">
        <v>164</v>
      </c>
      <c r="F29" s="42">
        <v>141.72</v>
      </c>
      <c r="G29" s="34" t="s">
        <v>39</v>
      </c>
      <c r="H29" s="35">
        <v>1829</v>
      </c>
      <c r="I29" s="36">
        <v>3353</v>
      </c>
      <c r="J29" s="37">
        <v>24</v>
      </c>
      <c r="K29" s="25">
        <f t="shared" si="0"/>
        <v>147.183288</v>
      </c>
      <c r="L29" s="39" t="s">
        <v>3984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 t="s">
        <v>3986</v>
      </c>
      <c r="B31" s="16" t="s">
        <v>3965</v>
      </c>
      <c r="C31" s="17">
        <v>22</v>
      </c>
      <c r="D31" s="18" t="s">
        <v>320</v>
      </c>
      <c r="E31" s="41">
        <v>164</v>
      </c>
      <c r="F31" s="42">
        <v>141.72</v>
      </c>
      <c r="G31" s="34" t="s">
        <v>3963</v>
      </c>
      <c r="H31" s="35">
        <v>1829</v>
      </c>
      <c r="I31" s="36">
        <v>3353</v>
      </c>
      <c r="J31" s="37">
        <v>24</v>
      </c>
      <c r="K31" s="25">
        <f t="shared" si="0"/>
        <v>147.183288</v>
      </c>
      <c r="L31" s="39" t="s">
        <v>3985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 t="s">
        <v>3986</v>
      </c>
      <c r="B33" s="16" t="s">
        <v>3965</v>
      </c>
      <c r="C33" s="17">
        <v>22</v>
      </c>
      <c r="D33" s="18" t="s">
        <v>320</v>
      </c>
      <c r="E33" s="41">
        <v>28</v>
      </c>
      <c r="F33" s="42">
        <v>55.88</v>
      </c>
      <c r="G33" s="34" t="s">
        <v>39</v>
      </c>
      <c r="H33" s="35">
        <v>1829</v>
      </c>
      <c r="I33" s="36">
        <v>3353</v>
      </c>
      <c r="J33" s="37">
        <v>10</v>
      </c>
      <c r="K33" s="25">
        <f t="shared" si="0"/>
        <v>61.326369999999997</v>
      </c>
      <c r="L33" s="39" t="s">
        <v>3987</v>
      </c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 t="s">
        <v>3988</v>
      </c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 t="s">
        <v>3995</v>
      </c>
      <c r="B36" s="16" t="s">
        <v>3996</v>
      </c>
      <c r="C36" s="17">
        <v>8</v>
      </c>
      <c r="D36" s="18" t="s">
        <v>3997</v>
      </c>
      <c r="E36" s="41">
        <v>43</v>
      </c>
      <c r="F36" s="42">
        <v>80.8</v>
      </c>
      <c r="G36" s="34" t="s">
        <v>4000</v>
      </c>
      <c r="H36" s="35">
        <v>2286</v>
      </c>
      <c r="I36" s="36">
        <v>3353</v>
      </c>
      <c r="J36" s="37">
        <v>12</v>
      </c>
      <c r="K36" s="25">
        <f t="shared" ref="K36:K43" si="1">(H36/1000*I36/1000)*J36</f>
        <v>91.979496000000012</v>
      </c>
      <c r="L36" s="39"/>
    </row>
    <row r="37" spans="1:12" s="27" customFormat="1" ht="19.5" customHeight="1" x14ac:dyDescent="0.3">
      <c r="A37" s="28"/>
      <c r="B37" s="16"/>
      <c r="C37" s="17">
        <v>5</v>
      </c>
      <c r="D37" s="18" t="s">
        <v>3998</v>
      </c>
      <c r="E37" s="41">
        <v>1</v>
      </c>
      <c r="F37" s="42">
        <v>0.38</v>
      </c>
      <c r="G37" s="34"/>
      <c r="H37" s="35"/>
      <c r="I37" s="36"/>
      <c r="J37" s="37"/>
      <c r="K37" s="25">
        <f t="shared" si="1"/>
        <v>0</v>
      </c>
      <c r="L37" s="39" t="s">
        <v>4001</v>
      </c>
    </row>
    <row r="38" spans="1:12" s="27" customFormat="1" ht="19.5" customHeight="1" x14ac:dyDescent="0.3">
      <c r="A38" s="28"/>
      <c r="B38" s="16"/>
      <c r="C38" s="17">
        <v>28</v>
      </c>
      <c r="D38" s="18" t="s">
        <v>3999</v>
      </c>
      <c r="E38" s="41">
        <v>1</v>
      </c>
      <c r="F38" s="42">
        <v>2.06</v>
      </c>
      <c r="G38" s="34"/>
      <c r="H38" s="35"/>
      <c r="I38" s="36"/>
      <c r="J38" s="37"/>
      <c r="K38" s="25">
        <f t="shared" si="1"/>
        <v>0</v>
      </c>
      <c r="L38" s="39" t="s">
        <v>4001</v>
      </c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1"/>
        <v>0</v>
      </c>
      <c r="L39" s="39"/>
    </row>
    <row r="40" spans="1:12" s="27" customFormat="1" ht="19.5" customHeight="1" x14ac:dyDescent="0.3">
      <c r="A40" s="28" t="s">
        <v>4002</v>
      </c>
      <c r="B40" s="16" t="s">
        <v>4003</v>
      </c>
      <c r="C40" s="17">
        <v>22</v>
      </c>
      <c r="D40" s="18" t="s">
        <v>4004</v>
      </c>
      <c r="E40" s="41">
        <v>144</v>
      </c>
      <c r="F40" s="42">
        <v>88.14</v>
      </c>
      <c r="G40" s="34" t="s">
        <v>4005</v>
      </c>
      <c r="H40" s="35">
        <v>1981</v>
      </c>
      <c r="I40" s="36">
        <v>3353</v>
      </c>
      <c r="J40" s="37">
        <v>14</v>
      </c>
      <c r="K40" s="25">
        <f t="shared" si="1"/>
        <v>92.992102000000003</v>
      </c>
      <c r="L40" s="39" t="s">
        <v>4006</v>
      </c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1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1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1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0"/>
        <v>0</v>
      </c>
      <c r="L44" s="39"/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25">
        <f t="shared" si="0"/>
        <v>0</v>
      </c>
      <c r="L45" s="39"/>
    </row>
    <row r="46" spans="1:12" s="27" customFormat="1" ht="19.5" customHeight="1" x14ac:dyDescent="0.3">
      <c r="A46" s="28"/>
      <c r="B46" s="29"/>
      <c r="C46" s="30"/>
      <c r="D46" s="31"/>
      <c r="E46" s="41"/>
      <c r="F46" s="42"/>
      <c r="G46" s="43"/>
      <c r="H46" s="35"/>
      <c r="I46" s="36"/>
      <c r="J46" s="37"/>
      <c r="K46" s="38">
        <f t="shared" si="0"/>
        <v>0</v>
      </c>
      <c r="L46" s="39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3989</v>
      </c>
      <c r="B48" s="45" t="s">
        <v>3990</v>
      </c>
      <c r="C48" s="46">
        <v>28</v>
      </c>
      <c r="D48" s="47" t="s">
        <v>3001</v>
      </c>
      <c r="E48" s="48">
        <v>72</v>
      </c>
      <c r="F48" s="49">
        <v>77.58</v>
      </c>
      <c r="G48" s="50" t="s">
        <v>3991</v>
      </c>
      <c r="H48" s="51">
        <v>2438</v>
      </c>
      <c r="I48" s="45">
        <v>3048</v>
      </c>
      <c r="J48" s="52">
        <v>38</v>
      </c>
      <c r="K48" s="53">
        <f t="shared" si="0"/>
        <v>282.37891200000001</v>
      </c>
      <c r="L48" s="54" t="s">
        <v>3992</v>
      </c>
    </row>
    <row r="49" spans="1:12" s="55" customFormat="1" ht="19.5" customHeight="1" x14ac:dyDescent="0.3">
      <c r="A49" s="44"/>
      <c r="B49" s="45"/>
      <c r="C49" s="46">
        <v>28</v>
      </c>
      <c r="D49" s="47" t="s">
        <v>3007</v>
      </c>
      <c r="E49" s="48">
        <v>84</v>
      </c>
      <c r="F49" s="49">
        <v>88.44</v>
      </c>
      <c r="G49" s="50"/>
      <c r="H49" s="51"/>
      <c r="I49" s="45"/>
      <c r="J49" s="52"/>
      <c r="K49" s="53">
        <f t="shared" si="0"/>
        <v>0</v>
      </c>
      <c r="L49" s="54" t="s">
        <v>3992</v>
      </c>
    </row>
    <row r="50" spans="1:12" s="55" customFormat="1" ht="19.5" customHeight="1" x14ac:dyDescent="0.3">
      <c r="A50" s="44"/>
      <c r="B50" s="45"/>
      <c r="C50" s="46">
        <v>28</v>
      </c>
      <c r="D50" s="47" t="s">
        <v>3001</v>
      </c>
      <c r="E50" s="48">
        <v>36</v>
      </c>
      <c r="F50" s="49">
        <v>83.88</v>
      </c>
      <c r="G50" s="50"/>
      <c r="H50" s="51"/>
      <c r="I50" s="45"/>
      <c r="J50" s="52"/>
      <c r="K50" s="53">
        <f t="shared" si="0"/>
        <v>0</v>
      </c>
      <c r="L50" s="54" t="s">
        <v>3992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3993</v>
      </c>
      <c r="B52" s="45" t="s">
        <v>3990</v>
      </c>
      <c r="C52" s="46">
        <v>28</v>
      </c>
      <c r="D52" s="47" t="s">
        <v>3001</v>
      </c>
      <c r="E52" s="48">
        <v>72</v>
      </c>
      <c r="F52" s="49">
        <v>78.66</v>
      </c>
      <c r="G52" s="50" t="s">
        <v>3991</v>
      </c>
      <c r="H52" s="51">
        <v>2438</v>
      </c>
      <c r="I52" s="45">
        <v>3048</v>
      </c>
      <c r="J52" s="52">
        <v>37</v>
      </c>
      <c r="K52" s="53">
        <f t="shared" si="0"/>
        <v>274.94788800000003</v>
      </c>
      <c r="L52" s="54" t="s">
        <v>3992</v>
      </c>
    </row>
    <row r="53" spans="1:12" s="55" customFormat="1" ht="19.5" customHeight="1" x14ac:dyDescent="0.3">
      <c r="A53" s="44"/>
      <c r="B53" s="45"/>
      <c r="C53" s="46">
        <v>28</v>
      </c>
      <c r="D53" s="47" t="s">
        <v>3007</v>
      </c>
      <c r="E53" s="48">
        <v>84</v>
      </c>
      <c r="F53" s="49">
        <v>89.64</v>
      </c>
      <c r="G53" s="50"/>
      <c r="H53" s="51"/>
      <c r="I53" s="45"/>
      <c r="J53" s="52"/>
      <c r="K53" s="53">
        <f t="shared" si="0"/>
        <v>0</v>
      </c>
      <c r="L53" s="54" t="s">
        <v>3992</v>
      </c>
    </row>
    <row r="54" spans="1:12" s="55" customFormat="1" ht="19.5" customHeight="1" x14ac:dyDescent="0.3">
      <c r="A54" s="44"/>
      <c r="B54" s="45"/>
      <c r="C54" s="46">
        <v>28</v>
      </c>
      <c r="D54" s="47" t="s">
        <v>3001</v>
      </c>
      <c r="E54" s="48">
        <v>36</v>
      </c>
      <c r="F54" s="49">
        <v>84.93</v>
      </c>
      <c r="G54" s="50"/>
      <c r="H54" s="51"/>
      <c r="I54" s="45"/>
      <c r="J54" s="52"/>
      <c r="K54" s="53">
        <f t="shared" si="0"/>
        <v>0</v>
      </c>
      <c r="L54" s="54" t="s">
        <v>3992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3988</v>
      </c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4007</v>
      </c>
      <c r="B57" s="45" t="s">
        <v>4008</v>
      </c>
      <c r="C57" s="46">
        <v>24</v>
      </c>
      <c r="D57" s="47" t="s">
        <v>4009</v>
      </c>
      <c r="E57" s="48">
        <v>2</v>
      </c>
      <c r="F57" s="49">
        <v>1.68</v>
      </c>
      <c r="G57" s="50" t="s">
        <v>4015</v>
      </c>
      <c r="H57" s="51">
        <v>2438</v>
      </c>
      <c r="I57" s="45">
        <v>3353</v>
      </c>
      <c r="J57" s="52">
        <v>2</v>
      </c>
      <c r="K57" s="53">
        <f t="shared" si="0"/>
        <v>16.349228</v>
      </c>
      <c r="L57" s="54" t="s">
        <v>4014</v>
      </c>
    </row>
    <row r="58" spans="1:12" s="55" customFormat="1" ht="19.5" customHeight="1" x14ac:dyDescent="0.3">
      <c r="A58" s="44" t="s">
        <v>4010</v>
      </c>
      <c r="B58" s="45" t="s">
        <v>4032</v>
      </c>
      <c r="C58" s="46">
        <v>24</v>
      </c>
      <c r="D58" s="47" t="s">
        <v>3075</v>
      </c>
      <c r="E58" s="48">
        <v>2</v>
      </c>
      <c r="F58" s="49">
        <v>7.58</v>
      </c>
      <c r="G58" s="50" t="s">
        <v>2061</v>
      </c>
      <c r="H58" s="51">
        <v>2438</v>
      </c>
      <c r="I58" s="45">
        <v>3353</v>
      </c>
      <c r="J58" s="52">
        <v>2</v>
      </c>
      <c r="K58" s="53">
        <f t="shared" si="0"/>
        <v>16.349228</v>
      </c>
      <c r="L58" s="54" t="s">
        <v>4014</v>
      </c>
    </row>
    <row r="59" spans="1:12" s="55" customFormat="1" ht="19.5" customHeight="1" x14ac:dyDescent="0.3">
      <c r="A59" s="44" t="s">
        <v>4011</v>
      </c>
      <c r="B59" s="45" t="s">
        <v>4033</v>
      </c>
      <c r="C59" s="46">
        <v>24</v>
      </c>
      <c r="D59" s="47" t="s">
        <v>4012</v>
      </c>
      <c r="E59" s="48">
        <v>1</v>
      </c>
      <c r="F59" s="49">
        <v>1.78</v>
      </c>
      <c r="G59" s="50"/>
      <c r="H59" s="51"/>
      <c r="I59" s="45"/>
      <c r="J59" s="52"/>
      <c r="K59" s="53">
        <f t="shared" si="0"/>
        <v>0</v>
      </c>
      <c r="L59" s="54" t="s">
        <v>4014</v>
      </c>
    </row>
    <row r="60" spans="1:12" s="55" customFormat="1" ht="19.5" customHeight="1" x14ac:dyDescent="0.3">
      <c r="A60" s="44"/>
      <c r="B60" s="45"/>
      <c r="C60" s="46">
        <v>24</v>
      </c>
      <c r="D60" s="47" t="s">
        <v>4013</v>
      </c>
      <c r="E60" s="48">
        <v>6</v>
      </c>
      <c r="F60" s="49">
        <v>3.16</v>
      </c>
      <c r="G60" s="50"/>
      <c r="H60" s="51"/>
      <c r="I60" s="45"/>
      <c r="J60" s="52"/>
      <c r="K60" s="53">
        <f t="shared" si="0"/>
        <v>0</v>
      </c>
      <c r="L60" s="54" t="s">
        <v>4014</v>
      </c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4011</v>
      </c>
      <c r="B62" s="45" t="s">
        <v>4008</v>
      </c>
      <c r="C62" s="46">
        <v>39</v>
      </c>
      <c r="D62" s="47" t="s">
        <v>4016</v>
      </c>
      <c r="E62" s="48">
        <v>43</v>
      </c>
      <c r="F62" s="49">
        <v>38.229999999999997</v>
      </c>
      <c r="G62" s="50" t="s">
        <v>4015</v>
      </c>
      <c r="H62" s="51">
        <v>2286</v>
      </c>
      <c r="I62" s="45">
        <v>3048</v>
      </c>
      <c r="J62" s="52">
        <v>1</v>
      </c>
      <c r="K62" s="53">
        <f t="shared" si="0"/>
        <v>6.9677280000000001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 t="s">
        <v>4015</v>
      </c>
      <c r="H63" s="51">
        <v>1981</v>
      </c>
      <c r="I63" s="45">
        <v>3353</v>
      </c>
      <c r="J63" s="52">
        <v>6</v>
      </c>
      <c r="K63" s="53">
        <f t="shared" si="0"/>
        <v>39.853757999999999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 t="s">
        <v>62</v>
      </c>
      <c r="H64" s="51">
        <v>1981</v>
      </c>
      <c r="I64" s="45">
        <v>3353</v>
      </c>
      <c r="J64" s="52">
        <v>6</v>
      </c>
      <c r="K64" s="53">
        <f t="shared" si="0"/>
        <v>39.853757999999999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4017</v>
      </c>
      <c r="B66" s="45" t="s">
        <v>4018</v>
      </c>
      <c r="C66" s="46">
        <v>24</v>
      </c>
      <c r="D66" s="47" t="s">
        <v>4019</v>
      </c>
      <c r="E66" s="48">
        <v>2</v>
      </c>
      <c r="F66" s="49">
        <v>4.1399999999999997</v>
      </c>
      <c r="G66" s="50" t="s">
        <v>4020</v>
      </c>
      <c r="H66" s="51">
        <v>1981</v>
      </c>
      <c r="I66" s="45">
        <v>3658</v>
      </c>
      <c r="J66" s="52">
        <v>1</v>
      </c>
      <c r="K66" s="53">
        <f t="shared" si="0"/>
        <v>7.2464980000000008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 t="s">
        <v>4015</v>
      </c>
      <c r="H67" s="51">
        <v>1981</v>
      </c>
      <c r="I67" s="45">
        <v>3353</v>
      </c>
      <c r="J67" s="52">
        <v>1</v>
      </c>
      <c r="K67" s="53">
        <f t="shared" si="0"/>
        <v>6.6422930000000004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4021</v>
      </c>
      <c r="B69" s="45" t="s">
        <v>4022</v>
      </c>
      <c r="C69" s="46">
        <v>24</v>
      </c>
      <c r="D69" s="47" t="s">
        <v>4023</v>
      </c>
      <c r="E69" s="48">
        <v>7</v>
      </c>
      <c r="F69" s="49">
        <v>17.21</v>
      </c>
      <c r="G69" s="50" t="s">
        <v>4024</v>
      </c>
      <c r="H69" s="51">
        <v>2438</v>
      </c>
      <c r="I69" s="45">
        <v>3353</v>
      </c>
      <c r="J69" s="52">
        <v>6</v>
      </c>
      <c r="K69" s="53">
        <f t="shared" si="0"/>
        <v>49.047684000000004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4025</v>
      </c>
      <c r="B71" s="45" t="s">
        <v>4026</v>
      </c>
      <c r="C71" s="46">
        <v>24</v>
      </c>
      <c r="D71" s="47" t="s">
        <v>4027</v>
      </c>
      <c r="E71" s="48">
        <v>1</v>
      </c>
      <c r="F71" s="49">
        <v>1.68</v>
      </c>
      <c r="G71" s="50"/>
      <c r="H71" s="51"/>
      <c r="I71" s="45"/>
      <c r="J71" s="52"/>
      <c r="K71" s="53">
        <f t="shared" si="0"/>
        <v>0</v>
      </c>
      <c r="L71" s="54" t="s">
        <v>4001</v>
      </c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 t="s">
        <v>4028</v>
      </c>
      <c r="B73" s="45" t="s">
        <v>4029</v>
      </c>
      <c r="C73" s="46">
        <v>24</v>
      </c>
      <c r="D73" s="47" t="s">
        <v>4012</v>
      </c>
      <c r="E73" s="48">
        <v>2</v>
      </c>
      <c r="F73" s="49">
        <v>1.0900000000000001</v>
      </c>
      <c r="G73" s="50"/>
      <c r="H73" s="51"/>
      <c r="I73" s="45"/>
      <c r="J73" s="52"/>
      <c r="K73" s="53">
        <f t="shared" si="0"/>
        <v>0</v>
      </c>
      <c r="L73" s="54" t="s">
        <v>4030</v>
      </c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 t="s">
        <v>4034</v>
      </c>
      <c r="B75" s="45" t="s">
        <v>4029</v>
      </c>
      <c r="C75" s="46">
        <v>24</v>
      </c>
      <c r="D75" s="47" t="s">
        <v>4012</v>
      </c>
      <c r="E75" s="48">
        <v>1</v>
      </c>
      <c r="F75" s="49">
        <v>0.72</v>
      </c>
      <c r="G75" s="50"/>
      <c r="H75" s="51"/>
      <c r="I75" s="45"/>
      <c r="J75" s="52"/>
      <c r="K75" s="53">
        <f t="shared" si="0"/>
        <v>0</v>
      </c>
      <c r="L75" s="54" t="s">
        <v>4031</v>
      </c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9" customFormat="1" ht="20.100000000000001" customHeight="1" x14ac:dyDescent="0.3">
      <c r="A77" s="44"/>
      <c r="B77" s="45"/>
      <c r="C77" s="46"/>
      <c r="D77" s="47"/>
      <c r="E77" s="56"/>
      <c r="F77" s="57"/>
      <c r="G77" s="50"/>
      <c r="H77" s="51"/>
      <c r="I77" s="45"/>
      <c r="J77" s="52"/>
      <c r="K77" s="53">
        <f t="shared" si="0"/>
        <v>0</v>
      </c>
      <c r="L77" s="58">
        <f>SUM(J47:J78)</f>
        <v>100</v>
      </c>
    </row>
    <row r="78" spans="1:12" s="59" customFormat="1" ht="20.100000000000001" customHeight="1" x14ac:dyDescent="0.3">
      <c r="A78" s="44"/>
      <c r="B78" s="45"/>
      <c r="C78" s="46"/>
      <c r="D78" s="47"/>
      <c r="E78" s="60"/>
      <c r="F78" s="61"/>
      <c r="G78" s="62"/>
      <c r="H78" s="51"/>
      <c r="I78" s="45"/>
      <c r="J78" s="63"/>
      <c r="K78" s="53">
        <f t="shared" si="0"/>
        <v>0</v>
      </c>
      <c r="L78" s="64">
        <f>SUM(K47:K78)</f>
        <v>739.63697500000001</v>
      </c>
    </row>
    <row r="79" spans="1:12" s="59" customFormat="1" ht="20.100000000000001" customHeight="1" thickBot="1" x14ac:dyDescent="0.35">
      <c r="A79" s="114"/>
      <c r="B79" s="115"/>
      <c r="C79" s="115"/>
      <c r="D79" s="115"/>
      <c r="E79" s="115"/>
      <c r="F79" s="115"/>
      <c r="G79" s="115"/>
      <c r="H79" s="115"/>
      <c r="I79" s="115"/>
      <c r="J79" s="65">
        <f>SUM(J7:J78)</f>
        <v>238</v>
      </c>
      <c r="K79" s="66">
        <f>SUM(K7:K78)</f>
        <v>1645.5626810000003</v>
      </c>
      <c r="L79" s="67"/>
    </row>
    <row r="80" spans="1:12" s="59" customFormat="1" ht="20.100000000000001" customHeight="1" thickTop="1" thickBot="1" x14ac:dyDescent="0.35">
      <c r="A80" s="116" t="s">
        <v>52</v>
      </c>
      <c r="B80" s="117"/>
      <c r="C80" s="68"/>
      <c r="D80" s="118">
        <f>J79</f>
        <v>238</v>
      </c>
      <c r="E80" s="119"/>
      <c r="F80" s="119"/>
      <c r="G80" s="120"/>
      <c r="H80" s="121"/>
      <c r="I80" s="121"/>
      <c r="J80" s="122"/>
      <c r="K80" s="119"/>
      <c r="L80" s="123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71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72"/>
      <c r="F86" s="5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5"/>
      <c r="G87" s="73"/>
      <c r="H87" s="5"/>
      <c r="I87" s="74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72"/>
      <c r="I91" s="72"/>
      <c r="J91" s="5"/>
      <c r="K91" s="5"/>
      <c r="L91" s="5"/>
    </row>
    <row r="92" spans="1:12" ht="20.100000000000001" customHeight="1" x14ac:dyDescent="0.3">
      <c r="A92" s="113"/>
      <c r="B92" s="113"/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A95" s="113"/>
      <c r="B95" s="113"/>
      <c r="H95" s="72"/>
      <c r="I95" s="72"/>
    </row>
    <row r="96" spans="1:12" ht="20.100000000000001" customHeight="1" x14ac:dyDescent="0.3">
      <c r="A96" s="113"/>
      <c r="B96" s="113"/>
      <c r="H96" s="72"/>
      <c r="I96" s="72"/>
    </row>
    <row r="97" spans="1:12" ht="20.100000000000001" customHeight="1" x14ac:dyDescent="0.3">
      <c r="H97" s="72"/>
      <c r="I97" s="72"/>
    </row>
    <row r="98" spans="1:12" ht="20.100000000000001" customHeight="1" x14ac:dyDescent="0.3">
      <c r="H98" s="72"/>
      <c r="I98" s="72"/>
    </row>
    <row r="99" spans="1:12" ht="20.100000000000001" customHeight="1" x14ac:dyDescent="0.3">
      <c r="H99" s="72"/>
      <c r="I99" s="72"/>
    </row>
    <row r="100" spans="1:12" s="72" customFormat="1" ht="20.100000000000001" customHeight="1" x14ac:dyDescent="0.3">
      <c r="A100" s="69"/>
      <c r="B100" s="5"/>
      <c r="C100" s="5"/>
      <c r="D100" s="5"/>
      <c r="E100" s="5"/>
      <c r="F100" s="70"/>
      <c r="G100" s="5"/>
      <c r="J100" s="5"/>
      <c r="K100" s="5"/>
      <c r="L100" s="5"/>
    </row>
    <row r="101" spans="1:12" s="72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5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5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5" customFormat="1" ht="19.5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2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ht="19.5" customHeight="1" x14ac:dyDescent="0.3"/>
    <row r="108" spans="1:12" ht="19.5" customHeight="1" x14ac:dyDescent="0.3"/>
    <row r="109" spans="1:12" ht="19.5" customHeight="1" x14ac:dyDescent="0.3"/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>
        <v>2</v>
      </c>
      <c r="C170" s="5"/>
      <c r="D170" s="5"/>
      <c r="E170" s="5"/>
      <c r="F170" s="70"/>
      <c r="G170" s="5"/>
      <c r="H170" s="5"/>
      <c r="I170" s="5"/>
      <c r="J170" s="5"/>
      <c r="K170" s="5"/>
      <c r="L170" s="5"/>
    </row>
  </sheetData>
  <mergeCells count="30">
    <mergeCell ref="A95:B95"/>
    <mergeCell ref="A96:B96"/>
    <mergeCell ref="A86:B86"/>
    <mergeCell ref="A87:B87"/>
    <mergeCell ref="A88:B88"/>
    <mergeCell ref="A90:B90"/>
    <mergeCell ref="A91:B91"/>
    <mergeCell ref="A92:B92"/>
    <mergeCell ref="A85:B8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9:I79"/>
    <mergeCell ref="A80:B80"/>
    <mergeCell ref="D80:G80"/>
    <mergeCell ref="H80:J80"/>
    <mergeCell ref="K80:L80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L163"/>
  <sheetViews>
    <sheetView view="pageBreakPreview" topLeftCell="F64" zoomScale="85" zoomScaleSheetLayoutView="85" workbookViewId="0">
      <selection activeCell="L70" sqref="L70:L7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46162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1" si="0">(H7/1000*I7/1000)*J7</f>
        <v>0</v>
      </c>
      <c r="L7" s="26">
        <f>SUM(J7:J39)</f>
        <v>177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SUM(K7:K39)</f>
        <v>1122.6816370000004</v>
      </c>
    </row>
    <row r="9" spans="1:12" s="27" customFormat="1" ht="19.5" customHeight="1" x14ac:dyDescent="0.3">
      <c r="A9" s="28" t="s">
        <v>3911</v>
      </c>
      <c r="B9" s="16" t="s">
        <v>3912</v>
      </c>
      <c r="C9" s="17">
        <v>8</v>
      </c>
      <c r="D9" s="18" t="s">
        <v>3913</v>
      </c>
      <c r="E9" s="41">
        <v>1</v>
      </c>
      <c r="F9" s="42">
        <v>2</v>
      </c>
      <c r="G9" s="34"/>
      <c r="H9" s="35"/>
      <c r="I9" s="36"/>
      <c r="J9" s="37"/>
      <c r="K9" s="25">
        <f t="shared" si="0"/>
        <v>0</v>
      </c>
      <c r="L9" s="39" t="s">
        <v>3914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>
        <f t="shared" si="0"/>
        <v>0</v>
      </c>
      <c r="L10" s="39"/>
    </row>
    <row r="11" spans="1:12" s="27" customFormat="1" ht="19.5" customHeight="1" x14ac:dyDescent="0.3">
      <c r="A11" s="28" t="s">
        <v>3852</v>
      </c>
      <c r="B11" s="16" t="s">
        <v>3749</v>
      </c>
      <c r="C11" s="17">
        <v>22</v>
      </c>
      <c r="D11" s="18" t="s">
        <v>307</v>
      </c>
      <c r="E11" s="41">
        <v>120</v>
      </c>
      <c r="F11" s="42">
        <v>94.72</v>
      </c>
      <c r="G11" s="34" t="s">
        <v>3915</v>
      </c>
      <c r="H11" s="35">
        <v>1981</v>
      </c>
      <c r="I11" s="36">
        <v>3353</v>
      </c>
      <c r="J11" s="37">
        <v>1</v>
      </c>
      <c r="K11" s="25">
        <f t="shared" si="0"/>
        <v>6.6422930000000004</v>
      </c>
      <c r="L11" s="39" t="s">
        <v>3916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3915</v>
      </c>
      <c r="H12" s="35">
        <v>1829</v>
      </c>
      <c r="I12" s="36">
        <v>3353</v>
      </c>
      <c r="J12" s="37">
        <v>16</v>
      </c>
      <c r="K12" s="25">
        <f t="shared" si="0"/>
        <v>98.122191999999998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 t="s">
        <v>3917</v>
      </c>
      <c r="B14" s="16" t="s">
        <v>3749</v>
      </c>
      <c r="C14" s="17">
        <v>22</v>
      </c>
      <c r="D14" s="18" t="s">
        <v>307</v>
      </c>
      <c r="E14" s="41">
        <v>133</v>
      </c>
      <c r="F14" s="42">
        <v>121.57</v>
      </c>
      <c r="G14" s="34" t="s">
        <v>3915</v>
      </c>
      <c r="H14" s="35">
        <v>1829</v>
      </c>
      <c r="I14" s="36">
        <v>3353</v>
      </c>
      <c r="J14" s="37">
        <v>22</v>
      </c>
      <c r="K14" s="25">
        <f t="shared" si="0"/>
        <v>134.918014</v>
      </c>
      <c r="L14" s="39" t="s">
        <v>3919</v>
      </c>
    </row>
    <row r="15" spans="1:12" s="27" customFormat="1" ht="19.5" customHeight="1" x14ac:dyDescent="0.3">
      <c r="A15" s="28"/>
      <c r="B15" s="16"/>
      <c r="C15" s="17">
        <v>22</v>
      </c>
      <c r="D15" s="18" t="s">
        <v>320</v>
      </c>
      <c r="E15" s="41">
        <v>133</v>
      </c>
      <c r="F15" s="42">
        <v>121.57</v>
      </c>
      <c r="G15" s="34" t="s">
        <v>3918</v>
      </c>
      <c r="H15" s="35">
        <v>1829</v>
      </c>
      <c r="I15" s="36">
        <v>3353</v>
      </c>
      <c r="J15" s="37">
        <v>44</v>
      </c>
      <c r="K15" s="25">
        <f t="shared" si="0"/>
        <v>269.836028</v>
      </c>
      <c r="L15" s="39" t="s">
        <v>3920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 t="s">
        <v>3853</v>
      </c>
      <c r="B17" s="16" t="s">
        <v>2662</v>
      </c>
      <c r="C17" s="17">
        <v>22</v>
      </c>
      <c r="D17" s="18" t="s">
        <v>146</v>
      </c>
      <c r="E17" s="41">
        <v>12</v>
      </c>
      <c r="F17" s="42">
        <v>28.32</v>
      </c>
      <c r="G17" s="34" t="s">
        <v>3950</v>
      </c>
      <c r="H17" s="35">
        <v>1981</v>
      </c>
      <c r="I17" s="36">
        <v>3353</v>
      </c>
      <c r="J17" s="37">
        <v>20</v>
      </c>
      <c r="K17" s="25">
        <f t="shared" si="0"/>
        <v>132.84586000000002</v>
      </c>
      <c r="L17" s="39" t="s">
        <v>3921</v>
      </c>
    </row>
    <row r="18" spans="1:12" s="27" customFormat="1" ht="19.5" customHeight="1" x14ac:dyDescent="0.3">
      <c r="A18" s="28"/>
      <c r="B18" s="16"/>
      <c r="C18" s="17">
        <v>22</v>
      </c>
      <c r="D18" s="18" t="s">
        <v>665</v>
      </c>
      <c r="E18" s="41">
        <v>5</v>
      </c>
      <c r="F18" s="42">
        <v>16.149999999999999</v>
      </c>
      <c r="G18" s="34"/>
      <c r="H18" s="35"/>
      <c r="I18" s="36"/>
      <c r="J18" s="37"/>
      <c r="K18" s="25">
        <f t="shared" si="0"/>
        <v>0</v>
      </c>
      <c r="L18" s="39" t="s">
        <v>3921</v>
      </c>
    </row>
    <row r="19" spans="1:12" s="27" customFormat="1" ht="19.5" customHeight="1" x14ac:dyDescent="0.3">
      <c r="A19" s="28" t="s">
        <v>3854</v>
      </c>
      <c r="B19" s="16" t="s">
        <v>2662</v>
      </c>
      <c r="C19" s="17">
        <v>22</v>
      </c>
      <c r="D19" s="18" t="s">
        <v>146</v>
      </c>
      <c r="E19" s="41">
        <v>12</v>
      </c>
      <c r="F19" s="42">
        <v>28.32</v>
      </c>
      <c r="G19" s="34"/>
      <c r="H19" s="35"/>
      <c r="I19" s="36"/>
      <c r="J19" s="37"/>
      <c r="K19" s="25">
        <f t="shared" si="0"/>
        <v>0</v>
      </c>
      <c r="L19" s="39" t="s">
        <v>3921</v>
      </c>
    </row>
    <row r="20" spans="1:12" s="27" customFormat="1" ht="19.5" customHeight="1" x14ac:dyDescent="0.3">
      <c r="A20" s="28"/>
      <c r="B20" s="16"/>
      <c r="C20" s="17">
        <v>22</v>
      </c>
      <c r="D20" s="18" t="s">
        <v>665</v>
      </c>
      <c r="E20" s="41">
        <v>5</v>
      </c>
      <c r="F20" s="42">
        <v>16.149999999999999</v>
      </c>
      <c r="G20" s="34"/>
      <c r="H20" s="35"/>
      <c r="I20" s="36"/>
      <c r="J20" s="37"/>
      <c r="K20" s="25">
        <f t="shared" si="0"/>
        <v>0</v>
      </c>
      <c r="L20" s="39" t="s">
        <v>3921</v>
      </c>
    </row>
    <row r="21" spans="1:12" s="27" customFormat="1" ht="19.5" customHeight="1" x14ac:dyDescent="0.3">
      <c r="A21" s="28" t="s">
        <v>3855</v>
      </c>
      <c r="B21" s="16" t="s">
        <v>2662</v>
      </c>
      <c r="C21" s="17">
        <v>22</v>
      </c>
      <c r="D21" s="18" t="s">
        <v>146</v>
      </c>
      <c r="E21" s="41">
        <v>12</v>
      </c>
      <c r="F21" s="42">
        <v>28.32</v>
      </c>
      <c r="G21" s="34"/>
      <c r="H21" s="35"/>
      <c r="I21" s="36"/>
      <c r="J21" s="37"/>
      <c r="K21" s="25">
        <f t="shared" si="0"/>
        <v>0</v>
      </c>
      <c r="L21" s="39" t="s">
        <v>3921</v>
      </c>
    </row>
    <row r="22" spans="1:12" s="27" customFormat="1" ht="19.5" customHeight="1" x14ac:dyDescent="0.3">
      <c r="A22" s="28"/>
      <c r="B22" s="16"/>
      <c r="C22" s="17">
        <v>22</v>
      </c>
      <c r="D22" s="18" t="s">
        <v>665</v>
      </c>
      <c r="E22" s="41">
        <v>3</v>
      </c>
      <c r="F22" s="42">
        <v>9.69</v>
      </c>
      <c r="G22" s="34"/>
      <c r="H22" s="35"/>
      <c r="I22" s="36"/>
      <c r="J22" s="37"/>
      <c r="K22" s="25">
        <f t="shared" si="0"/>
        <v>0</v>
      </c>
      <c r="L22" s="39" t="s">
        <v>3921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0"/>
        <v>0</v>
      </c>
      <c r="L23" s="39"/>
    </row>
    <row r="24" spans="1:12" s="27" customFormat="1" ht="19.5" customHeight="1" x14ac:dyDescent="0.3">
      <c r="A24" s="28" t="s">
        <v>3922</v>
      </c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 t="s">
        <v>3947</v>
      </c>
      <c r="B25" s="16" t="s">
        <v>3948</v>
      </c>
      <c r="C25" s="17">
        <v>22</v>
      </c>
      <c r="D25" s="18" t="s">
        <v>45</v>
      </c>
      <c r="E25" s="41">
        <v>133</v>
      </c>
      <c r="F25" s="42">
        <v>80.27</v>
      </c>
      <c r="G25" s="34" t="s">
        <v>3949</v>
      </c>
      <c r="H25" s="35">
        <v>1981</v>
      </c>
      <c r="I25" s="36">
        <v>3353</v>
      </c>
      <c r="J25" s="37">
        <v>13</v>
      </c>
      <c r="K25" s="25">
        <f t="shared" si="0"/>
        <v>86.349809000000008</v>
      </c>
      <c r="L25" s="39"/>
    </row>
    <row r="26" spans="1:12" s="27" customFormat="1" ht="19.5" customHeight="1" x14ac:dyDescent="0.3">
      <c r="A26" s="28"/>
      <c r="B26" s="16"/>
      <c r="C26" s="17">
        <v>22</v>
      </c>
      <c r="D26" s="18" t="s">
        <v>45</v>
      </c>
      <c r="E26" s="41">
        <v>34</v>
      </c>
      <c r="F26" s="42">
        <v>9.52</v>
      </c>
      <c r="G26" s="34" t="s">
        <v>3950</v>
      </c>
      <c r="H26" s="35">
        <v>1981</v>
      </c>
      <c r="I26" s="36">
        <v>3353</v>
      </c>
      <c r="J26" s="37">
        <v>13</v>
      </c>
      <c r="K26" s="25">
        <f t="shared" si="0"/>
        <v>86.349809000000008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 t="s">
        <v>3951</v>
      </c>
      <c r="B28" s="16" t="s">
        <v>3948</v>
      </c>
      <c r="C28" s="17">
        <v>22</v>
      </c>
      <c r="D28" s="18" t="s">
        <v>45</v>
      </c>
      <c r="E28" s="41">
        <v>133</v>
      </c>
      <c r="F28" s="42">
        <v>80.27</v>
      </c>
      <c r="G28" s="34" t="s">
        <v>3949</v>
      </c>
      <c r="H28" s="35">
        <v>1981</v>
      </c>
      <c r="I28" s="36">
        <v>3353</v>
      </c>
      <c r="J28" s="37">
        <v>13</v>
      </c>
      <c r="K28" s="25">
        <f t="shared" si="0"/>
        <v>86.349809000000008</v>
      </c>
      <c r="L28" s="39"/>
    </row>
    <row r="29" spans="1:12" s="27" customFormat="1" ht="19.5" customHeight="1" x14ac:dyDescent="0.3">
      <c r="A29" s="28"/>
      <c r="B29" s="16"/>
      <c r="C29" s="17">
        <v>22</v>
      </c>
      <c r="D29" s="18" t="s">
        <v>45</v>
      </c>
      <c r="E29" s="41">
        <v>34</v>
      </c>
      <c r="F29" s="42">
        <v>9.52</v>
      </c>
      <c r="G29" s="34" t="s">
        <v>3950</v>
      </c>
      <c r="H29" s="35">
        <v>1981</v>
      </c>
      <c r="I29" s="36">
        <v>3353</v>
      </c>
      <c r="J29" s="37">
        <v>13</v>
      </c>
      <c r="K29" s="25">
        <f t="shared" si="0"/>
        <v>86.349809000000008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 t="s">
        <v>3952</v>
      </c>
      <c r="B31" s="16" t="s">
        <v>3749</v>
      </c>
      <c r="C31" s="17">
        <v>22</v>
      </c>
      <c r="D31" s="18" t="s">
        <v>320</v>
      </c>
      <c r="E31" s="41">
        <v>133</v>
      </c>
      <c r="F31" s="42">
        <v>121.57</v>
      </c>
      <c r="G31" s="34" t="s">
        <v>437</v>
      </c>
      <c r="H31" s="35">
        <v>1829</v>
      </c>
      <c r="I31" s="36">
        <v>3353</v>
      </c>
      <c r="J31" s="37">
        <v>22</v>
      </c>
      <c r="K31" s="25">
        <f t="shared" si="0"/>
        <v>134.918014</v>
      </c>
      <c r="L31" s="39" t="s">
        <v>3953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/>
      <c r="B39" s="29"/>
      <c r="C39" s="30"/>
      <c r="D39" s="31"/>
      <c r="E39" s="41"/>
      <c r="F39" s="42"/>
      <c r="G39" s="43"/>
      <c r="H39" s="35"/>
      <c r="I39" s="36"/>
      <c r="J39" s="37"/>
      <c r="K39" s="38">
        <f t="shared" si="0"/>
        <v>0</v>
      </c>
      <c r="L39" s="39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3946</v>
      </c>
      <c r="B41" s="45" t="s">
        <v>3923</v>
      </c>
      <c r="C41" s="46">
        <v>24</v>
      </c>
      <c r="D41" s="47" t="s">
        <v>3924</v>
      </c>
      <c r="E41" s="48">
        <v>71</v>
      </c>
      <c r="F41" s="49">
        <v>79.89</v>
      </c>
      <c r="G41" s="50" t="s">
        <v>3925</v>
      </c>
      <c r="H41" s="51">
        <v>2438</v>
      </c>
      <c r="I41" s="45">
        <v>3353</v>
      </c>
      <c r="J41" s="52">
        <v>11</v>
      </c>
      <c r="K41" s="53">
        <f t="shared" si="0"/>
        <v>89.920754000000002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 t="s">
        <v>3926</v>
      </c>
      <c r="H42" s="51">
        <v>2438</v>
      </c>
      <c r="I42" s="45">
        <v>3353</v>
      </c>
      <c r="J42" s="52">
        <v>10</v>
      </c>
      <c r="K42" s="53">
        <f t="shared" si="0"/>
        <v>81.746139999999997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 t="s">
        <v>18</v>
      </c>
      <c r="H43" s="51">
        <v>1981</v>
      </c>
      <c r="I43" s="45">
        <v>3353</v>
      </c>
      <c r="J43" s="52">
        <v>1</v>
      </c>
      <c r="K43" s="53">
        <f t="shared" si="0"/>
        <v>6.6422930000000004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3927</v>
      </c>
      <c r="B45" s="45" t="s">
        <v>3872</v>
      </c>
      <c r="C45" s="46">
        <v>22</v>
      </c>
      <c r="D45" s="47" t="s">
        <v>2186</v>
      </c>
      <c r="E45" s="48">
        <v>74</v>
      </c>
      <c r="F45" s="49">
        <v>73.260000000000005</v>
      </c>
      <c r="G45" s="50" t="s">
        <v>3926</v>
      </c>
      <c r="H45" s="51">
        <v>2134</v>
      </c>
      <c r="I45" s="45">
        <v>3048</v>
      </c>
      <c r="J45" s="52">
        <v>35</v>
      </c>
      <c r="K45" s="53">
        <f t="shared" si="0"/>
        <v>227.65511999999998</v>
      </c>
      <c r="L45" s="54" t="s">
        <v>3929</v>
      </c>
    </row>
    <row r="46" spans="1:12" s="55" customFormat="1" ht="19.5" customHeight="1" x14ac:dyDescent="0.3">
      <c r="A46" s="44" t="s">
        <v>3928</v>
      </c>
      <c r="B46" s="45" t="s">
        <v>3872</v>
      </c>
      <c r="C46" s="46">
        <v>22</v>
      </c>
      <c r="D46" s="47" t="s">
        <v>2186</v>
      </c>
      <c r="E46" s="48">
        <v>68</v>
      </c>
      <c r="F46" s="49">
        <v>134.78</v>
      </c>
      <c r="G46" s="50"/>
      <c r="H46" s="51"/>
      <c r="I46" s="45"/>
      <c r="J46" s="52"/>
      <c r="K46" s="53">
        <f t="shared" si="0"/>
        <v>0</v>
      </c>
      <c r="L46" s="54" t="s">
        <v>3929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3930</v>
      </c>
      <c r="B48" s="45" t="s">
        <v>3931</v>
      </c>
      <c r="C48" s="46">
        <v>24</v>
      </c>
      <c r="D48" s="47" t="s">
        <v>3932</v>
      </c>
      <c r="E48" s="48">
        <v>8</v>
      </c>
      <c r="F48" s="49">
        <v>4.24</v>
      </c>
      <c r="G48" s="50" t="s">
        <v>3926</v>
      </c>
      <c r="H48" s="51">
        <v>1981</v>
      </c>
      <c r="I48" s="45">
        <v>3048</v>
      </c>
      <c r="J48" s="52">
        <v>1</v>
      </c>
      <c r="K48" s="53">
        <f t="shared" si="0"/>
        <v>6.038088000000001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3933</v>
      </c>
      <c r="H49" s="51">
        <v>1981</v>
      </c>
      <c r="I49" s="45">
        <v>3048</v>
      </c>
      <c r="J49" s="52">
        <v>1</v>
      </c>
      <c r="K49" s="53">
        <f t="shared" si="0"/>
        <v>6.038088000000001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3934</v>
      </c>
      <c r="B51" s="45" t="s">
        <v>3938</v>
      </c>
      <c r="C51" s="46">
        <v>43</v>
      </c>
      <c r="D51" s="47" t="s">
        <v>3935</v>
      </c>
      <c r="E51" s="48">
        <v>14</v>
      </c>
      <c r="F51" s="49">
        <v>43.12</v>
      </c>
      <c r="G51" s="50" t="s">
        <v>3926</v>
      </c>
      <c r="H51" s="51">
        <v>2438</v>
      </c>
      <c r="I51" s="45">
        <v>3353</v>
      </c>
      <c r="J51" s="52">
        <v>14</v>
      </c>
      <c r="K51" s="53">
        <f t="shared" si="0"/>
        <v>114.444596</v>
      </c>
      <c r="L51" s="54" t="s">
        <v>3936</v>
      </c>
    </row>
    <row r="52" spans="1:12" s="55" customFormat="1" ht="19.5" customHeight="1" x14ac:dyDescent="0.3">
      <c r="A52" s="44" t="s">
        <v>3937</v>
      </c>
      <c r="B52" s="45" t="s">
        <v>3938</v>
      </c>
      <c r="C52" s="46">
        <v>43</v>
      </c>
      <c r="D52" s="47" t="s">
        <v>3935</v>
      </c>
      <c r="E52" s="48">
        <v>22</v>
      </c>
      <c r="F52" s="49">
        <v>51.56</v>
      </c>
      <c r="G52" s="50"/>
      <c r="H52" s="51"/>
      <c r="I52" s="45"/>
      <c r="J52" s="52"/>
      <c r="K52" s="53">
        <f t="shared" si="0"/>
        <v>0</v>
      </c>
      <c r="L52" s="54" t="s">
        <v>3936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3939</v>
      </c>
      <c r="B54" s="45" t="s">
        <v>3940</v>
      </c>
      <c r="C54" s="46">
        <v>28</v>
      </c>
      <c r="D54" s="47" t="s">
        <v>3942</v>
      </c>
      <c r="E54" s="48">
        <v>78</v>
      </c>
      <c r="F54" s="49">
        <v>83.84</v>
      </c>
      <c r="G54" s="50" t="s">
        <v>3941</v>
      </c>
      <c r="H54" s="51">
        <v>2438</v>
      </c>
      <c r="I54" s="45">
        <v>3048</v>
      </c>
      <c r="J54" s="52">
        <v>37</v>
      </c>
      <c r="K54" s="53">
        <f t="shared" si="0"/>
        <v>274.94788800000003</v>
      </c>
      <c r="L54" s="54" t="s">
        <v>3944</v>
      </c>
    </row>
    <row r="55" spans="1:12" s="55" customFormat="1" ht="19.5" customHeight="1" x14ac:dyDescent="0.3">
      <c r="A55" s="44"/>
      <c r="B55" s="45"/>
      <c r="C55" s="46">
        <v>28</v>
      </c>
      <c r="D55" s="47" t="s">
        <v>3943</v>
      </c>
      <c r="E55" s="48">
        <v>72</v>
      </c>
      <c r="F55" s="49">
        <v>74.59</v>
      </c>
      <c r="G55" s="50"/>
      <c r="H55" s="51"/>
      <c r="I55" s="45"/>
      <c r="J55" s="52"/>
      <c r="K55" s="53">
        <f t="shared" si="0"/>
        <v>0</v>
      </c>
      <c r="L55" s="54" t="s">
        <v>3944</v>
      </c>
    </row>
    <row r="56" spans="1:12" s="55" customFormat="1" ht="19.5" customHeight="1" x14ac:dyDescent="0.3">
      <c r="A56" s="44"/>
      <c r="B56" s="45"/>
      <c r="C56" s="46">
        <v>28</v>
      </c>
      <c r="D56" s="47" t="s">
        <v>3942</v>
      </c>
      <c r="E56" s="48">
        <v>39</v>
      </c>
      <c r="F56" s="49">
        <v>90.33</v>
      </c>
      <c r="G56" s="50"/>
      <c r="H56" s="51"/>
      <c r="I56" s="45"/>
      <c r="J56" s="52"/>
      <c r="K56" s="53">
        <f t="shared" si="0"/>
        <v>0</v>
      </c>
      <c r="L56" s="54" t="s">
        <v>3944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3945</v>
      </c>
      <c r="B58" s="45" t="s">
        <v>3940</v>
      </c>
      <c r="C58" s="46">
        <v>28</v>
      </c>
      <c r="D58" s="47" t="s">
        <v>3942</v>
      </c>
      <c r="E58" s="48">
        <v>72</v>
      </c>
      <c r="F58" s="49">
        <v>78.709999999999994</v>
      </c>
      <c r="G58" s="50" t="s">
        <v>3941</v>
      </c>
      <c r="H58" s="51">
        <v>2438</v>
      </c>
      <c r="I58" s="45">
        <v>3048</v>
      </c>
      <c r="J58" s="52">
        <v>12</v>
      </c>
      <c r="K58" s="53">
        <f t="shared" si="0"/>
        <v>89.172288000000009</v>
      </c>
      <c r="L58" s="54" t="s">
        <v>3944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3954</v>
      </c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3834</v>
      </c>
      <c r="B61" s="45" t="s">
        <v>3827</v>
      </c>
      <c r="C61" s="46">
        <v>43</v>
      </c>
      <c r="D61" s="47" t="s">
        <v>3832</v>
      </c>
      <c r="E61" s="48">
        <v>14</v>
      </c>
      <c r="F61" s="49">
        <v>43.12</v>
      </c>
      <c r="G61" s="50" t="s">
        <v>3955</v>
      </c>
      <c r="H61" s="51">
        <v>2438</v>
      </c>
      <c r="I61" s="45">
        <v>3353</v>
      </c>
      <c r="J61" s="52">
        <v>14</v>
      </c>
      <c r="K61" s="53">
        <f t="shared" si="0"/>
        <v>114.444596</v>
      </c>
      <c r="L61" s="54" t="s">
        <v>3957</v>
      </c>
    </row>
    <row r="62" spans="1:12" s="55" customFormat="1" ht="19.5" customHeight="1" x14ac:dyDescent="0.3">
      <c r="A62" s="44" t="s">
        <v>3835</v>
      </c>
      <c r="B62" s="45" t="s">
        <v>3827</v>
      </c>
      <c r="C62" s="46">
        <v>43</v>
      </c>
      <c r="D62" s="47" t="s">
        <v>3832</v>
      </c>
      <c r="E62" s="48">
        <v>22</v>
      </c>
      <c r="F62" s="49">
        <v>51.56</v>
      </c>
      <c r="G62" s="50"/>
      <c r="H62" s="51"/>
      <c r="I62" s="45"/>
      <c r="J62" s="52"/>
      <c r="K62" s="53">
        <f t="shared" si="0"/>
        <v>0</v>
      </c>
      <c r="L62" s="54" t="s">
        <v>3957</v>
      </c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3956</v>
      </c>
      <c r="B64" s="45" t="s">
        <v>3827</v>
      </c>
      <c r="C64" s="46">
        <v>43</v>
      </c>
      <c r="D64" s="47" t="s">
        <v>3832</v>
      </c>
      <c r="E64" s="48">
        <v>20</v>
      </c>
      <c r="F64" s="49">
        <v>46.09</v>
      </c>
      <c r="G64" s="50" t="s">
        <v>3958</v>
      </c>
      <c r="H64" s="51">
        <v>2438</v>
      </c>
      <c r="I64" s="45">
        <v>3353</v>
      </c>
      <c r="J64" s="52">
        <v>7</v>
      </c>
      <c r="K64" s="53">
        <f t="shared" si="0"/>
        <v>57.222298000000002</v>
      </c>
      <c r="L64" s="54" t="s">
        <v>3959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 t="s">
        <v>3955</v>
      </c>
      <c r="H65" s="51">
        <v>2438</v>
      </c>
      <c r="I65" s="45">
        <v>3353</v>
      </c>
      <c r="J65" s="52">
        <v>7</v>
      </c>
      <c r="K65" s="53">
        <f t="shared" si="0"/>
        <v>57.222298000000002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9" customFormat="1" ht="20.100000000000001" customHeight="1" x14ac:dyDescent="0.3">
      <c r="A70" s="44"/>
      <c r="B70" s="45"/>
      <c r="C70" s="46"/>
      <c r="D70" s="47"/>
      <c r="E70" s="56"/>
      <c r="F70" s="57"/>
      <c r="G70" s="50"/>
      <c r="H70" s="51"/>
      <c r="I70" s="45"/>
      <c r="J70" s="52"/>
      <c r="K70" s="53">
        <f t="shared" si="0"/>
        <v>0</v>
      </c>
      <c r="L70" s="58">
        <f>SUM(J40:J71)</f>
        <v>150</v>
      </c>
    </row>
    <row r="71" spans="1:12" s="59" customFormat="1" ht="20.100000000000001" customHeight="1" x14ac:dyDescent="0.3">
      <c r="A71" s="44"/>
      <c r="B71" s="45"/>
      <c r="C71" s="46"/>
      <c r="D71" s="47"/>
      <c r="E71" s="60"/>
      <c r="F71" s="61"/>
      <c r="G71" s="62"/>
      <c r="H71" s="51"/>
      <c r="I71" s="45"/>
      <c r="J71" s="63"/>
      <c r="K71" s="53">
        <f t="shared" si="0"/>
        <v>0</v>
      </c>
      <c r="L71" s="64">
        <f>SUM(K40:K71)</f>
        <v>1125.494447</v>
      </c>
    </row>
    <row r="72" spans="1:12" s="59" customFormat="1" ht="20.100000000000001" customHeight="1" thickBot="1" x14ac:dyDescent="0.35">
      <c r="A72" s="114"/>
      <c r="B72" s="115"/>
      <c r="C72" s="115"/>
      <c r="D72" s="115"/>
      <c r="E72" s="115"/>
      <c r="F72" s="115"/>
      <c r="G72" s="115"/>
      <c r="H72" s="115"/>
      <c r="I72" s="115"/>
      <c r="J72" s="65">
        <f>SUM(J7:J71)</f>
        <v>327</v>
      </c>
      <c r="K72" s="66">
        <f>SUM(K7:K71)</f>
        <v>2248.1760840000006</v>
      </c>
      <c r="L72" s="67"/>
    </row>
    <row r="73" spans="1:12" s="59" customFormat="1" ht="20.100000000000001" customHeight="1" thickTop="1" thickBot="1" x14ac:dyDescent="0.35">
      <c r="A73" s="116" t="s">
        <v>52</v>
      </c>
      <c r="B73" s="117"/>
      <c r="C73" s="68"/>
      <c r="D73" s="118">
        <f>J72</f>
        <v>327</v>
      </c>
      <c r="E73" s="119"/>
      <c r="F73" s="119"/>
      <c r="G73" s="120"/>
      <c r="H73" s="121"/>
      <c r="I73" s="121"/>
      <c r="J73" s="122"/>
      <c r="K73" s="119"/>
      <c r="L73" s="123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71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72"/>
      <c r="F79" s="5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5"/>
      <c r="G80" s="73"/>
      <c r="H80" s="5"/>
      <c r="I80" s="74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72"/>
      <c r="I84" s="72"/>
      <c r="J84" s="5"/>
      <c r="K84" s="5"/>
      <c r="L84" s="5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A88" s="113"/>
      <c r="B88" s="113"/>
      <c r="H88" s="72"/>
      <c r="I88" s="72"/>
    </row>
    <row r="89" spans="1:12" ht="20.100000000000001" customHeight="1" x14ac:dyDescent="0.3">
      <c r="A89" s="113"/>
      <c r="B89" s="113"/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H92" s="72"/>
      <c r="I92" s="72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5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5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5" customFormat="1" ht="19.5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2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ht="19.5" customHeight="1" x14ac:dyDescent="0.3"/>
    <row r="101" spans="1:12" ht="19.5" customHeight="1" x14ac:dyDescent="0.3"/>
    <row r="102" spans="1:12" ht="19.5" customHeight="1" x14ac:dyDescent="0.3"/>
    <row r="103" spans="1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>
        <v>2</v>
      </c>
      <c r="C163" s="5"/>
      <c r="D163" s="5"/>
      <c r="E163" s="5"/>
      <c r="F163" s="70"/>
      <c r="G163" s="5"/>
      <c r="H163" s="5"/>
      <c r="I163" s="5"/>
      <c r="J163" s="5"/>
      <c r="K163" s="5"/>
      <c r="L163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8:B7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2:I72"/>
    <mergeCell ref="A73:B73"/>
    <mergeCell ref="D73:G73"/>
    <mergeCell ref="H73:J73"/>
    <mergeCell ref="K73:L73"/>
    <mergeCell ref="A88:B88"/>
    <mergeCell ref="A89:B89"/>
    <mergeCell ref="A79:B79"/>
    <mergeCell ref="A80:B80"/>
    <mergeCell ref="A81:B81"/>
    <mergeCell ref="A83:B83"/>
    <mergeCell ref="A84:B84"/>
    <mergeCell ref="A85:B85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L181"/>
  <sheetViews>
    <sheetView view="pageBreakPreview" topLeftCell="F79" zoomScale="85" zoomScaleSheetLayoutView="85" workbookViewId="0">
      <selection activeCell="L88" sqref="L88:L8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46161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9" si="0">(H7/1000*I7/1000)*J7</f>
        <v>0</v>
      </c>
      <c r="L7" s="26">
        <f>SUM(J7:J39)</f>
        <v>170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SUM(K7:K39)</f>
        <v>1107.229403</v>
      </c>
    </row>
    <row r="9" spans="1:12" s="27" customFormat="1" ht="19.5" customHeight="1" x14ac:dyDescent="0.3">
      <c r="A9" s="28" t="s">
        <v>3849</v>
      </c>
      <c r="B9" s="16" t="s">
        <v>132</v>
      </c>
      <c r="C9" s="17">
        <v>16</v>
      </c>
      <c r="D9" s="18" t="s">
        <v>199</v>
      </c>
      <c r="E9" s="41">
        <v>1</v>
      </c>
      <c r="F9" s="42">
        <v>1.1299999999999999</v>
      </c>
      <c r="G9" s="34"/>
      <c r="H9" s="35"/>
      <c r="I9" s="36"/>
      <c r="J9" s="37"/>
      <c r="K9" s="25">
        <f t="shared" si="0"/>
        <v>0</v>
      </c>
      <c r="L9" s="39" t="s">
        <v>31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>
        <f t="shared" si="0"/>
        <v>0</v>
      </c>
      <c r="L10" s="39"/>
    </row>
    <row r="11" spans="1:12" s="27" customFormat="1" ht="19.5" customHeight="1" x14ac:dyDescent="0.3">
      <c r="A11" s="28" t="s">
        <v>3850</v>
      </c>
      <c r="B11" s="16" t="s">
        <v>1436</v>
      </c>
      <c r="C11" s="17">
        <v>22</v>
      </c>
      <c r="D11" s="18" t="s">
        <v>17</v>
      </c>
      <c r="E11" s="41">
        <v>160</v>
      </c>
      <c r="F11" s="42">
        <v>161.6</v>
      </c>
      <c r="G11" s="34" t="s">
        <v>18</v>
      </c>
      <c r="H11" s="35">
        <v>1981</v>
      </c>
      <c r="I11" s="36">
        <v>3353</v>
      </c>
      <c r="J11" s="37">
        <v>14</v>
      </c>
      <c r="K11" s="25">
        <f t="shared" si="0"/>
        <v>92.992102000000003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18</v>
      </c>
      <c r="H12" s="35">
        <v>2134</v>
      </c>
      <c r="I12" s="36">
        <v>3048</v>
      </c>
      <c r="J12" s="37">
        <v>11</v>
      </c>
      <c r="K12" s="25">
        <f t="shared" si="0"/>
        <v>71.548751999999993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19</v>
      </c>
      <c r="H13" s="35">
        <v>1981</v>
      </c>
      <c r="I13" s="36">
        <v>3353</v>
      </c>
      <c r="J13" s="37">
        <v>14</v>
      </c>
      <c r="K13" s="25">
        <f t="shared" si="0"/>
        <v>92.992102000000003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19</v>
      </c>
      <c r="H14" s="35">
        <v>2134</v>
      </c>
      <c r="I14" s="36">
        <v>3048</v>
      </c>
      <c r="J14" s="37">
        <v>11</v>
      </c>
      <c r="K14" s="25">
        <f t="shared" si="0"/>
        <v>71.548751999999993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25">
        <f t="shared" si="0"/>
        <v>0</v>
      </c>
      <c r="L15" s="39"/>
    </row>
    <row r="16" spans="1:12" s="27" customFormat="1" ht="19.5" customHeight="1" x14ac:dyDescent="0.3">
      <c r="A16" s="28" t="s">
        <v>3594</v>
      </c>
      <c r="B16" s="16" t="s">
        <v>3590</v>
      </c>
      <c r="C16" s="17">
        <v>24</v>
      </c>
      <c r="D16" s="18" t="s">
        <v>55</v>
      </c>
      <c r="E16" s="41">
        <v>5</v>
      </c>
      <c r="F16" s="42">
        <v>1.84</v>
      </c>
      <c r="G16" s="34" t="s">
        <v>56</v>
      </c>
      <c r="H16" s="35">
        <v>1981</v>
      </c>
      <c r="I16" s="36">
        <v>3353</v>
      </c>
      <c r="J16" s="37">
        <v>1</v>
      </c>
      <c r="K16" s="25">
        <f t="shared" si="0"/>
        <v>6.6422930000000004</v>
      </c>
      <c r="L16" s="39" t="s">
        <v>3851</v>
      </c>
    </row>
    <row r="17" spans="1:12" s="27" customFormat="1" ht="19.5" customHeight="1" x14ac:dyDescent="0.3">
      <c r="A17" s="28" t="s">
        <v>3589</v>
      </c>
      <c r="B17" s="16" t="s">
        <v>3590</v>
      </c>
      <c r="C17" s="17">
        <v>24</v>
      </c>
      <c r="D17" s="18" t="s">
        <v>55</v>
      </c>
      <c r="E17" s="41">
        <v>4</v>
      </c>
      <c r="F17" s="42">
        <v>1.6</v>
      </c>
      <c r="G17" s="34"/>
      <c r="H17" s="35"/>
      <c r="I17" s="36"/>
      <c r="J17" s="37"/>
      <c r="K17" s="25">
        <f t="shared" si="0"/>
        <v>0</v>
      </c>
      <c r="L17" s="39" t="s">
        <v>3851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 t="s">
        <v>3846</v>
      </c>
      <c r="B19" s="16" t="s">
        <v>3749</v>
      </c>
      <c r="C19" s="17">
        <v>22</v>
      </c>
      <c r="D19" s="18" t="s">
        <v>320</v>
      </c>
      <c r="E19" s="41">
        <v>153</v>
      </c>
      <c r="F19" s="42">
        <v>130.13</v>
      </c>
      <c r="G19" s="34" t="s">
        <v>18</v>
      </c>
      <c r="H19" s="35">
        <v>1829</v>
      </c>
      <c r="I19" s="36">
        <v>3353</v>
      </c>
      <c r="J19" s="37">
        <v>23</v>
      </c>
      <c r="K19" s="25">
        <f t="shared" si="0"/>
        <v>141.05065099999999</v>
      </c>
      <c r="L19" s="39" t="s">
        <v>601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 t="s">
        <v>3852</v>
      </c>
      <c r="B21" s="16" t="s">
        <v>3749</v>
      </c>
      <c r="C21" s="17">
        <v>22</v>
      </c>
      <c r="D21" s="18" t="s">
        <v>320</v>
      </c>
      <c r="E21" s="41">
        <v>120</v>
      </c>
      <c r="F21" s="42">
        <v>94.72</v>
      </c>
      <c r="G21" s="34" t="s">
        <v>39</v>
      </c>
      <c r="H21" s="35">
        <v>1829</v>
      </c>
      <c r="I21" s="36">
        <v>3353</v>
      </c>
      <c r="J21" s="37">
        <v>16</v>
      </c>
      <c r="K21" s="25">
        <f t="shared" si="0"/>
        <v>98.122191999999998</v>
      </c>
      <c r="L21" s="39" t="s">
        <v>425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 t="s">
        <v>3853</v>
      </c>
      <c r="B23" s="16" t="s">
        <v>2662</v>
      </c>
      <c r="C23" s="17">
        <v>22</v>
      </c>
      <c r="D23" s="18" t="s">
        <v>146</v>
      </c>
      <c r="E23" s="41">
        <v>12</v>
      </c>
      <c r="F23" s="42">
        <v>28.32</v>
      </c>
      <c r="G23" s="34" t="s">
        <v>49</v>
      </c>
      <c r="H23" s="35">
        <v>1981</v>
      </c>
      <c r="I23" s="36">
        <v>3353</v>
      </c>
      <c r="J23" s="37">
        <v>20</v>
      </c>
      <c r="K23" s="25">
        <f t="shared" si="0"/>
        <v>132.84586000000002</v>
      </c>
      <c r="L23" s="39" t="s">
        <v>3856</v>
      </c>
    </row>
    <row r="24" spans="1:12" s="27" customFormat="1" ht="19.5" customHeight="1" x14ac:dyDescent="0.3">
      <c r="A24" s="28"/>
      <c r="B24" s="16"/>
      <c r="C24" s="17">
        <v>22</v>
      </c>
      <c r="D24" s="18" t="s">
        <v>665</v>
      </c>
      <c r="E24" s="41">
        <v>5</v>
      </c>
      <c r="F24" s="42">
        <v>16.149999999999999</v>
      </c>
      <c r="G24" s="34"/>
      <c r="H24" s="35"/>
      <c r="I24" s="36"/>
      <c r="J24" s="37"/>
      <c r="K24" s="25">
        <f t="shared" si="0"/>
        <v>0</v>
      </c>
      <c r="L24" s="39" t="s">
        <v>3856</v>
      </c>
    </row>
    <row r="25" spans="1:12" s="27" customFormat="1" ht="19.5" customHeight="1" x14ac:dyDescent="0.3">
      <c r="A25" s="28" t="s">
        <v>3854</v>
      </c>
      <c r="B25" s="16" t="s">
        <v>2662</v>
      </c>
      <c r="C25" s="17">
        <v>22</v>
      </c>
      <c r="D25" s="18" t="s">
        <v>146</v>
      </c>
      <c r="E25" s="41">
        <v>12</v>
      </c>
      <c r="F25" s="42">
        <v>28.32</v>
      </c>
      <c r="G25" s="34"/>
      <c r="H25" s="35"/>
      <c r="I25" s="36"/>
      <c r="J25" s="37"/>
      <c r="K25" s="25">
        <f t="shared" si="0"/>
        <v>0</v>
      </c>
      <c r="L25" s="39" t="s">
        <v>3856</v>
      </c>
    </row>
    <row r="26" spans="1:12" s="27" customFormat="1" ht="19.5" customHeight="1" x14ac:dyDescent="0.3">
      <c r="A26" s="28"/>
      <c r="B26" s="16"/>
      <c r="C26" s="17">
        <v>22</v>
      </c>
      <c r="D26" s="18" t="s">
        <v>665</v>
      </c>
      <c r="E26" s="41">
        <v>5</v>
      </c>
      <c r="F26" s="42">
        <v>16.149999999999999</v>
      </c>
      <c r="G26" s="34"/>
      <c r="H26" s="35"/>
      <c r="I26" s="36"/>
      <c r="J26" s="37"/>
      <c r="K26" s="25">
        <f t="shared" si="0"/>
        <v>0</v>
      </c>
      <c r="L26" s="39" t="s">
        <v>3856</v>
      </c>
    </row>
    <row r="27" spans="1:12" s="27" customFormat="1" ht="19.5" customHeight="1" x14ac:dyDescent="0.3">
      <c r="A27" s="28" t="s">
        <v>3855</v>
      </c>
      <c r="B27" s="16" t="s">
        <v>2662</v>
      </c>
      <c r="C27" s="17">
        <v>22</v>
      </c>
      <c r="D27" s="18" t="s">
        <v>146</v>
      </c>
      <c r="E27" s="41">
        <v>12</v>
      </c>
      <c r="F27" s="42">
        <v>28.32</v>
      </c>
      <c r="G27" s="34"/>
      <c r="H27" s="35"/>
      <c r="I27" s="36"/>
      <c r="J27" s="37"/>
      <c r="K27" s="25">
        <f t="shared" si="0"/>
        <v>0</v>
      </c>
      <c r="L27" s="39" t="s">
        <v>3856</v>
      </c>
    </row>
    <row r="28" spans="1:12" s="27" customFormat="1" ht="19.5" customHeight="1" x14ac:dyDescent="0.3">
      <c r="A28" s="28"/>
      <c r="B28" s="16"/>
      <c r="C28" s="17">
        <v>22</v>
      </c>
      <c r="D28" s="18" t="s">
        <v>665</v>
      </c>
      <c r="E28" s="41">
        <v>3</v>
      </c>
      <c r="F28" s="42">
        <v>9.69</v>
      </c>
      <c r="G28" s="34"/>
      <c r="H28" s="35"/>
      <c r="I28" s="36"/>
      <c r="J28" s="37"/>
      <c r="K28" s="25">
        <f t="shared" si="0"/>
        <v>0</v>
      </c>
      <c r="L28" s="39" t="s">
        <v>3856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 t="s">
        <v>57</v>
      </c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 t="s">
        <v>3860</v>
      </c>
      <c r="B31" s="16" t="s">
        <v>3861</v>
      </c>
      <c r="C31" s="17">
        <v>10</v>
      </c>
      <c r="D31" s="18" t="s">
        <v>3862</v>
      </c>
      <c r="E31" s="41">
        <v>40</v>
      </c>
      <c r="F31" s="42">
        <v>102.56</v>
      </c>
      <c r="G31" s="34" t="s">
        <v>3863</v>
      </c>
      <c r="H31" s="35">
        <v>2438</v>
      </c>
      <c r="I31" s="36">
        <v>3353</v>
      </c>
      <c r="J31" s="37">
        <v>9</v>
      </c>
      <c r="K31" s="25">
        <f t="shared" ref="K31:K37" si="1">(H31/1000*I31/1000)*J31</f>
        <v>73.571526000000006</v>
      </c>
      <c r="L31" s="39" t="s">
        <v>3865</v>
      </c>
    </row>
    <row r="32" spans="1:12" s="27" customFormat="1" ht="19.5" customHeight="1" x14ac:dyDescent="0.3">
      <c r="A32" s="28" t="s">
        <v>3864</v>
      </c>
      <c r="B32" s="16" t="s">
        <v>3861</v>
      </c>
      <c r="C32" s="17">
        <v>10</v>
      </c>
      <c r="D32" s="18" t="s">
        <v>3862</v>
      </c>
      <c r="E32" s="41">
        <v>82</v>
      </c>
      <c r="F32" s="42">
        <v>98.53</v>
      </c>
      <c r="G32" s="34" t="s">
        <v>3863</v>
      </c>
      <c r="H32" s="35">
        <v>2134</v>
      </c>
      <c r="I32" s="36">
        <v>3048</v>
      </c>
      <c r="J32" s="37">
        <v>34</v>
      </c>
      <c r="K32" s="25">
        <f t="shared" si="1"/>
        <v>221.15068799999997</v>
      </c>
      <c r="L32" s="39" t="s">
        <v>3865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1"/>
        <v>0</v>
      </c>
      <c r="L33" s="39"/>
    </row>
    <row r="34" spans="1:12" s="27" customFormat="1" ht="19.5" customHeight="1" x14ac:dyDescent="0.3">
      <c r="A34" s="28" t="s">
        <v>3866</v>
      </c>
      <c r="B34" s="16" t="s">
        <v>3867</v>
      </c>
      <c r="C34" s="17">
        <v>22</v>
      </c>
      <c r="D34" s="18" t="s">
        <v>3868</v>
      </c>
      <c r="E34" s="41">
        <v>120</v>
      </c>
      <c r="F34" s="42">
        <v>94.72</v>
      </c>
      <c r="G34" s="34" t="s">
        <v>3869</v>
      </c>
      <c r="H34" s="35">
        <v>1829</v>
      </c>
      <c r="I34" s="36">
        <v>3353</v>
      </c>
      <c r="J34" s="37">
        <v>16</v>
      </c>
      <c r="K34" s="25">
        <f t="shared" si="1"/>
        <v>98.122191999999998</v>
      </c>
      <c r="L34" s="39" t="s">
        <v>3870</v>
      </c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 t="s">
        <v>3869</v>
      </c>
      <c r="H35" s="35">
        <v>1981</v>
      </c>
      <c r="I35" s="36">
        <v>3353</v>
      </c>
      <c r="J35" s="37">
        <v>1</v>
      </c>
      <c r="K35" s="25">
        <f t="shared" si="1"/>
        <v>6.6422930000000004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1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1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/>
      <c r="B39" s="29"/>
      <c r="C39" s="30"/>
      <c r="D39" s="31"/>
      <c r="E39" s="41"/>
      <c r="F39" s="42"/>
      <c r="G39" s="43"/>
      <c r="H39" s="35"/>
      <c r="I39" s="36"/>
      <c r="J39" s="37"/>
      <c r="K39" s="38">
        <f t="shared" si="0"/>
        <v>0</v>
      </c>
      <c r="L39" s="39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3838</v>
      </c>
      <c r="B41" s="45" t="s">
        <v>2456</v>
      </c>
      <c r="C41" s="46">
        <v>43</v>
      </c>
      <c r="D41" s="47" t="s">
        <v>791</v>
      </c>
      <c r="E41" s="48">
        <v>69</v>
      </c>
      <c r="F41" s="49">
        <v>40.81</v>
      </c>
      <c r="G41" s="50" t="s">
        <v>170</v>
      </c>
      <c r="H41" s="51">
        <v>2438</v>
      </c>
      <c r="I41" s="45">
        <v>3353</v>
      </c>
      <c r="J41" s="52">
        <v>10</v>
      </c>
      <c r="K41" s="53">
        <f t="shared" si="0"/>
        <v>81.746139999999997</v>
      </c>
      <c r="L41" s="54" t="s">
        <v>106</v>
      </c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3857</v>
      </c>
      <c r="B43" s="45" t="s">
        <v>21</v>
      </c>
      <c r="C43" s="46">
        <v>24</v>
      </c>
      <c r="D43" s="47" t="s">
        <v>3818</v>
      </c>
      <c r="E43" s="48">
        <v>17</v>
      </c>
      <c r="F43" s="49">
        <v>6.74</v>
      </c>
      <c r="G43" s="50" t="s">
        <v>1594</v>
      </c>
      <c r="H43" s="51">
        <v>2438</v>
      </c>
      <c r="I43" s="45">
        <v>3353</v>
      </c>
      <c r="J43" s="52">
        <v>1</v>
      </c>
      <c r="K43" s="53">
        <f t="shared" si="0"/>
        <v>8.174614</v>
      </c>
      <c r="L43" s="54" t="s">
        <v>3858</v>
      </c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3819</v>
      </c>
      <c r="B45" s="45" t="s">
        <v>21</v>
      </c>
      <c r="C45" s="46">
        <v>24</v>
      </c>
      <c r="D45" s="47" t="s">
        <v>3818</v>
      </c>
      <c r="E45" s="48">
        <v>53</v>
      </c>
      <c r="F45" s="49">
        <v>20.399999999999999</v>
      </c>
      <c r="G45" s="50" t="s">
        <v>1594</v>
      </c>
      <c r="H45" s="51">
        <v>2438</v>
      </c>
      <c r="I45" s="45">
        <v>3353</v>
      </c>
      <c r="J45" s="52">
        <v>3</v>
      </c>
      <c r="K45" s="53">
        <f t="shared" si="0"/>
        <v>24.523842000000002</v>
      </c>
      <c r="L45" s="54" t="s">
        <v>3858</v>
      </c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3817</v>
      </c>
      <c r="B47" s="45" t="s">
        <v>21</v>
      </c>
      <c r="C47" s="46">
        <v>24</v>
      </c>
      <c r="D47" s="47" t="s">
        <v>3818</v>
      </c>
      <c r="E47" s="48">
        <v>51</v>
      </c>
      <c r="F47" s="49">
        <v>19.100000000000001</v>
      </c>
      <c r="G47" s="50" t="s">
        <v>1594</v>
      </c>
      <c r="H47" s="51">
        <v>2438</v>
      </c>
      <c r="I47" s="45">
        <v>3353</v>
      </c>
      <c r="J47" s="52">
        <v>3</v>
      </c>
      <c r="K47" s="53">
        <f t="shared" si="0"/>
        <v>24.523842000000002</v>
      </c>
      <c r="L47" s="54" t="s">
        <v>3858</v>
      </c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3820</v>
      </c>
      <c r="B49" s="45" t="s">
        <v>21</v>
      </c>
      <c r="C49" s="46">
        <v>24</v>
      </c>
      <c r="D49" s="47" t="s">
        <v>3818</v>
      </c>
      <c r="E49" s="48">
        <v>63</v>
      </c>
      <c r="F49" s="49">
        <v>84.17</v>
      </c>
      <c r="G49" s="50" t="s">
        <v>1594</v>
      </c>
      <c r="H49" s="51">
        <v>2438</v>
      </c>
      <c r="I49" s="45">
        <v>3048</v>
      </c>
      <c r="J49" s="52">
        <v>13</v>
      </c>
      <c r="K49" s="53">
        <f t="shared" si="0"/>
        <v>96.603312000000017</v>
      </c>
      <c r="L49" s="54" t="s">
        <v>3858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3839</v>
      </c>
      <c r="B51" s="45" t="s">
        <v>21</v>
      </c>
      <c r="C51" s="46">
        <v>24</v>
      </c>
      <c r="D51" s="47" t="s">
        <v>3818</v>
      </c>
      <c r="E51" s="48">
        <v>52</v>
      </c>
      <c r="F51" s="49">
        <v>105.62</v>
      </c>
      <c r="G51" s="50" t="s">
        <v>1594</v>
      </c>
      <c r="H51" s="51">
        <v>2438</v>
      </c>
      <c r="I51" s="45">
        <v>3048</v>
      </c>
      <c r="J51" s="52">
        <v>11</v>
      </c>
      <c r="K51" s="53">
        <f t="shared" si="0"/>
        <v>81.741264000000001</v>
      </c>
      <c r="L51" s="54" t="s">
        <v>3858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 t="s">
        <v>1594</v>
      </c>
      <c r="H52" s="51">
        <v>3048</v>
      </c>
      <c r="I52" s="45">
        <v>3658</v>
      </c>
      <c r="J52" s="52">
        <v>4</v>
      </c>
      <c r="K52" s="53">
        <f t="shared" si="0"/>
        <v>44.598336000000003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3837</v>
      </c>
      <c r="B54" s="45" t="s">
        <v>21</v>
      </c>
      <c r="C54" s="46">
        <v>24</v>
      </c>
      <c r="D54" s="47" t="s">
        <v>3818</v>
      </c>
      <c r="E54" s="48">
        <v>58</v>
      </c>
      <c r="F54" s="49">
        <v>101.56</v>
      </c>
      <c r="G54" s="50" t="s">
        <v>1594</v>
      </c>
      <c r="H54" s="51">
        <v>3048</v>
      </c>
      <c r="I54" s="45">
        <v>3658</v>
      </c>
      <c r="J54" s="52">
        <v>10</v>
      </c>
      <c r="K54" s="53">
        <f t="shared" si="0"/>
        <v>111.49584000000002</v>
      </c>
      <c r="L54" s="54" t="s">
        <v>3858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3840</v>
      </c>
      <c r="B56" s="45" t="s">
        <v>3843</v>
      </c>
      <c r="C56" s="46">
        <v>24</v>
      </c>
      <c r="D56" s="47" t="s">
        <v>3844</v>
      </c>
      <c r="E56" s="48">
        <v>30</v>
      </c>
      <c r="F56" s="49">
        <v>22.8</v>
      </c>
      <c r="G56" s="50" t="s">
        <v>1594</v>
      </c>
      <c r="H56" s="51">
        <v>3048</v>
      </c>
      <c r="I56" s="45">
        <v>3658</v>
      </c>
      <c r="J56" s="52">
        <v>4</v>
      </c>
      <c r="K56" s="53">
        <f t="shared" si="0"/>
        <v>44.598336000000003</v>
      </c>
      <c r="L56" s="54" t="s">
        <v>3859</v>
      </c>
    </row>
    <row r="57" spans="1:12" s="55" customFormat="1" ht="19.5" customHeight="1" x14ac:dyDescent="0.3">
      <c r="A57" s="44" t="s">
        <v>3841</v>
      </c>
      <c r="B57" s="45" t="s">
        <v>3843</v>
      </c>
      <c r="C57" s="46">
        <v>24</v>
      </c>
      <c r="D57" s="47" t="s">
        <v>3844</v>
      </c>
      <c r="E57" s="48">
        <v>12</v>
      </c>
      <c r="F57" s="49">
        <v>8.16</v>
      </c>
      <c r="G57" s="50" t="s">
        <v>1594</v>
      </c>
      <c r="H57" s="51">
        <v>1981</v>
      </c>
      <c r="I57" s="45">
        <v>3353</v>
      </c>
      <c r="J57" s="52">
        <v>1</v>
      </c>
      <c r="K57" s="53">
        <f t="shared" si="0"/>
        <v>6.6422930000000004</v>
      </c>
      <c r="L57" s="54" t="s">
        <v>3859</v>
      </c>
    </row>
    <row r="58" spans="1:12" s="55" customFormat="1" ht="19.5" customHeight="1" x14ac:dyDescent="0.3">
      <c r="A58" s="44" t="s">
        <v>3842</v>
      </c>
      <c r="B58" s="45" t="s">
        <v>3843</v>
      </c>
      <c r="C58" s="46">
        <v>24</v>
      </c>
      <c r="D58" s="47" t="s">
        <v>3844</v>
      </c>
      <c r="E58" s="48">
        <v>24</v>
      </c>
      <c r="F58" s="49">
        <v>16.32</v>
      </c>
      <c r="G58" s="50"/>
      <c r="H58" s="51"/>
      <c r="I58" s="45"/>
      <c r="J58" s="52"/>
      <c r="K58" s="53">
        <f t="shared" si="0"/>
        <v>0</v>
      </c>
      <c r="L58" s="54" t="s">
        <v>3859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57</v>
      </c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3871</v>
      </c>
      <c r="B61" s="45" t="s">
        <v>3872</v>
      </c>
      <c r="C61" s="46">
        <v>24</v>
      </c>
      <c r="D61" s="47" t="s">
        <v>3875</v>
      </c>
      <c r="E61" s="48">
        <v>20</v>
      </c>
      <c r="F61" s="49">
        <v>40.6</v>
      </c>
      <c r="G61" s="50" t="s">
        <v>3876</v>
      </c>
      <c r="H61" s="51">
        <v>2134</v>
      </c>
      <c r="I61" s="45">
        <v>3048</v>
      </c>
      <c r="J61" s="52">
        <v>31</v>
      </c>
      <c r="K61" s="53">
        <f t="shared" si="0"/>
        <v>201.63739199999998</v>
      </c>
      <c r="L61" s="54" t="s">
        <v>3877</v>
      </c>
    </row>
    <row r="62" spans="1:12" s="55" customFormat="1" ht="19.5" customHeight="1" x14ac:dyDescent="0.3">
      <c r="A62" s="44" t="s">
        <v>3873</v>
      </c>
      <c r="B62" s="45" t="s">
        <v>3872</v>
      </c>
      <c r="C62" s="46">
        <v>24</v>
      </c>
      <c r="D62" s="47" t="s">
        <v>3875</v>
      </c>
      <c r="E62" s="48">
        <v>52</v>
      </c>
      <c r="F62" s="49">
        <v>103.12</v>
      </c>
      <c r="G62" s="50"/>
      <c r="H62" s="51"/>
      <c r="I62" s="45"/>
      <c r="J62" s="52"/>
      <c r="K62" s="53">
        <f t="shared" ref="K62:K68" si="2">(H62/1000*I62/1000)*J62</f>
        <v>0</v>
      </c>
      <c r="L62" s="54" t="s">
        <v>3877</v>
      </c>
    </row>
    <row r="63" spans="1:12" s="55" customFormat="1" ht="19.5" customHeight="1" x14ac:dyDescent="0.3">
      <c r="A63" s="44" t="s">
        <v>3874</v>
      </c>
      <c r="B63" s="45" t="s">
        <v>3872</v>
      </c>
      <c r="C63" s="46">
        <v>24</v>
      </c>
      <c r="D63" s="47" t="s">
        <v>3875</v>
      </c>
      <c r="E63" s="48">
        <v>44</v>
      </c>
      <c r="F63" s="49">
        <v>13.56</v>
      </c>
      <c r="G63" s="50"/>
      <c r="H63" s="51"/>
      <c r="I63" s="45"/>
      <c r="J63" s="52"/>
      <c r="K63" s="53">
        <f t="shared" si="2"/>
        <v>0</v>
      </c>
      <c r="L63" s="54" t="s">
        <v>3877</v>
      </c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2"/>
        <v>0</v>
      </c>
      <c r="L64" s="54"/>
    </row>
    <row r="65" spans="1:12" s="55" customFormat="1" ht="19.5" customHeight="1" x14ac:dyDescent="0.3">
      <c r="A65" s="44" t="s">
        <v>3878</v>
      </c>
      <c r="B65" s="45" t="s">
        <v>3879</v>
      </c>
      <c r="C65" s="46">
        <v>24</v>
      </c>
      <c r="D65" s="47" t="s">
        <v>3880</v>
      </c>
      <c r="E65" s="48">
        <v>29</v>
      </c>
      <c r="F65" s="49">
        <v>9.3800000000000008</v>
      </c>
      <c r="G65" s="50" t="s">
        <v>3881</v>
      </c>
      <c r="H65" s="51">
        <v>2438</v>
      </c>
      <c r="I65" s="45">
        <v>3353</v>
      </c>
      <c r="J65" s="52">
        <v>1</v>
      </c>
      <c r="K65" s="53">
        <f t="shared" si="2"/>
        <v>8.174614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 t="s">
        <v>3876</v>
      </c>
      <c r="H66" s="51">
        <v>2438</v>
      </c>
      <c r="I66" s="45">
        <v>3353</v>
      </c>
      <c r="J66" s="52">
        <v>1</v>
      </c>
      <c r="K66" s="53">
        <f t="shared" si="2"/>
        <v>8.174614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2"/>
        <v>0</v>
      </c>
      <c r="L67" s="54"/>
    </row>
    <row r="68" spans="1:12" s="55" customFormat="1" ht="19.5" customHeight="1" x14ac:dyDescent="0.3">
      <c r="A68" s="44" t="s">
        <v>3882</v>
      </c>
      <c r="B68" s="45" t="s">
        <v>3883</v>
      </c>
      <c r="C68" s="46">
        <v>43</v>
      </c>
      <c r="D68" s="47" t="s">
        <v>3884</v>
      </c>
      <c r="E68" s="48">
        <v>1</v>
      </c>
      <c r="F68" s="49">
        <v>0.28000000000000003</v>
      </c>
      <c r="G68" s="50" t="s">
        <v>3886</v>
      </c>
      <c r="H68" s="51">
        <v>2134</v>
      </c>
      <c r="I68" s="45">
        <v>3353</v>
      </c>
      <c r="J68" s="52">
        <v>1</v>
      </c>
      <c r="K68" s="53">
        <f t="shared" si="2"/>
        <v>7.1553019999999998</v>
      </c>
      <c r="L68" s="54" t="s">
        <v>3887</v>
      </c>
    </row>
    <row r="69" spans="1:12" s="55" customFormat="1" ht="19.5" customHeight="1" x14ac:dyDescent="0.3">
      <c r="A69" s="44"/>
      <c r="B69" s="45"/>
      <c r="C69" s="46">
        <v>43</v>
      </c>
      <c r="D69" s="47" t="s">
        <v>3885</v>
      </c>
      <c r="E69" s="48">
        <v>1</v>
      </c>
      <c r="F69" s="49">
        <v>0.28000000000000003</v>
      </c>
      <c r="G69" s="50"/>
      <c r="H69" s="51"/>
      <c r="I69" s="45"/>
      <c r="J69" s="52"/>
      <c r="K69" s="53">
        <f t="shared" si="0"/>
        <v>0</v>
      </c>
      <c r="L69" s="54" t="s">
        <v>3888</v>
      </c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3889</v>
      </c>
      <c r="B71" s="45" t="s">
        <v>3890</v>
      </c>
      <c r="C71" s="46">
        <v>28</v>
      </c>
      <c r="D71" s="47" t="s">
        <v>3891</v>
      </c>
      <c r="E71" s="48">
        <v>1</v>
      </c>
      <c r="F71" s="49">
        <v>1.69</v>
      </c>
      <c r="G71" s="50"/>
      <c r="H71" s="51"/>
      <c r="I71" s="45"/>
      <c r="J71" s="52"/>
      <c r="K71" s="53">
        <f t="shared" ref="K71:K76" si="3">(H71/1000*I71/1000)*J71</f>
        <v>0</v>
      </c>
      <c r="L71" s="54" t="s">
        <v>3893</v>
      </c>
    </row>
    <row r="72" spans="1:12" s="55" customFormat="1" ht="19.5" customHeight="1" x14ac:dyDescent="0.3">
      <c r="A72" s="44"/>
      <c r="B72" s="45"/>
      <c r="C72" s="46">
        <v>28</v>
      </c>
      <c r="D72" s="47" t="s">
        <v>3892</v>
      </c>
      <c r="E72" s="48">
        <v>3</v>
      </c>
      <c r="F72" s="49">
        <v>6.99</v>
      </c>
      <c r="G72" s="50"/>
      <c r="H72" s="51"/>
      <c r="I72" s="45"/>
      <c r="J72" s="52"/>
      <c r="K72" s="53">
        <f t="shared" si="3"/>
        <v>0</v>
      </c>
      <c r="L72" s="54" t="s">
        <v>3894</v>
      </c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3"/>
        <v>0</v>
      </c>
      <c r="L73" s="54"/>
    </row>
    <row r="74" spans="1:12" s="55" customFormat="1" ht="19.5" customHeight="1" x14ac:dyDescent="0.3">
      <c r="A74" s="44" t="s">
        <v>3895</v>
      </c>
      <c r="B74" s="45" t="s">
        <v>3890</v>
      </c>
      <c r="C74" s="46">
        <v>28</v>
      </c>
      <c r="D74" s="47" t="s">
        <v>3892</v>
      </c>
      <c r="E74" s="48">
        <v>3</v>
      </c>
      <c r="F74" s="49">
        <v>6.11</v>
      </c>
      <c r="G74" s="50" t="s">
        <v>3896</v>
      </c>
      <c r="H74" s="51">
        <v>1829</v>
      </c>
      <c r="I74" s="45">
        <v>3353</v>
      </c>
      <c r="J74" s="52">
        <v>1</v>
      </c>
      <c r="K74" s="53">
        <f t="shared" si="3"/>
        <v>6.1326369999999999</v>
      </c>
      <c r="L74" s="54" t="s">
        <v>3897</v>
      </c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3"/>
        <v>0</v>
      </c>
      <c r="L75" s="54"/>
    </row>
    <row r="76" spans="1:12" s="55" customFormat="1" ht="19.5" customHeight="1" x14ac:dyDescent="0.3">
      <c r="A76" s="44" t="s">
        <v>3898</v>
      </c>
      <c r="B76" s="45" t="s">
        <v>3890</v>
      </c>
      <c r="C76" s="46">
        <v>28</v>
      </c>
      <c r="D76" s="47" t="s">
        <v>3892</v>
      </c>
      <c r="E76" s="48">
        <v>1</v>
      </c>
      <c r="F76" s="49">
        <v>2.13</v>
      </c>
      <c r="G76" s="50" t="s">
        <v>3899</v>
      </c>
      <c r="H76" s="51">
        <v>2438</v>
      </c>
      <c r="I76" s="45">
        <v>3353</v>
      </c>
      <c r="J76" s="52">
        <v>1</v>
      </c>
      <c r="K76" s="53">
        <f t="shared" si="3"/>
        <v>8.174614</v>
      </c>
      <c r="L76" s="54" t="s">
        <v>3900</v>
      </c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 t="s">
        <v>3901</v>
      </c>
      <c r="B78" s="45" t="s">
        <v>3902</v>
      </c>
      <c r="C78" s="46">
        <v>22</v>
      </c>
      <c r="D78" s="47" t="s">
        <v>3903</v>
      </c>
      <c r="E78" s="48">
        <v>1</v>
      </c>
      <c r="F78" s="49">
        <v>1.49</v>
      </c>
      <c r="G78" s="50"/>
      <c r="H78" s="51"/>
      <c r="I78" s="45"/>
      <c r="J78" s="52"/>
      <c r="K78" s="53">
        <f t="shared" si="0"/>
        <v>0</v>
      </c>
      <c r="L78" s="54" t="s">
        <v>3894</v>
      </c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 t="s">
        <v>3904</v>
      </c>
      <c r="B80" s="45" t="s">
        <v>3872</v>
      </c>
      <c r="C80" s="46">
        <v>22</v>
      </c>
      <c r="D80" s="47" t="s">
        <v>3875</v>
      </c>
      <c r="E80" s="48">
        <v>36</v>
      </c>
      <c r="F80" s="49">
        <v>73.08</v>
      </c>
      <c r="G80" s="50" t="s">
        <v>3876</v>
      </c>
      <c r="H80" s="51">
        <v>2134</v>
      </c>
      <c r="I80" s="45">
        <v>3048</v>
      </c>
      <c r="J80" s="52">
        <v>12</v>
      </c>
      <c r="K80" s="53">
        <f t="shared" ref="K80:K86" si="4">(H80/1000*I80/1000)*J80</f>
        <v>78.053183999999987</v>
      </c>
      <c r="L80" s="54" t="s">
        <v>3905</v>
      </c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4"/>
        <v>0</v>
      </c>
      <c r="L81" s="54"/>
    </row>
    <row r="82" spans="1:12" s="55" customFormat="1" ht="19.5" customHeight="1" x14ac:dyDescent="0.3">
      <c r="A82" s="44" t="s">
        <v>3906</v>
      </c>
      <c r="B82" s="45" t="s">
        <v>3907</v>
      </c>
      <c r="C82" s="46">
        <v>24</v>
      </c>
      <c r="D82" s="47" t="s">
        <v>3908</v>
      </c>
      <c r="E82" s="48">
        <f>2+2+1</f>
        <v>5</v>
      </c>
      <c r="F82" s="49">
        <v>2.84</v>
      </c>
      <c r="G82" s="50"/>
      <c r="H82" s="51"/>
      <c r="I82" s="45"/>
      <c r="J82" s="52"/>
      <c r="K82" s="53">
        <f t="shared" si="4"/>
        <v>0</v>
      </c>
      <c r="L82" s="54" t="s">
        <v>3893</v>
      </c>
    </row>
    <row r="83" spans="1:12" s="55" customFormat="1" ht="19.5" customHeight="1" x14ac:dyDescent="0.3">
      <c r="A83" s="44"/>
      <c r="B83" s="45"/>
      <c r="C83" s="46">
        <v>24</v>
      </c>
      <c r="D83" s="47" t="s">
        <v>3909</v>
      </c>
      <c r="E83" s="48">
        <v>2</v>
      </c>
      <c r="F83" s="49">
        <v>2.23</v>
      </c>
      <c r="G83" s="50"/>
      <c r="H83" s="51"/>
      <c r="I83" s="45"/>
      <c r="J83" s="52"/>
      <c r="K83" s="53">
        <f t="shared" si="4"/>
        <v>0</v>
      </c>
      <c r="L83" s="54" t="s">
        <v>3910</v>
      </c>
    </row>
    <row r="84" spans="1:12" s="55" customFormat="1" ht="19.5" customHeight="1" x14ac:dyDescent="0.3">
      <c r="A84" s="44"/>
      <c r="B84" s="45"/>
      <c r="C84" s="46"/>
      <c r="D84" s="47"/>
      <c r="E84" s="48"/>
      <c r="F84" s="49"/>
      <c r="G84" s="50"/>
      <c r="H84" s="51"/>
      <c r="I84" s="45"/>
      <c r="J84" s="52"/>
      <c r="K84" s="53">
        <f t="shared" si="4"/>
        <v>0</v>
      </c>
      <c r="L84" s="54"/>
    </row>
    <row r="85" spans="1:12" s="55" customFormat="1" ht="19.5" customHeight="1" x14ac:dyDescent="0.3">
      <c r="A85" s="44"/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si="4"/>
        <v>0</v>
      </c>
      <c r="L85" s="54"/>
    </row>
    <row r="86" spans="1:12" s="55" customFormat="1" ht="19.5" customHeight="1" x14ac:dyDescent="0.3">
      <c r="A86" s="44"/>
      <c r="B86" s="45"/>
      <c r="C86" s="46"/>
      <c r="D86" s="47"/>
      <c r="E86" s="48"/>
      <c r="F86" s="49"/>
      <c r="G86" s="50"/>
      <c r="H86" s="51"/>
      <c r="I86" s="45"/>
      <c r="J86" s="52"/>
      <c r="K86" s="53">
        <f t="shared" si="4"/>
        <v>0</v>
      </c>
      <c r="L86" s="54"/>
    </row>
    <row r="87" spans="1:12" s="55" customFormat="1" ht="19.5" customHeight="1" x14ac:dyDescent="0.3">
      <c r="A87" s="44"/>
      <c r="B87" s="45"/>
      <c r="C87" s="46"/>
      <c r="D87" s="47"/>
      <c r="E87" s="48"/>
      <c r="F87" s="49"/>
      <c r="G87" s="50"/>
      <c r="H87" s="51"/>
      <c r="I87" s="45"/>
      <c r="J87" s="52"/>
      <c r="K87" s="53">
        <f t="shared" si="0"/>
        <v>0</v>
      </c>
      <c r="L87" s="54"/>
    </row>
    <row r="88" spans="1:12" s="59" customFormat="1" ht="20.100000000000001" customHeight="1" x14ac:dyDescent="0.3">
      <c r="A88" s="44"/>
      <c r="B88" s="45"/>
      <c r="C88" s="46"/>
      <c r="D88" s="47"/>
      <c r="E88" s="56"/>
      <c r="F88" s="57"/>
      <c r="G88" s="50"/>
      <c r="H88" s="51"/>
      <c r="I88" s="45"/>
      <c r="J88" s="52"/>
      <c r="K88" s="53">
        <f t="shared" si="0"/>
        <v>0</v>
      </c>
      <c r="L88" s="58">
        <f>SUM(J40:J89)</f>
        <v>108</v>
      </c>
    </row>
    <row r="89" spans="1:12" s="59" customFormat="1" ht="20.100000000000001" customHeight="1" x14ac:dyDescent="0.3">
      <c r="A89" s="44"/>
      <c r="B89" s="45"/>
      <c r="C89" s="46"/>
      <c r="D89" s="47"/>
      <c r="E89" s="60"/>
      <c r="F89" s="61"/>
      <c r="G89" s="62"/>
      <c r="H89" s="51"/>
      <c r="I89" s="45"/>
      <c r="J89" s="63"/>
      <c r="K89" s="53">
        <f t="shared" si="0"/>
        <v>0</v>
      </c>
      <c r="L89" s="64">
        <f>SUM(K40:K89)</f>
        <v>842.1501760000001</v>
      </c>
    </row>
    <row r="90" spans="1:12" s="59" customFormat="1" ht="20.100000000000001" customHeight="1" thickBot="1" x14ac:dyDescent="0.35">
      <c r="A90" s="114"/>
      <c r="B90" s="115"/>
      <c r="C90" s="115"/>
      <c r="D90" s="115"/>
      <c r="E90" s="115"/>
      <c r="F90" s="115"/>
      <c r="G90" s="115"/>
      <c r="H90" s="115"/>
      <c r="I90" s="115"/>
      <c r="J90" s="65">
        <f>SUM(J7:J89)</f>
        <v>278</v>
      </c>
      <c r="K90" s="66">
        <f>SUM(K7:K89)</f>
        <v>1949.3795789999999</v>
      </c>
      <c r="L90" s="67"/>
    </row>
    <row r="91" spans="1:12" s="59" customFormat="1" ht="20.100000000000001" customHeight="1" thickTop="1" thickBot="1" x14ac:dyDescent="0.35">
      <c r="A91" s="116" t="s">
        <v>52</v>
      </c>
      <c r="B91" s="117"/>
      <c r="C91" s="68"/>
      <c r="D91" s="118">
        <f>J90</f>
        <v>278</v>
      </c>
      <c r="E91" s="119"/>
      <c r="F91" s="119"/>
      <c r="G91" s="120"/>
      <c r="H91" s="121"/>
      <c r="I91" s="121"/>
      <c r="J91" s="122"/>
      <c r="K91" s="119"/>
      <c r="L91" s="123"/>
    </row>
    <row r="92" spans="1:12" s="59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71"/>
    </row>
    <row r="93" spans="1:12" s="59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72"/>
      <c r="F97" s="5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113"/>
      <c r="B98" s="113"/>
      <c r="C98" s="5"/>
      <c r="D98" s="5"/>
      <c r="E98" s="5"/>
      <c r="F98" s="5"/>
      <c r="G98" s="73"/>
      <c r="H98" s="5"/>
      <c r="I98" s="74"/>
      <c r="J98" s="5"/>
      <c r="K98" s="5"/>
      <c r="L98" s="5"/>
    </row>
    <row r="99" spans="1:12" s="59" customFormat="1" ht="20.100000000000001" customHeight="1" x14ac:dyDescent="0.3">
      <c r="A99" s="113"/>
      <c r="B99" s="113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113"/>
      <c r="B101" s="113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59" customFormat="1" ht="20.100000000000001" customHeight="1" x14ac:dyDescent="0.3">
      <c r="A102" s="113"/>
      <c r="B102" s="113"/>
      <c r="C102" s="5"/>
      <c r="D102" s="5"/>
      <c r="E102" s="5"/>
      <c r="F102" s="70"/>
      <c r="G102" s="5"/>
      <c r="H102" s="72"/>
      <c r="I102" s="72"/>
      <c r="J102" s="5"/>
      <c r="K102" s="5"/>
      <c r="L102" s="5"/>
    </row>
    <row r="103" spans="1:12" ht="20.100000000000001" customHeight="1" x14ac:dyDescent="0.3">
      <c r="A103" s="113"/>
      <c r="B103" s="113"/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H105" s="72"/>
      <c r="I105" s="72"/>
    </row>
    <row r="106" spans="1:12" ht="20.100000000000001" customHeight="1" x14ac:dyDescent="0.3">
      <c r="A106" s="113"/>
      <c r="B106" s="113"/>
      <c r="H106" s="72"/>
      <c r="I106" s="72"/>
    </row>
    <row r="107" spans="1:12" ht="20.100000000000001" customHeight="1" x14ac:dyDescent="0.3">
      <c r="A107" s="113"/>
      <c r="B107" s="113"/>
      <c r="H107" s="72"/>
      <c r="I107" s="72"/>
    </row>
    <row r="108" spans="1:12" ht="20.100000000000001" customHeight="1" x14ac:dyDescent="0.3">
      <c r="H108" s="72"/>
      <c r="I108" s="72"/>
    </row>
    <row r="109" spans="1:12" ht="20.100000000000001" customHeight="1" x14ac:dyDescent="0.3">
      <c r="H109" s="72"/>
      <c r="I109" s="72"/>
    </row>
    <row r="110" spans="1:12" ht="20.100000000000001" customHeight="1" x14ac:dyDescent="0.3">
      <c r="H110" s="72"/>
      <c r="I110" s="72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J111" s="5"/>
      <c r="K111" s="5"/>
      <c r="L111" s="5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75" customFormat="1" ht="20.100000000000001" customHeight="1" x14ac:dyDescent="0.3">
      <c r="A113" s="69"/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75" customFormat="1" ht="20.100000000000001" customHeight="1" x14ac:dyDescent="0.3">
      <c r="A114" s="69"/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1:12" s="75" customFormat="1" ht="19.5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s="72" customFormat="1" ht="20.100000000000001" customHeight="1" x14ac:dyDescent="0.3">
      <c r="A116" s="69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s="72" customFormat="1" ht="20.100000000000001" customHeight="1" x14ac:dyDescent="0.3">
      <c r="A117" s="69"/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ht="19.5" customHeight="1" x14ac:dyDescent="0.3"/>
    <row r="119" spans="1:12" ht="19.5" customHeight="1" x14ac:dyDescent="0.3"/>
    <row r="120" spans="1:12" ht="19.5" customHeight="1" x14ac:dyDescent="0.3"/>
    <row r="121" spans="1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ht="19.5" customHeight="1" x14ac:dyDescent="0.3"/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>
        <v>2</v>
      </c>
      <c r="C181" s="5"/>
      <c r="D181" s="5"/>
      <c r="E181" s="5"/>
      <c r="F181" s="70"/>
      <c r="G181" s="5"/>
      <c r="H181" s="5"/>
      <c r="I181" s="5"/>
      <c r="J181" s="5"/>
      <c r="K181" s="5"/>
      <c r="L181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6:B9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90:I90"/>
    <mergeCell ref="A91:B91"/>
    <mergeCell ref="D91:G91"/>
    <mergeCell ref="H91:J91"/>
    <mergeCell ref="K91:L91"/>
    <mergeCell ref="A106:B106"/>
    <mergeCell ref="A107:B107"/>
    <mergeCell ref="A97:B97"/>
    <mergeCell ref="A98:B98"/>
    <mergeCell ref="A99:B99"/>
    <mergeCell ref="A101:B101"/>
    <mergeCell ref="A102:B102"/>
    <mergeCell ref="A103:B103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L158"/>
  <sheetViews>
    <sheetView view="pageBreakPreview" topLeftCell="A35" zoomScale="85" zoomScaleSheetLayoutView="85" workbookViewId="0">
      <selection activeCell="A35" sqref="A35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46160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6" si="0">(H7/1000*I7/1000)*J7</f>
        <v>0</v>
      </c>
      <c r="L7" s="26">
        <f>SUM(J7:J33)</f>
        <v>192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SUM(K7:K33)</f>
        <v>1176.993559</v>
      </c>
    </row>
    <row r="9" spans="1:12" s="27" customFormat="1" ht="19.5" customHeight="1" x14ac:dyDescent="0.3">
      <c r="A9" s="28" t="s">
        <v>3823</v>
      </c>
      <c r="B9" s="16" t="s">
        <v>2941</v>
      </c>
      <c r="C9" s="17">
        <v>24</v>
      </c>
      <c r="D9" s="18" t="s">
        <v>2648</v>
      </c>
      <c r="E9" s="41">
        <v>3</v>
      </c>
      <c r="F9" s="42">
        <v>1.87</v>
      </c>
      <c r="G9" s="34" t="s">
        <v>336</v>
      </c>
      <c r="H9" s="35">
        <v>1981</v>
      </c>
      <c r="I9" s="36">
        <v>3048</v>
      </c>
      <c r="J9" s="37">
        <v>2</v>
      </c>
      <c r="K9" s="25">
        <f t="shared" si="0"/>
        <v>12.076176000000002</v>
      </c>
      <c r="L9" s="39"/>
    </row>
    <row r="10" spans="1:12" s="27" customFormat="1" ht="19.5" customHeight="1" x14ac:dyDescent="0.3">
      <c r="A10" s="28"/>
      <c r="B10" s="16"/>
      <c r="C10" s="17">
        <v>24</v>
      </c>
      <c r="D10" s="18" t="s">
        <v>3824</v>
      </c>
      <c r="E10" s="41">
        <v>7</v>
      </c>
      <c r="F10" s="42">
        <v>11.27</v>
      </c>
      <c r="G10" s="34" t="s">
        <v>62</v>
      </c>
      <c r="H10" s="35">
        <v>1981</v>
      </c>
      <c r="I10" s="36">
        <v>3048</v>
      </c>
      <c r="J10" s="37">
        <v>3</v>
      </c>
      <c r="K10" s="25">
        <f t="shared" si="0"/>
        <v>18.114264000000002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3752</v>
      </c>
      <c r="B12" s="16" t="s">
        <v>306</v>
      </c>
      <c r="C12" s="17">
        <v>22</v>
      </c>
      <c r="D12" s="18" t="s">
        <v>307</v>
      </c>
      <c r="E12" s="41">
        <v>82</v>
      </c>
      <c r="F12" s="42">
        <v>70.86</v>
      </c>
      <c r="G12" s="34" t="s">
        <v>3825</v>
      </c>
      <c r="H12" s="35">
        <v>1829</v>
      </c>
      <c r="I12" s="36">
        <v>3353</v>
      </c>
      <c r="J12" s="37">
        <v>13</v>
      </c>
      <c r="K12" s="25">
        <f t="shared" si="0"/>
        <v>79.724281000000005</v>
      </c>
      <c r="L12" s="39" t="s">
        <v>465</v>
      </c>
    </row>
    <row r="13" spans="1:12" s="27" customFormat="1" ht="19.5" customHeight="1" x14ac:dyDescent="0.3">
      <c r="A13" s="28"/>
      <c r="B13" s="16"/>
      <c r="C13" s="17">
        <v>22</v>
      </c>
      <c r="D13" s="18" t="s">
        <v>320</v>
      </c>
      <c r="E13" s="41">
        <v>82</v>
      </c>
      <c r="F13" s="42">
        <v>70.86</v>
      </c>
      <c r="G13" s="34" t="s">
        <v>18</v>
      </c>
      <c r="H13" s="35">
        <v>1829</v>
      </c>
      <c r="I13" s="36">
        <v>3353</v>
      </c>
      <c r="J13" s="37">
        <v>13</v>
      </c>
      <c r="K13" s="25">
        <f t="shared" si="0"/>
        <v>79.724281000000005</v>
      </c>
      <c r="L13" s="39" t="s">
        <v>601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0"/>
        <v>0</v>
      </c>
      <c r="L14" s="39"/>
    </row>
    <row r="15" spans="1:12" s="27" customFormat="1" ht="19.5" customHeight="1" x14ac:dyDescent="0.3">
      <c r="A15" s="28" t="s">
        <v>3750</v>
      </c>
      <c r="B15" s="16" t="s">
        <v>3749</v>
      </c>
      <c r="C15" s="17">
        <v>22</v>
      </c>
      <c r="D15" s="18" t="s">
        <v>307</v>
      </c>
      <c r="E15" s="41">
        <v>105</v>
      </c>
      <c r="F15" s="42">
        <v>98.57</v>
      </c>
      <c r="G15" s="34" t="s">
        <v>49</v>
      </c>
      <c r="H15" s="35">
        <v>1829</v>
      </c>
      <c r="I15" s="36">
        <v>3353</v>
      </c>
      <c r="J15" s="37">
        <v>17</v>
      </c>
      <c r="K15" s="25">
        <f t="shared" si="0"/>
        <v>104.254829</v>
      </c>
      <c r="L15" s="39" t="s">
        <v>465</v>
      </c>
    </row>
    <row r="16" spans="1:12" s="27" customFormat="1" ht="19.5" customHeight="1" x14ac:dyDescent="0.3">
      <c r="A16" s="28"/>
      <c r="B16" s="16"/>
      <c r="C16" s="17">
        <v>22</v>
      </c>
      <c r="D16" s="18" t="s">
        <v>320</v>
      </c>
      <c r="E16" s="41">
        <v>105</v>
      </c>
      <c r="F16" s="42">
        <v>98.57</v>
      </c>
      <c r="G16" s="34" t="s">
        <v>18</v>
      </c>
      <c r="H16" s="35">
        <v>1829</v>
      </c>
      <c r="I16" s="36">
        <v>3353</v>
      </c>
      <c r="J16" s="37">
        <v>17</v>
      </c>
      <c r="K16" s="25">
        <f t="shared" si="0"/>
        <v>104.254829</v>
      </c>
      <c r="L16" s="39" t="s">
        <v>601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>
        <f t="shared" si="0"/>
        <v>0</v>
      </c>
      <c r="L17" s="39"/>
    </row>
    <row r="18" spans="1:12" s="27" customFormat="1" ht="19.5" customHeight="1" x14ac:dyDescent="0.3">
      <c r="A18" s="28" t="s">
        <v>3723</v>
      </c>
      <c r="B18" s="16" t="s">
        <v>353</v>
      </c>
      <c r="C18" s="17">
        <v>22</v>
      </c>
      <c r="D18" s="18" t="s">
        <v>307</v>
      </c>
      <c r="E18" s="41">
        <v>82</v>
      </c>
      <c r="F18" s="42">
        <v>70.86</v>
      </c>
      <c r="G18" s="34" t="s">
        <v>3825</v>
      </c>
      <c r="H18" s="35">
        <v>1829</v>
      </c>
      <c r="I18" s="36">
        <v>3353</v>
      </c>
      <c r="J18" s="37">
        <v>12</v>
      </c>
      <c r="K18" s="25">
        <f t="shared" si="0"/>
        <v>73.591644000000002</v>
      </c>
      <c r="L18" s="39" t="s">
        <v>465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0"/>
        <v>0</v>
      </c>
      <c r="L19" s="39"/>
    </row>
    <row r="20" spans="1:12" s="27" customFormat="1" ht="19.5" customHeight="1" x14ac:dyDescent="0.3">
      <c r="A20" s="28" t="s">
        <v>3722</v>
      </c>
      <c r="B20" s="16" t="s">
        <v>353</v>
      </c>
      <c r="C20" s="17">
        <v>22</v>
      </c>
      <c r="D20" s="18" t="s">
        <v>307</v>
      </c>
      <c r="E20" s="41">
        <v>77</v>
      </c>
      <c r="F20" s="42">
        <v>75.569999999999993</v>
      </c>
      <c r="G20" s="34" t="s">
        <v>3825</v>
      </c>
      <c r="H20" s="35">
        <v>1829</v>
      </c>
      <c r="I20" s="36">
        <v>3353</v>
      </c>
      <c r="J20" s="37">
        <v>14</v>
      </c>
      <c r="K20" s="25">
        <f t="shared" si="0"/>
        <v>85.856917999999993</v>
      </c>
      <c r="L20" s="39" t="s">
        <v>465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 t="s">
        <v>3758</v>
      </c>
      <c r="B22" s="16" t="s">
        <v>3749</v>
      </c>
      <c r="C22" s="17">
        <v>22</v>
      </c>
      <c r="D22" s="18" t="s">
        <v>307</v>
      </c>
      <c r="E22" s="41">
        <v>115</v>
      </c>
      <c r="F22" s="42">
        <v>95.4</v>
      </c>
      <c r="G22" s="34" t="s">
        <v>3825</v>
      </c>
      <c r="H22" s="35">
        <v>1829</v>
      </c>
      <c r="I22" s="36">
        <v>3353</v>
      </c>
      <c r="J22" s="37">
        <v>16</v>
      </c>
      <c r="K22" s="25">
        <f t="shared" si="0"/>
        <v>98.122191999999998</v>
      </c>
      <c r="L22" s="39" t="s">
        <v>465</v>
      </c>
    </row>
    <row r="23" spans="1:12" s="27" customFormat="1" ht="19.5" customHeight="1" x14ac:dyDescent="0.3">
      <c r="A23" s="28"/>
      <c r="B23" s="16"/>
      <c r="C23" s="17">
        <v>22</v>
      </c>
      <c r="D23" s="18" t="s">
        <v>320</v>
      </c>
      <c r="E23" s="41">
        <v>115</v>
      </c>
      <c r="F23" s="42">
        <v>95.4</v>
      </c>
      <c r="G23" s="34" t="s">
        <v>18</v>
      </c>
      <c r="H23" s="35">
        <v>1829</v>
      </c>
      <c r="I23" s="36">
        <v>3353</v>
      </c>
      <c r="J23" s="37">
        <v>16</v>
      </c>
      <c r="K23" s="25">
        <f t="shared" si="0"/>
        <v>98.122191999999998</v>
      </c>
      <c r="L23" s="39" t="s">
        <v>601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 t="s">
        <v>57</v>
      </c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 t="s">
        <v>3846</v>
      </c>
      <c r="B26" s="16" t="s">
        <v>3749</v>
      </c>
      <c r="C26" s="17">
        <v>22</v>
      </c>
      <c r="D26" s="18" t="s">
        <v>307</v>
      </c>
      <c r="E26" s="41">
        <v>153</v>
      </c>
      <c r="F26" s="42">
        <v>130.13</v>
      </c>
      <c r="G26" s="34" t="s">
        <v>3825</v>
      </c>
      <c r="H26" s="35">
        <v>1829</v>
      </c>
      <c r="I26" s="36">
        <v>3353</v>
      </c>
      <c r="J26" s="37">
        <v>23</v>
      </c>
      <c r="K26" s="25">
        <f t="shared" si="0"/>
        <v>141.05065099999999</v>
      </c>
      <c r="L26" s="39" t="s">
        <v>3847</v>
      </c>
    </row>
    <row r="27" spans="1:12" s="27" customFormat="1" ht="19.5" customHeight="1" x14ac:dyDescent="0.3">
      <c r="A27" s="28"/>
      <c r="B27" s="16"/>
      <c r="C27" s="17">
        <v>22</v>
      </c>
      <c r="D27" s="18" t="s">
        <v>320</v>
      </c>
      <c r="E27" s="41">
        <v>153</v>
      </c>
      <c r="F27" s="42">
        <v>130.13</v>
      </c>
      <c r="G27" s="34" t="s">
        <v>3848</v>
      </c>
      <c r="H27" s="35">
        <v>1829</v>
      </c>
      <c r="I27" s="36">
        <v>3353</v>
      </c>
      <c r="J27" s="37">
        <v>46</v>
      </c>
      <c r="K27" s="25">
        <f t="shared" si="0"/>
        <v>282.10130199999998</v>
      </c>
      <c r="L27" s="39" t="s">
        <v>425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29"/>
      <c r="C33" s="30"/>
      <c r="D33" s="31"/>
      <c r="E33" s="41"/>
      <c r="F33" s="42"/>
      <c r="G33" s="43"/>
      <c r="H33" s="35"/>
      <c r="I33" s="36"/>
      <c r="J33" s="37"/>
      <c r="K33" s="38">
        <f t="shared" si="0"/>
        <v>0</v>
      </c>
      <c r="L33" s="39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3726</v>
      </c>
      <c r="B35" s="45" t="s">
        <v>363</v>
      </c>
      <c r="C35" s="46">
        <v>43</v>
      </c>
      <c r="D35" s="47" t="s">
        <v>2802</v>
      </c>
      <c r="E35" s="48">
        <f>1+1+1+1+1+1+1+1+1+1+1+1</f>
        <v>12</v>
      </c>
      <c r="F35" s="49">
        <f>0.52+0.51+0.51+0.61+0.28+0.31+3.15+0.31+0.32+0.66+0.52+1.92</f>
        <v>9.6199999999999992</v>
      </c>
      <c r="G35" s="50" t="s">
        <v>18</v>
      </c>
      <c r="H35" s="51">
        <v>1981</v>
      </c>
      <c r="I35" s="45">
        <v>3353</v>
      </c>
      <c r="J35" s="52">
        <v>2</v>
      </c>
      <c r="K35" s="53">
        <f t="shared" si="0"/>
        <v>13.284586000000001</v>
      </c>
      <c r="L35" s="54" t="s">
        <v>238</v>
      </c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 t="s">
        <v>421</v>
      </c>
      <c r="H36" s="51">
        <v>2134</v>
      </c>
      <c r="I36" s="45">
        <v>3353</v>
      </c>
      <c r="J36" s="52">
        <v>1</v>
      </c>
      <c r="K36" s="53">
        <f t="shared" si="0"/>
        <v>7.1553019999999998</v>
      </c>
      <c r="L36" s="54"/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3826</v>
      </c>
      <c r="B38" s="45" t="s">
        <v>3827</v>
      </c>
      <c r="C38" s="46">
        <v>24</v>
      </c>
      <c r="D38" s="47" t="s">
        <v>3828</v>
      </c>
      <c r="E38" s="48">
        <v>25</v>
      </c>
      <c r="F38" s="49">
        <v>36.28</v>
      </c>
      <c r="G38" s="50" t="s">
        <v>18</v>
      </c>
      <c r="H38" s="51">
        <v>2590</v>
      </c>
      <c r="I38" s="45">
        <v>3353</v>
      </c>
      <c r="J38" s="52">
        <v>8</v>
      </c>
      <c r="K38" s="53">
        <f t="shared" si="0"/>
        <v>69.474159999999983</v>
      </c>
      <c r="L38" s="54" t="s">
        <v>3830</v>
      </c>
    </row>
    <row r="39" spans="1:12" s="55" customFormat="1" ht="19.5" customHeight="1" x14ac:dyDescent="0.3">
      <c r="A39" s="44" t="s">
        <v>3829</v>
      </c>
      <c r="B39" s="45" t="s">
        <v>3827</v>
      </c>
      <c r="C39" s="46">
        <v>24</v>
      </c>
      <c r="D39" s="47" t="s">
        <v>3828</v>
      </c>
      <c r="E39" s="48">
        <v>25</v>
      </c>
      <c r="F39" s="49">
        <v>27.26</v>
      </c>
      <c r="G39" s="50" t="s">
        <v>39</v>
      </c>
      <c r="H39" s="51">
        <v>1829</v>
      </c>
      <c r="I39" s="45">
        <v>3353</v>
      </c>
      <c r="J39" s="52">
        <v>8</v>
      </c>
      <c r="K39" s="53">
        <f t="shared" si="0"/>
        <v>49.061095999999999</v>
      </c>
      <c r="L39" s="54" t="s">
        <v>3830</v>
      </c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 t="s">
        <v>39</v>
      </c>
      <c r="H40" s="51">
        <v>1981</v>
      </c>
      <c r="I40" s="45">
        <v>3353</v>
      </c>
      <c r="J40" s="52">
        <v>4</v>
      </c>
      <c r="K40" s="53">
        <f t="shared" si="0"/>
        <v>26.569172000000002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3831</v>
      </c>
      <c r="B42" s="45" t="s">
        <v>3827</v>
      </c>
      <c r="C42" s="46">
        <v>43</v>
      </c>
      <c r="D42" s="47" t="s">
        <v>3832</v>
      </c>
      <c r="E42" s="48">
        <v>20</v>
      </c>
      <c r="F42" s="49">
        <v>46.09</v>
      </c>
      <c r="G42" s="50" t="s">
        <v>56</v>
      </c>
      <c r="H42" s="51">
        <v>2438</v>
      </c>
      <c r="I42" s="45">
        <v>3353</v>
      </c>
      <c r="J42" s="52">
        <v>7</v>
      </c>
      <c r="K42" s="53">
        <f t="shared" si="0"/>
        <v>57.222298000000002</v>
      </c>
      <c r="L42" s="54" t="s">
        <v>3833</v>
      </c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3834</v>
      </c>
      <c r="B44" s="45" t="s">
        <v>3827</v>
      </c>
      <c r="C44" s="46">
        <v>43</v>
      </c>
      <c r="D44" s="47" t="s">
        <v>3832</v>
      </c>
      <c r="E44" s="48">
        <v>14</v>
      </c>
      <c r="F44" s="49">
        <v>43.12</v>
      </c>
      <c r="G44" s="50" t="s">
        <v>56</v>
      </c>
      <c r="H44" s="51">
        <v>2438</v>
      </c>
      <c r="I44" s="45">
        <v>3353</v>
      </c>
      <c r="J44" s="52">
        <v>15</v>
      </c>
      <c r="K44" s="53">
        <f t="shared" si="0"/>
        <v>122.61921</v>
      </c>
      <c r="L44" s="54" t="s">
        <v>3836</v>
      </c>
    </row>
    <row r="45" spans="1:12" s="55" customFormat="1" ht="19.5" customHeight="1" x14ac:dyDescent="0.3">
      <c r="A45" s="44" t="s">
        <v>3835</v>
      </c>
      <c r="B45" s="45" t="s">
        <v>3827</v>
      </c>
      <c r="C45" s="46">
        <v>43</v>
      </c>
      <c r="D45" s="47" t="s">
        <v>3832</v>
      </c>
      <c r="E45" s="48">
        <v>22</v>
      </c>
      <c r="F45" s="49">
        <v>51.56</v>
      </c>
      <c r="G45" s="50"/>
      <c r="H45" s="51"/>
      <c r="I45" s="45"/>
      <c r="J45" s="52"/>
      <c r="K45" s="53">
        <f t="shared" si="0"/>
        <v>0</v>
      </c>
      <c r="L45" s="54" t="s">
        <v>3836</v>
      </c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2659</v>
      </c>
      <c r="B47" s="45" t="s">
        <v>145</v>
      </c>
      <c r="C47" s="46">
        <v>24</v>
      </c>
      <c r="D47" s="47" t="s">
        <v>146</v>
      </c>
      <c r="E47" s="48">
        <v>4</v>
      </c>
      <c r="F47" s="49">
        <v>12.56</v>
      </c>
      <c r="G47" s="50" t="s">
        <v>49</v>
      </c>
      <c r="H47" s="51">
        <v>1981</v>
      </c>
      <c r="I47" s="45">
        <v>3353</v>
      </c>
      <c r="J47" s="52">
        <v>2</v>
      </c>
      <c r="K47" s="53">
        <f t="shared" si="0"/>
        <v>13.284586000000001</v>
      </c>
      <c r="L47" s="54" t="s">
        <v>1415</v>
      </c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3837</v>
      </c>
      <c r="B49" s="45" t="s">
        <v>21</v>
      </c>
      <c r="C49" s="46">
        <v>24</v>
      </c>
      <c r="D49" s="47" t="s">
        <v>3818</v>
      </c>
      <c r="E49" s="48">
        <v>58</v>
      </c>
      <c r="F49" s="49">
        <v>101.56</v>
      </c>
      <c r="G49" s="50" t="s">
        <v>189</v>
      </c>
      <c r="H49" s="51">
        <v>3048</v>
      </c>
      <c r="I49" s="45">
        <v>3658</v>
      </c>
      <c r="J49" s="52">
        <v>10</v>
      </c>
      <c r="K49" s="53">
        <f t="shared" si="0"/>
        <v>111.49584000000002</v>
      </c>
      <c r="L49" s="54" t="s">
        <v>100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3838</v>
      </c>
      <c r="B51" s="45" t="s">
        <v>2456</v>
      </c>
      <c r="C51" s="46">
        <v>43</v>
      </c>
      <c r="D51" s="47" t="s">
        <v>791</v>
      </c>
      <c r="E51" s="48">
        <v>69</v>
      </c>
      <c r="F51" s="49">
        <v>40.81</v>
      </c>
      <c r="G51" s="50" t="s">
        <v>49</v>
      </c>
      <c r="H51" s="51">
        <v>1981</v>
      </c>
      <c r="I51" s="45">
        <v>3353</v>
      </c>
      <c r="J51" s="52">
        <v>7</v>
      </c>
      <c r="K51" s="53">
        <f t="shared" si="0"/>
        <v>46.496051000000001</v>
      </c>
      <c r="L51" s="54" t="s">
        <v>202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3839</v>
      </c>
      <c r="B53" s="45" t="s">
        <v>21</v>
      </c>
      <c r="C53" s="46">
        <v>24</v>
      </c>
      <c r="D53" s="47" t="s">
        <v>3818</v>
      </c>
      <c r="E53" s="48">
        <v>52</v>
      </c>
      <c r="F53" s="49">
        <v>105.62</v>
      </c>
      <c r="G53" s="50" t="s">
        <v>189</v>
      </c>
      <c r="H53" s="51">
        <v>3048</v>
      </c>
      <c r="I53" s="45">
        <v>3658</v>
      </c>
      <c r="J53" s="52">
        <v>4</v>
      </c>
      <c r="K53" s="53">
        <f t="shared" si="0"/>
        <v>44.598336000000003</v>
      </c>
      <c r="L53" s="54" t="s">
        <v>100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 t="s">
        <v>189</v>
      </c>
      <c r="H54" s="51">
        <v>2438</v>
      </c>
      <c r="I54" s="45">
        <v>3048</v>
      </c>
      <c r="J54" s="52">
        <v>11</v>
      </c>
      <c r="K54" s="53">
        <f t="shared" si="0"/>
        <v>81.741264000000001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3840</v>
      </c>
      <c r="B56" s="45" t="s">
        <v>3843</v>
      </c>
      <c r="C56" s="46">
        <v>24</v>
      </c>
      <c r="D56" s="47" t="s">
        <v>3844</v>
      </c>
      <c r="E56" s="48">
        <v>30</v>
      </c>
      <c r="F56" s="49">
        <v>22.8</v>
      </c>
      <c r="G56" s="50" t="s">
        <v>134</v>
      </c>
      <c r="H56" s="51">
        <v>1981</v>
      </c>
      <c r="I56" s="45">
        <v>3353</v>
      </c>
      <c r="J56" s="52">
        <v>7</v>
      </c>
      <c r="K56" s="53">
        <f t="shared" si="0"/>
        <v>46.496051000000001</v>
      </c>
      <c r="L56" s="54" t="s">
        <v>3845</v>
      </c>
    </row>
    <row r="57" spans="1:12" s="55" customFormat="1" ht="19.5" customHeight="1" x14ac:dyDescent="0.3">
      <c r="A57" s="44" t="s">
        <v>3841</v>
      </c>
      <c r="B57" s="45" t="s">
        <v>3843</v>
      </c>
      <c r="C57" s="46">
        <v>24</v>
      </c>
      <c r="D57" s="47" t="s">
        <v>3844</v>
      </c>
      <c r="E57" s="48">
        <v>12</v>
      </c>
      <c r="F57" s="49">
        <v>8.16</v>
      </c>
      <c r="G57" s="50" t="s">
        <v>134</v>
      </c>
      <c r="H57" s="51">
        <v>2438</v>
      </c>
      <c r="I57" s="45">
        <v>3353</v>
      </c>
      <c r="J57" s="52">
        <v>1</v>
      </c>
      <c r="K57" s="53">
        <f t="shared" si="0"/>
        <v>8.174614</v>
      </c>
      <c r="L57" s="54" t="s">
        <v>3845</v>
      </c>
    </row>
    <row r="58" spans="1:12" s="55" customFormat="1" ht="19.5" customHeight="1" x14ac:dyDescent="0.3">
      <c r="A58" s="44" t="s">
        <v>3842</v>
      </c>
      <c r="B58" s="45" t="s">
        <v>3843</v>
      </c>
      <c r="C58" s="46">
        <v>24</v>
      </c>
      <c r="D58" s="47" t="s">
        <v>3844</v>
      </c>
      <c r="E58" s="48">
        <v>24</v>
      </c>
      <c r="F58" s="49">
        <v>16.32</v>
      </c>
      <c r="G58" s="50"/>
      <c r="H58" s="51"/>
      <c r="I58" s="45"/>
      <c r="J58" s="52"/>
      <c r="K58" s="53">
        <f t="shared" si="0"/>
        <v>0</v>
      </c>
      <c r="L58" s="54" t="s">
        <v>3845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9" customFormat="1" ht="20.100000000000001" customHeight="1" x14ac:dyDescent="0.3">
      <c r="A65" s="44"/>
      <c r="B65" s="45"/>
      <c r="C65" s="46"/>
      <c r="D65" s="47"/>
      <c r="E65" s="56"/>
      <c r="F65" s="57"/>
      <c r="G65" s="50"/>
      <c r="H65" s="51"/>
      <c r="I65" s="45"/>
      <c r="J65" s="52"/>
      <c r="K65" s="53">
        <f t="shared" si="0"/>
        <v>0</v>
      </c>
      <c r="L65" s="58">
        <f>SUM(J34:J66)</f>
        <v>87</v>
      </c>
    </row>
    <row r="66" spans="1:12" s="59" customFormat="1" ht="20.100000000000001" customHeight="1" x14ac:dyDescent="0.3">
      <c r="A66" s="44"/>
      <c r="B66" s="45"/>
      <c r="C66" s="46"/>
      <c r="D66" s="47"/>
      <c r="E66" s="60"/>
      <c r="F66" s="61"/>
      <c r="G66" s="62"/>
      <c r="H66" s="51"/>
      <c r="I66" s="45"/>
      <c r="J66" s="63"/>
      <c r="K66" s="53">
        <f t="shared" si="0"/>
        <v>0</v>
      </c>
      <c r="L66" s="64">
        <f>SUM(K34:K66)</f>
        <v>697.67256599999996</v>
      </c>
    </row>
    <row r="67" spans="1:12" s="59" customFormat="1" ht="20.100000000000001" customHeight="1" thickBot="1" x14ac:dyDescent="0.35">
      <c r="A67" s="114"/>
      <c r="B67" s="115"/>
      <c r="C67" s="115"/>
      <c r="D67" s="115"/>
      <c r="E67" s="115"/>
      <c r="F67" s="115"/>
      <c r="G67" s="115"/>
      <c r="H67" s="115"/>
      <c r="I67" s="115"/>
      <c r="J67" s="65">
        <f>SUM(J7:J66)</f>
        <v>279</v>
      </c>
      <c r="K67" s="66">
        <f>SUM(K7:K66)</f>
        <v>1874.666125</v>
      </c>
      <c r="L67" s="67"/>
    </row>
    <row r="68" spans="1:12" s="59" customFormat="1" ht="20.100000000000001" customHeight="1" thickTop="1" thickBot="1" x14ac:dyDescent="0.35">
      <c r="A68" s="116" t="s">
        <v>52</v>
      </c>
      <c r="B68" s="117"/>
      <c r="C68" s="68"/>
      <c r="D68" s="118">
        <f>J67</f>
        <v>279</v>
      </c>
      <c r="E68" s="119"/>
      <c r="F68" s="119"/>
      <c r="G68" s="120"/>
      <c r="H68" s="121"/>
      <c r="I68" s="121"/>
      <c r="J68" s="122"/>
      <c r="K68" s="119"/>
      <c r="L68" s="123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71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72"/>
      <c r="F74" s="5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5"/>
      <c r="G75" s="73"/>
      <c r="H75" s="5"/>
      <c r="I75" s="74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72"/>
      <c r="I79" s="72"/>
      <c r="J79" s="5"/>
      <c r="K79" s="5"/>
      <c r="L79" s="5"/>
    </row>
    <row r="80" spans="1:12" ht="20.100000000000001" customHeight="1" x14ac:dyDescent="0.3">
      <c r="A80" s="113"/>
      <c r="B80" s="113"/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A83" s="113"/>
      <c r="B83" s="113"/>
      <c r="H83" s="72"/>
      <c r="I83" s="72"/>
    </row>
    <row r="84" spans="1:12" ht="20.100000000000001" customHeight="1" x14ac:dyDescent="0.3">
      <c r="A84" s="113"/>
      <c r="B84" s="113"/>
      <c r="H84" s="72"/>
      <c r="I84" s="72"/>
    </row>
    <row r="85" spans="1:12" ht="20.100000000000001" customHeight="1" x14ac:dyDescent="0.3"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s="72" customFormat="1" ht="20.100000000000001" customHeight="1" x14ac:dyDescent="0.3">
      <c r="A88" s="69"/>
      <c r="B88" s="5"/>
      <c r="C88" s="5"/>
      <c r="D88" s="5"/>
      <c r="E88" s="5"/>
      <c r="F88" s="70"/>
      <c r="G88" s="5"/>
      <c r="J88" s="5"/>
      <c r="K88" s="5"/>
      <c r="L88" s="5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5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5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19.5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ht="19.5" customHeight="1" x14ac:dyDescent="0.3"/>
    <row r="96" spans="1:12" ht="19.5" customHeight="1" x14ac:dyDescent="0.3"/>
    <row r="97" spans="2:12" ht="19.5" customHeight="1" x14ac:dyDescent="0.3"/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>
        <v>2</v>
      </c>
      <c r="C158" s="5"/>
      <c r="D158" s="5"/>
      <c r="E158" s="5"/>
      <c r="F158" s="70"/>
      <c r="G158" s="5"/>
      <c r="H158" s="5"/>
      <c r="I158" s="5"/>
      <c r="J158" s="5"/>
      <c r="K158" s="5"/>
      <c r="L158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3:B73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7:I67"/>
    <mergeCell ref="A68:B68"/>
    <mergeCell ref="D68:G68"/>
    <mergeCell ref="H68:J68"/>
    <mergeCell ref="K68:L68"/>
    <mergeCell ref="A83:B83"/>
    <mergeCell ref="A84:B84"/>
    <mergeCell ref="A74:B74"/>
    <mergeCell ref="A75:B75"/>
    <mergeCell ref="A76:B76"/>
    <mergeCell ref="A78:B78"/>
    <mergeCell ref="A79:B79"/>
    <mergeCell ref="A80:B80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L175"/>
  <sheetViews>
    <sheetView view="pageBreakPreview" topLeftCell="F64" zoomScale="85" zoomScaleSheetLayoutView="85" workbookViewId="0">
      <selection activeCell="L82" sqref="L82:L8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46158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3" si="0">(H7/1000*I7/1000)*J7</f>
        <v>0</v>
      </c>
      <c r="L7" s="26">
        <f>SUM(J7:J50)</f>
        <v>0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SUM(K7:K50)</f>
        <v>0</v>
      </c>
    </row>
    <row r="9" spans="1:12" s="27" customFormat="1" ht="19.5" customHeight="1" x14ac:dyDescent="0.3">
      <c r="A9" s="28"/>
      <c r="B9" s="16"/>
      <c r="C9" s="17"/>
      <c r="D9" s="18"/>
      <c r="E9" s="41"/>
      <c r="F9" s="42"/>
      <c r="G9" s="34"/>
      <c r="H9" s="35"/>
      <c r="I9" s="36"/>
      <c r="J9" s="37"/>
      <c r="K9" s="25">
        <f t="shared" si="0"/>
        <v>0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>
        <f t="shared" si="0"/>
        <v>0</v>
      </c>
      <c r="L10" s="39" t="s">
        <v>3809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 t="s">
        <v>3810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0"/>
        <v>0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25">
        <f t="shared" si="0"/>
        <v>0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/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>
        <f t="shared" si="0"/>
        <v>0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/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/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/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0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0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0"/>
        <v>0</v>
      </c>
      <c r="L44" s="39"/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25">
        <f t="shared" si="0"/>
        <v>0</v>
      </c>
      <c r="L45" s="39"/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/>
      <c r="H46" s="35"/>
      <c r="I46" s="36"/>
      <c r="J46" s="37"/>
      <c r="K46" s="25">
        <f t="shared" si="0"/>
        <v>0</v>
      </c>
      <c r="L46" s="39"/>
    </row>
    <row r="47" spans="1:12" s="27" customFormat="1" ht="19.5" customHeight="1" x14ac:dyDescent="0.3">
      <c r="A47" s="28"/>
      <c r="B47" s="16"/>
      <c r="C47" s="17"/>
      <c r="D47" s="18"/>
      <c r="E47" s="41"/>
      <c r="F47" s="42"/>
      <c r="G47" s="34"/>
      <c r="H47" s="35"/>
      <c r="I47" s="36"/>
      <c r="J47" s="37"/>
      <c r="K47" s="25">
        <f t="shared" si="0"/>
        <v>0</v>
      </c>
      <c r="L47" s="39"/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25">
        <f t="shared" si="0"/>
        <v>0</v>
      </c>
      <c r="L48" s="39"/>
    </row>
    <row r="49" spans="1:12" s="27" customFormat="1" ht="19.5" customHeight="1" x14ac:dyDescent="0.3">
      <c r="A49" s="28"/>
      <c r="B49" s="16"/>
      <c r="C49" s="17"/>
      <c r="D49" s="18"/>
      <c r="E49" s="41"/>
      <c r="F49" s="42"/>
      <c r="G49" s="34"/>
      <c r="H49" s="35"/>
      <c r="I49" s="36"/>
      <c r="J49" s="37"/>
      <c r="K49" s="25">
        <f t="shared" si="0"/>
        <v>0</v>
      </c>
      <c r="L49" s="39"/>
    </row>
    <row r="50" spans="1:12" s="27" customFormat="1" ht="19.5" customHeight="1" x14ac:dyDescent="0.3">
      <c r="A50" s="28"/>
      <c r="B50" s="29"/>
      <c r="C50" s="30"/>
      <c r="D50" s="31"/>
      <c r="E50" s="41"/>
      <c r="F50" s="42"/>
      <c r="G50" s="43"/>
      <c r="H50" s="35"/>
      <c r="I50" s="36"/>
      <c r="J50" s="37"/>
      <c r="K50" s="38">
        <f t="shared" si="0"/>
        <v>0</v>
      </c>
      <c r="L50" s="39"/>
    </row>
    <row r="51" spans="1:12" s="55" customFormat="1" ht="19.5" customHeight="1" x14ac:dyDescent="0.3">
      <c r="A51" s="44" t="s">
        <v>3718</v>
      </c>
      <c r="B51" s="45" t="s">
        <v>3811</v>
      </c>
      <c r="C51" s="46">
        <v>24</v>
      </c>
      <c r="D51" s="47" t="s">
        <v>3075</v>
      </c>
      <c r="E51" s="48">
        <v>70</v>
      </c>
      <c r="F51" s="49">
        <v>63.88</v>
      </c>
      <c r="G51" s="50" t="s">
        <v>18</v>
      </c>
      <c r="H51" s="51">
        <v>2438</v>
      </c>
      <c r="I51" s="45">
        <v>3353</v>
      </c>
      <c r="J51" s="52">
        <v>8</v>
      </c>
      <c r="K51" s="53">
        <f t="shared" si="0"/>
        <v>65.396912</v>
      </c>
      <c r="L51" s="54" t="s">
        <v>100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 t="s">
        <v>18</v>
      </c>
      <c r="H52" s="51">
        <v>1981</v>
      </c>
      <c r="I52" s="45">
        <v>3353</v>
      </c>
      <c r="J52" s="52">
        <v>1</v>
      </c>
      <c r="K52" s="53">
        <f t="shared" si="0"/>
        <v>6.6422930000000004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3717</v>
      </c>
      <c r="B54" s="45" t="s">
        <v>3811</v>
      </c>
      <c r="C54" s="46">
        <v>24</v>
      </c>
      <c r="D54" s="47" t="s">
        <v>3812</v>
      </c>
      <c r="E54" s="48">
        <v>129</v>
      </c>
      <c r="F54" s="49">
        <v>208.41</v>
      </c>
      <c r="G54" s="50" t="s">
        <v>3813</v>
      </c>
      <c r="H54" s="51">
        <v>2438</v>
      </c>
      <c r="I54" s="45">
        <v>3353</v>
      </c>
      <c r="J54" s="52">
        <v>29</v>
      </c>
      <c r="K54" s="53">
        <f t="shared" si="0"/>
        <v>237.063806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 t="s">
        <v>481</v>
      </c>
      <c r="H55" s="51">
        <v>2438</v>
      </c>
      <c r="I55" s="45">
        <v>3353</v>
      </c>
      <c r="J55" s="52">
        <v>29</v>
      </c>
      <c r="K55" s="53">
        <f t="shared" si="0"/>
        <v>237.063806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3814</v>
      </c>
      <c r="B57" s="45" t="s">
        <v>1890</v>
      </c>
      <c r="C57" s="46">
        <v>28</v>
      </c>
      <c r="D57" s="47" t="s">
        <v>3815</v>
      </c>
      <c r="E57" s="48">
        <v>40</v>
      </c>
      <c r="F57" s="49">
        <v>58.66</v>
      </c>
      <c r="G57" s="50" t="s">
        <v>1892</v>
      </c>
      <c r="H57" s="51">
        <v>2438</v>
      </c>
      <c r="I57" s="45">
        <v>3353</v>
      </c>
      <c r="J57" s="52">
        <v>21</v>
      </c>
      <c r="K57" s="53">
        <f t="shared" si="0"/>
        <v>171.66689400000001</v>
      </c>
      <c r="L57" s="54" t="s">
        <v>106</v>
      </c>
    </row>
    <row r="58" spans="1:12" s="55" customFormat="1" ht="19.5" customHeight="1" x14ac:dyDescent="0.3">
      <c r="A58" s="44"/>
      <c r="B58" s="45"/>
      <c r="C58" s="46">
        <v>28</v>
      </c>
      <c r="D58" s="47" t="s">
        <v>3816</v>
      </c>
      <c r="E58" s="48">
        <v>32</v>
      </c>
      <c r="F58" s="49">
        <v>20</v>
      </c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>
        <v>28</v>
      </c>
      <c r="D59" s="47" t="s">
        <v>3815</v>
      </c>
      <c r="E59" s="48">
        <v>25</v>
      </c>
      <c r="F59" s="49">
        <v>64.59</v>
      </c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3817</v>
      </c>
      <c r="B61" s="45" t="s">
        <v>21</v>
      </c>
      <c r="C61" s="46">
        <v>24</v>
      </c>
      <c r="D61" s="47" t="s">
        <v>3818</v>
      </c>
      <c r="E61" s="48">
        <v>51</v>
      </c>
      <c r="F61" s="49">
        <v>19.100000000000001</v>
      </c>
      <c r="G61" s="50" t="s">
        <v>189</v>
      </c>
      <c r="H61" s="51">
        <v>2438</v>
      </c>
      <c r="I61" s="45">
        <v>3048</v>
      </c>
      <c r="J61" s="52">
        <v>3</v>
      </c>
      <c r="K61" s="53">
        <f t="shared" si="0"/>
        <v>22.293072000000002</v>
      </c>
      <c r="L61" s="54" t="s">
        <v>100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3819</v>
      </c>
      <c r="B63" s="45" t="s">
        <v>21</v>
      </c>
      <c r="C63" s="46">
        <v>24</v>
      </c>
      <c r="D63" s="47" t="s">
        <v>3818</v>
      </c>
      <c r="E63" s="48">
        <v>53</v>
      </c>
      <c r="F63" s="49">
        <v>20.399999999999999</v>
      </c>
      <c r="G63" s="50" t="s">
        <v>189</v>
      </c>
      <c r="H63" s="51">
        <v>2438</v>
      </c>
      <c r="I63" s="45">
        <v>3048</v>
      </c>
      <c r="J63" s="52">
        <v>3</v>
      </c>
      <c r="K63" s="53">
        <f t="shared" si="0"/>
        <v>22.293072000000002</v>
      </c>
      <c r="L63" s="54" t="s">
        <v>100</v>
      </c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3819</v>
      </c>
      <c r="B65" s="45" t="s">
        <v>21</v>
      </c>
      <c r="C65" s="46">
        <v>24</v>
      </c>
      <c r="D65" s="47" t="s">
        <v>3818</v>
      </c>
      <c r="E65" s="48">
        <v>17</v>
      </c>
      <c r="F65" s="49">
        <v>6.74</v>
      </c>
      <c r="G65" s="50" t="s">
        <v>189</v>
      </c>
      <c r="H65" s="51">
        <v>2438</v>
      </c>
      <c r="I65" s="45">
        <v>3048</v>
      </c>
      <c r="J65" s="52">
        <v>1</v>
      </c>
      <c r="K65" s="53">
        <f t="shared" si="0"/>
        <v>7.4310240000000007</v>
      </c>
      <c r="L65" s="54" t="s">
        <v>100</v>
      </c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3820</v>
      </c>
      <c r="B67" s="45" t="s">
        <v>21</v>
      </c>
      <c r="C67" s="46">
        <v>24</v>
      </c>
      <c r="D67" s="47" t="s">
        <v>3818</v>
      </c>
      <c r="E67" s="48">
        <v>63</v>
      </c>
      <c r="F67" s="49">
        <v>84.17</v>
      </c>
      <c r="G67" s="50" t="s">
        <v>189</v>
      </c>
      <c r="H67" s="51">
        <v>2438</v>
      </c>
      <c r="I67" s="45">
        <v>3048</v>
      </c>
      <c r="J67" s="52">
        <v>13</v>
      </c>
      <c r="K67" s="53">
        <f t="shared" si="0"/>
        <v>96.603312000000017</v>
      </c>
      <c r="L67" s="54" t="s">
        <v>100</v>
      </c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 t="s">
        <v>3821</v>
      </c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 t="s">
        <v>3822</v>
      </c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/>
      <c r="B80" s="45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9" customFormat="1" ht="20.100000000000001" customHeight="1" x14ac:dyDescent="0.3">
      <c r="A82" s="44"/>
      <c r="B82" s="45"/>
      <c r="C82" s="46"/>
      <c r="D82" s="47"/>
      <c r="E82" s="56"/>
      <c r="F82" s="57"/>
      <c r="G82" s="50"/>
      <c r="H82" s="51"/>
      <c r="I82" s="45"/>
      <c r="J82" s="52"/>
      <c r="K82" s="53">
        <f t="shared" si="0"/>
        <v>0</v>
      </c>
      <c r="L82" s="58">
        <f>SUM(J51:J83)</f>
        <v>108</v>
      </c>
    </row>
    <row r="83" spans="1:12" s="59" customFormat="1" ht="20.100000000000001" customHeight="1" x14ac:dyDescent="0.3">
      <c r="A83" s="44"/>
      <c r="B83" s="45"/>
      <c r="C83" s="46"/>
      <c r="D83" s="47"/>
      <c r="E83" s="60"/>
      <c r="F83" s="61"/>
      <c r="G83" s="62"/>
      <c r="H83" s="51"/>
      <c r="I83" s="45"/>
      <c r="J83" s="63"/>
      <c r="K83" s="53">
        <f t="shared" si="0"/>
        <v>0</v>
      </c>
      <c r="L83" s="64">
        <f>SUM(K51:K83)</f>
        <v>866.45419100000004</v>
      </c>
    </row>
    <row r="84" spans="1:12" s="59" customFormat="1" ht="20.100000000000001" customHeight="1" thickBot="1" x14ac:dyDescent="0.35">
      <c r="A84" s="114"/>
      <c r="B84" s="115"/>
      <c r="C84" s="115"/>
      <c r="D84" s="115"/>
      <c r="E84" s="115"/>
      <c r="F84" s="115"/>
      <c r="G84" s="115"/>
      <c r="H84" s="115"/>
      <c r="I84" s="115"/>
      <c r="J84" s="65">
        <f>SUM(J7:J83)</f>
        <v>108</v>
      </c>
      <c r="K84" s="66">
        <f>SUM(K7:K83)</f>
        <v>866.45419100000004</v>
      </c>
      <c r="L84" s="67"/>
    </row>
    <row r="85" spans="1:12" s="59" customFormat="1" ht="20.100000000000001" customHeight="1" thickTop="1" thickBot="1" x14ac:dyDescent="0.35">
      <c r="A85" s="116" t="s">
        <v>52</v>
      </c>
      <c r="B85" s="117"/>
      <c r="C85" s="68"/>
      <c r="D85" s="118">
        <f>J84</f>
        <v>108</v>
      </c>
      <c r="E85" s="119"/>
      <c r="F85" s="119"/>
      <c r="G85" s="120"/>
      <c r="H85" s="121"/>
      <c r="I85" s="121"/>
      <c r="J85" s="122"/>
      <c r="K85" s="119"/>
      <c r="L85" s="123"/>
    </row>
    <row r="86" spans="1:12" s="59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71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72"/>
      <c r="F91" s="5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5"/>
      <c r="G92" s="73"/>
      <c r="H92" s="5"/>
      <c r="I92" s="74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113"/>
      <c r="B95" s="113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72"/>
      <c r="I96" s="72"/>
      <c r="J96" s="5"/>
      <c r="K96" s="5"/>
      <c r="L96" s="5"/>
    </row>
    <row r="97" spans="1:12" ht="20.100000000000001" customHeight="1" x14ac:dyDescent="0.3">
      <c r="A97" s="113"/>
      <c r="B97" s="113"/>
      <c r="H97" s="72"/>
      <c r="I97" s="72"/>
    </row>
    <row r="98" spans="1:12" ht="20.100000000000001" customHeight="1" x14ac:dyDescent="0.3"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A100" s="113"/>
      <c r="B100" s="113"/>
      <c r="H100" s="72"/>
      <c r="I100" s="72"/>
    </row>
    <row r="101" spans="1:12" ht="20.100000000000001" customHeight="1" x14ac:dyDescent="0.3">
      <c r="A101" s="113"/>
      <c r="B101" s="113"/>
      <c r="H101" s="72"/>
      <c r="I101" s="72"/>
    </row>
    <row r="102" spans="1:12" ht="20.100000000000001" customHeight="1" x14ac:dyDescent="0.3"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H104" s="72"/>
      <c r="I104" s="72"/>
    </row>
    <row r="105" spans="1:12" s="72" customFormat="1" ht="20.100000000000001" customHeight="1" x14ac:dyDescent="0.3">
      <c r="A105" s="69"/>
      <c r="B105" s="5"/>
      <c r="C105" s="5"/>
      <c r="D105" s="5"/>
      <c r="E105" s="5"/>
      <c r="F105" s="70"/>
      <c r="G105" s="5"/>
      <c r="J105" s="5"/>
      <c r="K105" s="5"/>
      <c r="L105" s="5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5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5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5" customFormat="1" ht="19.5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2" customFormat="1" ht="20.100000000000001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ht="19.5" customHeight="1" x14ac:dyDescent="0.3"/>
    <row r="113" spans="2:12" ht="19.5" customHeight="1" x14ac:dyDescent="0.3"/>
    <row r="114" spans="2:12" ht="19.5" customHeight="1" x14ac:dyDescent="0.3"/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>
        <v>2</v>
      </c>
      <c r="C175" s="5"/>
      <c r="D175" s="5"/>
      <c r="E175" s="5"/>
      <c r="F175" s="70"/>
      <c r="G175" s="5"/>
      <c r="H175" s="5"/>
      <c r="I175" s="5"/>
      <c r="J175" s="5"/>
      <c r="K175" s="5"/>
      <c r="L175" s="5"/>
    </row>
  </sheetData>
  <mergeCells count="30">
    <mergeCell ref="A100:B100"/>
    <mergeCell ref="A101:B101"/>
    <mergeCell ref="A91:B91"/>
    <mergeCell ref="A92:B92"/>
    <mergeCell ref="A93:B93"/>
    <mergeCell ref="A95:B95"/>
    <mergeCell ref="A96:B96"/>
    <mergeCell ref="A97:B97"/>
    <mergeCell ref="A90:B9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4:I84"/>
    <mergeCell ref="A85:B85"/>
    <mergeCell ref="D85:G85"/>
    <mergeCell ref="H85:J85"/>
    <mergeCell ref="K85:L85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L176"/>
  <sheetViews>
    <sheetView view="pageBreakPreview" topLeftCell="F79" zoomScale="85" zoomScaleSheetLayoutView="85" workbookViewId="0">
      <selection activeCell="L83" sqref="L83:L8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46157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4" si="0">(H7/1000*I7/1000)*J7</f>
        <v>0</v>
      </c>
      <c r="L7" s="26">
        <f>SUM(J7:J51)</f>
        <v>152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SUM(K7:K51)</f>
        <v>954.2288870000001</v>
      </c>
    </row>
    <row r="9" spans="1:12" s="27" customFormat="1" ht="19.5" customHeight="1" x14ac:dyDescent="0.3">
      <c r="A9" s="28" t="s">
        <v>3729</v>
      </c>
      <c r="B9" s="16" t="s">
        <v>3730</v>
      </c>
      <c r="C9" s="17">
        <v>16</v>
      </c>
      <c r="D9" s="18" t="s">
        <v>3731</v>
      </c>
      <c r="E9" s="41">
        <v>1</v>
      </c>
      <c r="F9" s="42">
        <v>0.99</v>
      </c>
      <c r="G9" s="34"/>
      <c r="H9" s="35"/>
      <c r="I9" s="36"/>
      <c r="J9" s="37"/>
      <c r="K9" s="25">
        <f t="shared" si="0"/>
        <v>0</v>
      </c>
      <c r="L9" s="39" t="s">
        <v>31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>
        <f t="shared" si="0"/>
        <v>0</v>
      </c>
      <c r="L10" s="39"/>
    </row>
    <row r="11" spans="1:12" s="27" customFormat="1" ht="19.5" customHeight="1" x14ac:dyDescent="0.3">
      <c r="A11" s="28" t="s">
        <v>3732</v>
      </c>
      <c r="B11" s="16" t="s">
        <v>3566</v>
      </c>
      <c r="C11" s="17">
        <v>24</v>
      </c>
      <c r="D11" s="18" t="s">
        <v>3567</v>
      </c>
      <c r="E11" s="41">
        <v>2</v>
      </c>
      <c r="F11" s="42">
        <v>3.17</v>
      </c>
      <c r="G11" s="34" t="s">
        <v>3610</v>
      </c>
      <c r="H11" s="35">
        <v>1981</v>
      </c>
      <c r="I11" s="36">
        <v>3658</v>
      </c>
      <c r="J11" s="37">
        <v>1</v>
      </c>
      <c r="K11" s="25">
        <f t="shared" si="0"/>
        <v>7.2464980000000008</v>
      </c>
      <c r="L11" s="39" t="s">
        <v>3734</v>
      </c>
    </row>
    <row r="12" spans="1:12" s="27" customFormat="1" ht="19.5" customHeight="1" x14ac:dyDescent="0.3">
      <c r="A12" s="28" t="s">
        <v>3733</v>
      </c>
      <c r="B12" s="16" t="s">
        <v>3566</v>
      </c>
      <c r="C12" s="17">
        <v>24</v>
      </c>
      <c r="D12" s="18" t="s">
        <v>3567</v>
      </c>
      <c r="E12" s="41">
        <v>1</v>
      </c>
      <c r="F12" s="42">
        <v>1.72</v>
      </c>
      <c r="G12" s="34" t="s">
        <v>90</v>
      </c>
      <c r="H12" s="35">
        <v>1981</v>
      </c>
      <c r="I12" s="36">
        <v>3353</v>
      </c>
      <c r="J12" s="37">
        <v>1</v>
      </c>
      <c r="K12" s="25">
        <f t="shared" si="0"/>
        <v>6.6422930000000004</v>
      </c>
      <c r="L12" s="39" t="s">
        <v>3734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 t="s">
        <v>3742</v>
      </c>
      <c r="B14" s="16" t="s">
        <v>352</v>
      </c>
      <c r="C14" s="17">
        <v>22</v>
      </c>
      <c r="D14" s="18" t="s">
        <v>3743</v>
      </c>
      <c r="E14" s="41">
        <v>4</v>
      </c>
      <c r="F14" s="42">
        <v>4.75</v>
      </c>
      <c r="G14" s="34" t="s">
        <v>90</v>
      </c>
      <c r="H14" s="35">
        <v>1981</v>
      </c>
      <c r="I14" s="36">
        <v>3353</v>
      </c>
      <c r="J14" s="37">
        <v>1</v>
      </c>
      <c r="K14" s="25">
        <f t="shared" si="0"/>
        <v>6.6422930000000004</v>
      </c>
      <c r="L14" s="39" t="s">
        <v>3747</v>
      </c>
    </row>
    <row r="15" spans="1:12" s="27" customFormat="1" ht="19.5" customHeight="1" x14ac:dyDescent="0.3">
      <c r="A15" s="28"/>
      <c r="B15" s="16"/>
      <c r="C15" s="17">
        <v>22</v>
      </c>
      <c r="D15" s="18" t="s">
        <v>3746</v>
      </c>
      <c r="E15" s="41">
        <v>1</v>
      </c>
      <c r="F15" s="42">
        <v>3.08</v>
      </c>
      <c r="G15" s="34" t="s">
        <v>149</v>
      </c>
      <c r="H15" s="35">
        <v>1981</v>
      </c>
      <c r="I15" s="36">
        <v>3353</v>
      </c>
      <c r="J15" s="37">
        <v>1</v>
      </c>
      <c r="K15" s="25">
        <f t="shared" si="0"/>
        <v>6.6422930000000004</v>
      </c>
      <c r="L15" s="39" t="s">
        <v>3747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/>
      <c r="L16" s="39"/>
    </row>
    <row r="17" spans="1:12" s="27" customFormat="1" ht="19.5" customHeight="1" x14ac:dyDescent="0.3">
      <c r="A17" s="28" t="s">
        <v>3744</v>
      </c>
      <c r="B17" s="16" t="s">
        <v>3745</v>
      </c>
      <c r="C17" s="17">
        <v>24</v>
      </c>
      <c r="D17" s="18" t="s">
        <v>138</v>
      </c>
      <c r="E17" s="41">
        <v>5</v>
      </c>
      <c r="F17" s="42">
        <v>9.26</v>
      </c>
      <c r="G17" s="34" t="s">
        <v>90</v>
      </c>
      <c r="H17" s="35">
        <v>2286</v>
      </c>
      <c r="I17" s="36">
        <v>3048</v>
      </c>
      <c r="J17" s="37">
        <v>2</v>
      </c>
      <c r="K17" s="25">
        <f t="shared" si="0"/>
        <v>13.935456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3748</v>
      </c>
      <c r="H18" s="35">
        <v>1981</v>
      </c>
      <c r="I18" s="36">
        <v>3353</v>
      </c>
      <c r="J18" s="37">
        <v>3</v>
      </c>
      <c r="K18" s="25">
        <f t="shared" si="0"/>
        <v>19.926879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/>
      <c r="L19" s="39"/>
    </row>
    <row r="20" spans="1:12" s="27" customFormat="1" ht="19.5" customHeight="1" x14ac:dyDescent="0.3">
      <c r="A20" s="28" t="s">
        <v>3723</v>
      </c>
      <c r="B20" s="16" t="s">
        <v>3749</v>
      </c>
      <c r="C20" s="17">
        <v>22</v>
      </c>
      <c r="D20" s="18" t="s">
        <v>320</v>
      </c>
      <c r="E20" s="41">
        <v>82</v>
      </c>
      <c r="F20" s="42">
        <v>70.86</v>
      </c>
      <c r="G20" s="34" t="s">
        <v>90</v>
      </c>
      <c r="H20" s="35">
        <v>1829</v>
      </c>
      <c r="I20" s="36">
        <v>3353</v>
      </c>
      <c r="J20" s="37">
        <v>12</v>
      </c>
      <c r="K20" s="25">
        <f t="shared" si="0"/>
        <v>73.591644000000002</v>
      </c>
      <c r="L20" s="39" t="s">
        <v>3780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/>
      <c r="L21" s="39"/>
    </row>
    <row r="22" spans="1:12" s="27" customFormat="1" ht="19.5" customHeight="1" x14ac:dyDescent="0.3">
      <c r="A22" s="28" t="s">
        <v>3755</v>
      </c>
      <c r="B22" s="16" t="s">
        <v>3749</v>
      </c>
      <c r="C22" s="17">
        <v>22</v>
      </c>
      <c r="D22" s="18" t="s">
        <v>3756</v>
      </c>
      <c r="E22" s="41">
        <v>82</v>
      </c>
      <c r="F22" s="42">
        <v>70.86</v>
      </c>
      <c r="G22" s="34" t="s">
        <v>3757</v>
      </c>
      <c r="H22" s="35">
        <v>1829</v>
      </c>
      <c r="I22" s="36">
        <v>3353</v>
      </c>
      <c r="J22" s="37">
        <v>13</v>
      </c>
      <c r="K22" s="25">
        <f t="shared" si="0"/>
        <v>79.724281000000005</v>
      </c>
      <c r="L22" s="39" t="s">
        <v>3781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/>
      <c r="L23" s="39"/>
    </row>
    <row r="24" spans="1:12" s="27" customFormat="1" ht="19.5" customHeight="1" x14ac:dyDescent="0.3">
      <c r="A24" s="28" t="s">
        <v>3758</v>
      </c>
      <c r="B24" s="16" t="s">
        <v>3759</v>
      </c>
      <c r="C24" s="17">
        <v>22</v>
      </c>
      <c r="D24" s="18" t="s">
        <v>3756</v>
      </c>
      <c r="E24" s="41">
        <v>115</v>
      </c>
      <c r="F24" s="42">
        <v>95.4</v>
      </c>
      <c r="G24" s="34" t="s">
        <v>3757</v>
      </c>
      <c r="H24" s="35">
        <v>1829</v>
      </c>
      <c r="I24" s="36">
        <v>3353</v>
      </c>
      <c r="J24" s="37">
        <v>17</v>
      </c>
      <c r="K24" s="25">
        <f t="shared" si="0"/>
        <v>104.254829</v>
      </c>
      <c r="L24" s="39" t="s">
        <v>3779</v>
      </c>
    </row>
    <row r="25" spans="1:12" s="27" customFormat="1" ht="19.5" customHeight="1" x14ac:dyDescent="0.3">
      <c r="A25" s="28"/>
      <c r="B25" s="16"/>
      <c r="C25" s="17">
        <v>22</v>
      </c>
      <c r="D25" s="18" t="s">
        <v>3760</v>
      </c>
      <c r="E25" s="41">
        <v>115</v>
      </c>
      <c r="F25" s="42">
        <v>95.4</v>
      </c>
      <c r="G25" s="34" t="s">
        <v>3757</v>
      </c>
      <c r="H25" s="35">
        <v>1829</v>
      </c>
      <c r="I25" s="36">
        <v>3353</v>
      </c>
      <c r="J25" s="37">
        <v>16</v>
      </c>
      <c r="K25" s="25">
        <f t="shared" ref="K25" si="1">(H25/1000*I25/1000)*J25</f>
        <v>98.122191999999998</v>
      </c>
      <c r="L25" s="39" t="s">
        <v>3779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 t="s">
        <v>3735</v>
      </c>
      <c r="B27" s="16" t="s">
        <v>3736</v>
      </c>
      <c r="C27" s="17">
        <v>24</v>
      </c>
      <c r="D27" s="18" t="s">
        <v>3737</v>
      </c>
      <c r="E27" s="41">
        <v>2</v>
      </c>
      <c r="F27" s="42">
        <v>0.56000000000000005</v>
      </c>
      <c r="G27" s="34" t="s">
        <v>105</v>
      </c>
      <c r="H27" s="35"/>
      <c r="I27" s="36"/>
      <c r="J27" s="37"/>
      <c r="K27" s="25">
        <f t="shared" si="0"/>
        <v>0</v>
      </c>
      <c r="L27" s="39" t="s">
        <v>242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 t="s">
        <v>3738</v>
      </c>
      <c r="B29" s="16" t="s">
        <v>3739</v>
      </c>
      <c r="C29" s="17">
        <v>22</v>
      </c>
      <c r="D29" s="18" t="s">
        <v>3740</v>
      </c>
      <c r="E29" s="41">
        <v>1</v>
      </c>
      <c r="F29" s="42">
        <v>0.28000000000000003</v>
      </c>
      <c r="G29" s="34"/>
      <c r="H29" s="35"/>
      <c r="I29" s="36"/>
      <c r="J29" s="37"/>
      <c r="K29" s="25">
        <f t="shared" si="0"/>
        <v>0</v>
      </c>
      <c r="L29" s="39" t="s">
        <v>3741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 t="s">
        <v>57</v>
      </c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 t="s">
        <v>3784</v>
      </c>
      <c r="B32" s="16" t="s">
        <v>3785</v>
      </c>
      <c r="C32" s="17">
        <v>22</v>
      </c>
      <c r="D32" s="18" t="s">
        <v>3786</v>
      </c>
      <c r="E32" s="41">
        <v>30</v>
      </c>
      <c r="F32" s="42">
        <v>23.76</v>
      </c>
      <c r="G32" s="34" t="s">
        <v>3787</v>
      </c>
      <c r="H32" s="35">
        <v>1981</v>
      </c>
      <c r="I32" s="36">
        <v>3353</v>
      </c>
      <c r="J32" s="37">
        <v>3</v>
      </c>
      <c r="K32" s="25">
        <f t="shared" si="0"/>
        <v>19.926879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 t="s">
        <v>3787</v>
      </c>
      <c r="H33" s="35">
        <v>1829</v>
      </c>
      <c r="I33" s="36">
        <v>3353</v>
      </c>
      <c r="J33" s="37">
        <v>1</v>
      </c>
      <c r="K33" s="25">
        <f t="shared" si="0"/>
        <v>6.1326369999999999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 t="s">
        <v>19</v>
      </c>
      <c r="H34" s="35">
        <v>1981</v>
      </c>
      <c r="I34" s="36">
        <v>3048</v>
      </c>
      <c r="J34" s="37">
        <v>4</v>
      </c>
      <c r="K34" s="25">
        <f t="shared" si="0"/>
        <v>24.152352000000004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16"/>
      <c r="C36" s="17">
        <v>22</v>
      </c>
      <c r="D36" s="18" t="s">
        <v>3788</v>
      </c>
      <c r="E36" s="41">
        <v>30</v>
      </c>
      <c r="F36" s="42">
        <v>23.46</v>
      </c>
      <c r="G36" s="34" t="s">
        <v>3789</v>
      </c>
      <c r="H36" s="35">
        <v>1981</v>
      </c>
      <c r="I36" s="36">
        <v>3353</v>
      </c>
      <c r="J36" s="37">
        <v>3</v>
      </c>
      <c r="K36" s="25">
        <f t="shared" si="0"/>
        <v>19.926879</v>
      </c>
      <c r="L36" s="39" t="s">
        <v>3790</v>
      </c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 t="s">
        <v>19</v>
      </c>
      <c r="H37" s="35">
        <v>1981</v>
      </c>
      <c r="I37" s="36">
        <v>3048</v>
      </c>
      <c r="J37" s="37">
        <v>4</v>
      </c>
      <c r="K37" s="25">
        <f t="shared" si="0"/>
        <v>24.152352000000004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 t="s">
        <v>3791</v>
      </c>
      <c r="B39" s="16" t="s">
        <v>3785</v>
      </c>
      <c r="C39" s="17">
        <v>22</v>
      </c>
      <c r="D39" s="18" t="s">
        <v>3792</v>
      </c>
      <c r="E39" s="41">
        <v>66</v>
      </c>
      <c r="F39" s="42">
        <v>49.2</v>
      </c>
      <c r="G39" s="34" t="s">
        <v>3787</v>
      </c>
      <c r="H39" s="35">
        <v>1981</v>
      </c>
      <c r="I39" s="36">
        <v>3353</v>
      </c>
      <c r="J39" s="37">
        <v>7</v>
      </c>
      <c r="K39" s="25">
        <f t="shared" si="0"/>
        <v>46.496051000000001</v>
      </c>
      <c r="L39" s="39" t="s">
        <v>3793</v>
      </c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 t="s">
        <v>19</v>
      </c>
      <c r="H40" s="35">
        <v>1981</v>
      </c>
      <c r="I40" s="36">
        <v>3048</v>
      </c>
      <c r="J40" s="37">
        <v>8</v>
      </c>
      <c r="K40" s="25">
        <f t="shared" si="0"/>
        <v>48.304704000000008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16"/>
      <c r="C42" s="17">
        <v>22</v>
      </c>
      <c r="D42" s="18" t="s">
        <v>3794</v>
      </c>
      <c r="E42" s="41">
        <v>66</v>
      </c>
      <c r="F42" s="42">
        <v>48.6</v>
      </c>
      <c r="G42" s="34" t="s">
        <v>3789</v>
      </c>
      <c r="H42" s="35">
        <v>1981</v>
      </c>
      <c r="I42" s="36">
        <v>3353</v>
      </c>
      <c r="J42" s="37">
        <v>7</v>
      </c>
      <c r="K42" s="25">
        <f t="shared" si="0"/>
        <v>46.496051000000001</v>
      </c>
      <c r="L42" s="39" t="s">
        <v>3793</v>
      </c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 t="s">
        <v>19</v>
      </c>
      <c r="H43" s="35">
        <v>1981</v>
      </c>
      <c r="I43" s="36">
        <v>3048</v>
      </c>
      <c r="J43" s="37">
        <v>8</v>
      </c>
      <c r="K43" s="25">
        <f t="shared" si="0"/>
        <v>48.304704000000008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0"/>
        <v>0</v>
      </c>
      <c r="L44" s="39"/>
    </row>
    <row r="45" spans="1:12" s="27" customFormat="1" ht="19.5" customHeight="1" x14ac:dyDescent="0.3">
      <c r="A45" s="28" t="s">
        <v>3795</v>
      </c>
      <c r="B45" s="16" t="s">
        <v>3785</v>
      </c>
      <c r="C45" s="17">
        <v>22</v>
      </c>
      <c r="D45" s="18" t="s">
        <v>3792</v>
      </c>
      <c r="E45" s="41">
        <v>66</v>
      </c>
      <c r="F45" s="42">
        <v>64.56</v>
      </c>
      <c r="G45" s="34" t="s">
        <v>3787</v>
      </c>
      <c r="H45" s="35">
        <v>1981</v>
      </c>
      <c r="I45" s="36">
        <v>3353</v>
      </c>
      <c r="J45" s="37">
        <v>10</v>
      </c>
      <c r="K45" s="25">
        <f t="shared" si="0"/>
        <v>66.422930000000008</v>
      </c>
      <c r="L45" s="39"/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 t="s">
        <v>19</v>
      </c>
      <c r="H46" s="35">
        <v>1981</v>
      </c>
      <c r="I46" s="36">
        <v>3048</v>
      </c>
      <c r="J46" s="37">
        <v>10</v>
      </c>
      <c r="K46" s="25">
        <f t="shared" si="0"/>
        <v>60.380880000000012</v>
      </c>
      <c r="L46" s="39"/>
    </row>
    <row r="47" spans="1:12" s="27" customFormat="1" ht="19.5" customHeight="1" x14ac:dyDescent="0.3">
      <c r="A47" s="28"/>
      <c r="B47" s="16"/>
      <c r="C47" s="17"/>
      <c r="D47" s="18"/>
      <c r="E47" s="41"/>
      <c r="F47" s="42"/>
      <c r="G47" s="34"/>
      <c r="H47" s="35"/>
      <c r="I47" s="36"/>
      <c r="J47" s="37"/>
      <c r="K47" s="25">
        <f t="shared" si="0"/>
        <v>0</v>
      </c>
      <c r="L47" s="39"/>
    </row>
    <row r="48" spans="1:12" s="27" customFormat="1" ht="19.5" customHeight="1" x14ac:dyDescent="0.3">
      <c r="A48" s="28"/>
      <c r="B48" s="16"/>
      <c r="C48" s="17">
        <v>22</v>
      </c>
      <c r="D48" s="18" t="s">
        <v>3794</v>
      </c>
      <c r="E48" s="41">
        <v>66</v>
      </c>
      <c r="F48" s="42">
        <v>63.66</v>
      </c>
      <c r="G48" s="34" t="s">
        <v>3789</v>
      </c>
      <c r="H48" s="35">
        <v>1981</v>
      </c>
      <c r="I48" s="36">
        <v>3353</v>
      </c>
      <c r="J48" s="37">
        <v>10</v>
      </c>
      <c r="K48" s="25">
        <f t="shared" si="0"/>
        <v>66.422930000000008</v>
      </c>
      <c r="L48" s="39"/>
    </row>
    <row r="49" spans="1:12" s="27" customFormat="1" ht="19.5" customHeight="1" x14ac:dyDescent="0.3">
      <c r="A49" s="28"/>
      <c r="B49" s="16"/>
      <c r="C49" s="17"/>
      <c r="D49" s="18"/>
      <c r="E49" s="41"/>
      <c r="F49" s="42"/>
      <c r="G49" s="34" t="s">
        <v>19</v>
      </c>
      <c r="H49" s="35">
        <v>1981</v>
      </c>
      <c r="I49" s="36">
        <v>3048</v>
      </c>
      <c r="J49" s="37">
        <v>10</v>
      </c>
      <c r="K49" s="25">
        <f t="shared" si="0"/>
        <v>60.380880000000012</v>
      </c>
      <c r="L49" s="39"/>
    </row>
    <row r="50" spans="1:12" s="27" customFormat="1" ht="19.5" customHeight="1" x14ac:dyDescent="0.3">
      <c r="A50" s="28"/>
      <c r="B50" s="16"/>
      <c r="C50" s="17"/>
      <c r="D50" s="18"/>
      <c r="E50" s="41"/>
      <c r="F50" s="42"/>
      <c r="G50" s="34"/>
      <c r="H50" s="35"/>
      <c r="I50" s="36"/>
      <c r="J50" s="37"/>
      <c r="K50" s="25">
        <f t="shared" si="0"/>
        <v>0</v>
      </c>
      <c r="L50" s="39"/>
    </row>
    <row r="51" spans="1:12" s="27" customFormat="1" ht="19.5" customHeight="1" x14ac:dyDescent="0.3">
      <c r="A51" s="28"/>
      <c r="B51" s="29"/>
      <c r="C51" s="30"/>
      <c r="D51" s="31"/>
      <c r="E51" s="41"/>
      <c r="F51" s="42"/>
      <c r="G51" s="43"/>
      <c r="H51" s="35"/>
      <c r="I51" s="36"/>
      <c r="J51" s="37"/>
      <c r="K51" s="38">
        <f t="shared" si="0"/>
        <v>0</v>
      </c>
      <c r="L51" s="39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3761</v>
      </c>
      <c r="B53" s="45" t="s">
        <v>3762</v>
      </c>
      <c r="C53" s="46">
        <v>24</v>
      </c>
      <c r="D53" s="47" t="s">
        <v>3763</v>
      </c>
      <c r="E53" s="48">
        <v>1</v>
      </c>
      <c r="F53" s="49">
        <v>0.28000000000000003</v>
      </c>
      <c r="G53" s="50"/>
      <c r="H53" s="51"/>
      <c r="I53" s="45"/>
      <c r="J53" s="52"/>
      <c r="K53" s="53">
        <f t="shared" si="0"/>
        <v>0</v>
      </c>
      <c r="L53" s="54" t="s">
        <v>3765</v>
      </c>
    </row>
    <row r="54" spans="1:12" s="55" customFormat="1" ht="19.5" customHeight="1" x14ac:dyDescent="0.3">
      <c r="A54" s="44"/>
      <c r="B54" s="45"/>
      <c r="C54" s="46">
        <v>24</v>
      </c>
      <c r="D54" s="47" t="s">
        <v>2561</v>
      </c>
      <c r="E54" s="48">
        <v>1</v>
      </c>
      <c r="F54" s="49">
        <v>0.28000000000000003</v>
      </c>
      <c r="G54" s="50"/>
      <c r="H54" s="51"/>
      <c r="I54" s="45"/>
      <c r="J54" s="52"/>
      <c r="K54" s="53">
        <f t="shared" si="0"/>
        <v>0</v>
      </c>
      <c r="L54" s="54" t="s">
        <v>3766</v>
      </c>
    </row>
    <row r="55" spans="1:12" s="55" customFormat="1" ht="19.5" customHeight="1" x14ac:dyDescent="0.3">
      <c r="A55" s="44"/>
      <c r="B55" s="45"/>
      <c r="C55" s="46">
        <v>24</v>
      </c>
      <c r="D55" s="47" t="s">
        <v>3764</v>
      </c>
      <c r="E55" s="48">
        <v>1</v>
      </c>
      <c r="F55" s="49">
        <v>0.28000000000000003</v>
      </c>
      <c r="G55" s="50"/>
      <c r="H55" s="51"/>
      <c r="I55" s="45"/>
      <c r="J55" s="52"/>
      <c r="K55" s="53">
        <f t="shared" si="0"/>
        <v>0</v>
      </c>
      <c r="L55" s="54" t="s">
        <v>3766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3767</v>
      </c>
      <c r="B57" s="45" t="s">
        <v>1568</v>
      </c>
      <c r="C57" s="46">
        <v>24</v>
      </c>
      <c r="D57" s="47" t="s">
        <v>3768</v>
      </c>
      <c r="E57" s="48">
        <v>108</v>
      </c>
      <c r="F57" s="49">
        <v>125.73</v>
      </c>
      <c r="G57" s="50" t="s">
        <v>1536</v>
      </c>
      <c r="H57" s="51">
        <v>2438</v>
      </c>
      <c r="I57" s="45">
        <v>3353</v>
      </c>
      <c r="J57" s="52">
        <v>17</v>
      </c>
      <c r="K57" s="53">
        <f t="shared" si="0"/>
        <v>138.96843799999999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 t="s">
        <v>90</v>
      </c>
      <c r="H58" s="51">
        <v>2590</v>
      </c>
      <c r="I58" s="45">
        <v>3353</v>
      </c>
      <c r="J58" s="52">
        <v>12</v>
      </c>
      <c r="K58" s="53">
        <f t="shared" si="0"/>
        <v>104.21123999999998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 t="s">
        <v>90</v>
      </c>
      <c r="H59" s="51">
        <v>2438</v>
      </c>
      <c r="I59" s="45">
        <v>3353</v>
      </c>
      <c r="J59" s="52">
        <v>5</v>
      </c>
      <c r="K59" s="53">
        <f t="shared" si="0"/>
        <v>40.873069999999998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3665</v>
      </c>
      <c r="B61" s="45" t="s">
        <v>3769</v>
      </c>
      <c r="C61" s="46">
        <v>28</v>
      </c>
      <c r="D61" s="47" t="s">
        <v>3770</v>
      </c>
      <c r="E61" s="48">
        <v>74</v>
      </c>
      <c r="F61" s="49">
        <v>108.32</v>
      </c>
      <c r="G61" s="50" t="s">
        <v>3773</v>
      </c>
      <c r="H61" s="51">
        <v>2438</v>
      </c>
      <c r="I61" s="45">
        <v>3353</v>
      </c>
      <c r="J61" s="52">
        <v>41</v>
      </c>
      <c r="K61" s="53">
        <f t="shared" si="0"/>
        <v>335.15917400000001</v>
      </c>
      <c r="L61" s="54" t="s">
        <v>3782</v>
      </c>
    </row>
    <row r="62" spans="1:12" s="55" customFormat="1" ht="19.5" customHeight="1" x14ac:dyDescent="0.3">
      <c r="A62" s="44"/>
      <c r="B62" s="45"/>
      <c r="C62" s="46">
        <v>28</v>
      </c>
      <c r="D62" s="47" t="s">
        <v>3771</v>
      </c>
      <c r="E62" s="48">
        <v>66</v>
      </c>
      <c r="F62" s="49">
        <v>42.46</v>
      </c>
      <c r="G62" s="50"/>
      <c r="H62" s="51"/>
      <c r="I62" s="45"/>
      <c r="J62" s="52"/>
      <c r="K62" s="53">
        <f t="shared" si="0"/>
        <v>0</v>
      </c>
      <c r="L62" s="54" t="s">
        <v>3782</v>
      </c>
    </row>
    <row r="63" spans="1:12" s="55" customFormat="1" ht="19.5" customHeight="1" x14ac:dyDescent="0.3">
      <c r="A63" s="44"/>
      <c r="B63" s="45"/>
      <c r="C63" s="46">
        <v>28</v>
      </c>
      <c r="D63" s="47" t="s">
        <v>3772</v>
      </c>
      <c r="E63" s="48">
        <v>48</v>
      </c>
      <c r="F63" s="49">
        <v>123.3</v>
      </c>
      <c r="G63" s="50"/>
      <c r="H63" s="51"/>
      <c r="I63" s="45"/>
      <c r="J63" s="52"/>
      <c r="K63" s="53">
        <f t="shared" si="0"/>
        <v>0</v>
      </c>
      <c r="L63" s="54" t="s">
        <v>3782</v>
      </c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3774</v>
      </c>
      <c r="B65" s="45" t="s">
        <v>3775</v>
      </c>
      <c r="C65" s="46">
        <v>28</v>
      </c>
      <c r="D65" s="47" t="s">
        <v>3770</v>
      </c>
      <c r="E65" s="48">
        <v>62</v>
      </c>
      <c r="F65" s="49">
        <v>107.64</v>
      </c>
      <c r="G65" s="50" t="s">
        <v>3773</v>
      </c>
      <c r="H65" s="51">
        <v>2438</v>
      </c>
      <c r="I65" s="45">
        <v>3353</v>
      </c>
      <c r="J65" s="52">
        <v>24</v>
      </c>
      <c r="K65" s="53">
        <f t="shared" si="0"/>
        <v>196.19073600000002</v>
      </c>
      <c r="L65" s="54" t="s">
        <v>3783</v>
      </c>
    </row>
    <row r="66" spans="1:12" s="55" customFormat="1" ht="19.5" customHeight="1" x14ac:dyDescent="0.3">
      <c r="A66" s="44"/>
      <c r="B66" s="45"/>
      <c r="C66" s="46"/>
      <c r="D66" s="47" t="s">
        <v>3771</v>
      </c>
      <c r="E66" s="48">
        <v>22</v>
      </c>
      <c r="F66" s="49">
        <v>12.98</v>
      </c>
      <c r="G66" s="50"/>
      <c r="H66" s="51"/>
      <c r="I66" s="45"/>
      <c r="J66" s="52"/>
      <c r="K66" s="53">
        <f t="shared" si="0"/>
        <v>0</v>
      </c>
      <c r="L66" s="54" t="s">
        <v>3783</v>
      </c>
    </row>
    <row r="67" spans="1:12" s="55" customFormat="1" ht="19.5" customHeight="1" x14ac:dyDescent="0.3">
      <c r="A67" s="44"/>
      <c r="B67" s="45"/>
      <c r="C67" s="46"/>
      <c r="D67" s="47" t="s">
        <v>3772</v>
      </c>
      <c r="E67" s="48">
        <v>16</v>
      </c>
      <c r="F67" s="49">
        <v>40.56</v>
      </c>
      <c r="G67" s="50"/>
      <c r="H67" s="51"/>
      <c r="I67" s="45"/>
      <c r="J67" s="52"/>
      <c r="K67" s="53">
        <f t="shared" si="0"/>
        <v>0</v>
      </c>
      <c r="L67" s="54" t="s">
        <v>3783</v>
      </c>
    </row>
    <row r="68" spans="1:12" s="55" customFormat="1" ht="19.5" customHeight="1" x14ac:dyDescent="0.3">
      <c r="A68" s="44" t="s">
        <v>3804</v>
      </c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3796</v>
      </c>
      <c r="B69" s="45" t="s">
        <v>3797</v>
      </c>
      <c r="C69" s="46">
        <v>24</v>
      </c>
      <c r="D69" s="47" t="s">
        <v>3798</v>
      </c>
      <c r="E69" s="48">
        <v>70</v>
      </c>
      <c r="F69" s="49">
        <v>63.88</v>
      </c>
      <c r="G69" s="50" t="s">
        <v>3799</v>
      </c>
      <c r="H69" s="51">
        <v>2438</v>
      </c>
      <c r="I69" s="45">
        <v>3353</v>
      </c>
      <c r="J69" s="52">
        <v>9</v>
      </c>
      <c r="K69" s="53">
        <f t="shared" si="0"/>
        <v>73.571526000000006</v>
      </c>
      <c r="L69" s="54" t="s">
        <v>106</v>
      </c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3796</v>
      </c>
      <c r="B71" s="45" t="s">
        <v>3797</v>
      </c>
      <c r="C71" s="46">
        <v>24</v>
      </c>
      <c r="D71" s="47" t="s">
        <v>3800</v>
      </c>
      <c r="E71" s="48">
        <v>18</v>
      </c>
      <c r="F71" s="49">
        <v>10.16</v>
      </c>
      <c r="G71" s="50" t="s">
        <v>3802</v>
      </c>
      <c r="H71" s="51">
        <v>1981</v>
      </c>
      <c r="I71" s="45">
        <v>3353</v>
      </c>
      <c r="J71" s="52">
        <v>2</v>
      </c>
      <c r="K71" s="53">
        <f t="shared" si="0"/>
        <v>13.284586000000001</v>
      </c>
      <c r="L71" s="54"/>
    </row>
    <row r="72" spans="1:12" s="55" customFormat="1" ht="19.5" customHeight="1" x14ac:dyDescent="0.3">
      <c r="A72" s="44" t="s">
        <v>3801</v>
      </c>
      <c r="B72" s="45" t="s">
        <v>3797</v>
      </c>
      <c r="C72" s="46">
        <v>24</v>
      </c>
      <c r="D72" s="47" t="s">
        <v>3800</v>
      </c>
      <c r="E72" s="48">
        <v>8</v>
      </c>
      <c r="F72" s="49">
        <v>4.24</v>
      </c>
      <c r="G72" s="50" t="s">
        <v>3789</v>
      </c>
      <c r="H72" s="51">
        <v>1981</v>
      </c>
      <c r="I72" s="45">
        <v>3353</v>
      </c>
      <c r="J72" s="52">
        <v>2</v>
      </c>
      <c r="K72" s="53">
        <f t="shared" si="0"/>
        <v>13.284586000000001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 t="s">
        <v>3803</v>
      </c>
      <c r="B74" s="45" t="s">
        <v>3797</v>
      </c>
      <c r="C74" s="46">
        <v>24</v>
      </c>
      <c r="D74" s="47" t="s">
        <v>3798</v>
      </c>
      <c r="E74" s="48">
        <v>110</v>
      </c>
      <c r="F74" s="49">
        <v>109.07</v>
      </c>
      <c r="G74" s="50" t="s">
        <v>3799</v>
      </c>
      <c r="H74" s="51">
        <v>2438</v>
      </c>
      <c r="I74" s="45">
        <v>3353</v>
      </c>
      <c r="J74" s="52">
        <v>15</v>
      </c>
      <c r="K74" s="53">
        <f t="shared" si="0"/>
        <v>122.61921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 t="s">
        <v>3789</v>
      </c>
      <c r="H75" s="51">
        <v>2590</v>
      </c>
      <c r="I75" s="45">
        <v>3353</v>
      </c>
      <c r="J75" s="52">
        <v>15</v>
      </c>
      <c r="K75" s="53">
        <f t="shared" si="0"/>
        <v>130.26404999999997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 t="s">
        <v>3805</v>
      </c>
      <c r="B77" s="45" t="s">
        <v>3806</v>
      </c>
      <c r="C77" s="46">
        <v>24</v>
      </c>
      <c r="D77" s="47" t="s">
        <v>3807</v>
      </c>
      <c r="E77" s="48">
        <v>5</v>
      </c>
      <c r="F77" s="49">
        <f>2.29+1.85+0.88+1.21</f>
        <v>6.23</v>
      </c>
      <c r="G77" s="50" t="s">
        <v>3789</v>
      </c>
      <c r="H77" s="51">
        <v>1981</v>
      </c>
      <c r="I77" s="45">
        <v>3353</v>
      </c>
      <c r="J77" s="52">
        <v>1</v>
      </c>
      <c r="K77" s="53">
        <f t="shared" si="0"/>
        <v>6.6422930000000004</v>
      </c>
      <c r="L77" s="54" t="s">
        <v>3808</v>
      </c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45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/>
      <c r="B80" s="45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9" customFormat="1" ht="20.100000000000001" customHeight="1" x14ac:dyDescent="0.3">
      <c r="A83" s="44"/>
      <c r="B83" s="45"/>
      <c r="C83" s="46"/>
      <c r="D83" s="47"/>
      <c r="E83" s="56"/>
      <c r="F83" s="57"/>
      <c r="G83" s="50"/>
      <c r="H83" s="51"/>
      <c r="I83" s="45"/>
      <c r="J83" s="52"/>
      <c r="K83" s="53">
        <f t="shared" si="0"/>
        <v>0</v>
      </c>
      <c r="L83" s="58">
        <f>SUM(J52:J84)</f>
        <v>143</v>
      </c>
    </row>
    <row r="84" spans="1:12" s="59" customFormat="1" ht="20.100000000000001" customHeight="1" x14ac:dyDescent="0.3">
      <c r="A84" s="44"/>
      <c r="B84" s="45"/>
      <c r="C84" s="46"/>
      <c r="D84" s="47"/>
      <c r="E84" s="60"/>
      <c r="F84" s="61"/>
      <c r="G84" s="62"/>
      <c r="H84" s="51"/>
      <c r="I84" s="45"/>
      <c r="J84" s="63"/>
      <c r="K84" s="53">
        <f t="shared" si="0"/>
        <v>0</v>
      </c>
      <c r="L84" s="64">
        <f>SUM(K52:K84)</f>
        <v>1175.0689090000001</v>
      </c>
    </row>
    <row r="85" spans="1:12" s="59" customFormat="1" ht="20.100000000000001" customHeight="1" thickBot="1" x14ac:dyDescent="0.35">
      <c r="A85" s="114"/>
      <c r="B85" s="115"/>
      <c r="C85" s="115"/>
      <c r="D85" s="115"/>
      <c r="E85" s="115"/>
      <c r="F85" s="115"/>
      <c r="G85" s="115"/>
      <c r="H85" s="115"/>
      <c r="I85" s="115"/>
      <c r="J85" s="65">
        <f>SUM(J7:J84)</f>
        <v>295</v>
      </c>
      <c r="K85" s="66">
        <f>SUM(K7:K84)</f>
        <v>2129.2977959999998</v>
      </c>
      <c r="L85" s="67"/>
    </row>
    <row r="86" spans="1:12" s="59" customFormat="1" ht="20.100000000000001" customHeight="1" thickTop="1" thickBot="1" x14ac:dyDescent="0.35">
      <c r="A86" s="116" t="s">
        <v>52</v>
      </c>
      <c r="B86" s="117"/>
      <c r="C86" s="68"/>
      <c r="D86" s="118">
        <f>J85</f>
        <v>295</v>
      </c>
      <c r="E86" s="119"/>
      <c r="F86" s="119"/>
      <c r="G86" s="120"/>
      <c r="H86" s="121"/>
      <c r="I86" s="121"/>
      <c r="J86" s="122"/>
      <c r="K86" s="119"/>
      <c r="L86" s="123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71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72"/>
      <c r="F92" s="5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5"/>
      <c r="G93" s="73"/>
      <c r="H93" s="5"/>
      <c r="I93" s="74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72"/>
      <c r="I97" s="72"/>
      <c r="J97" s="5"/>
      <c r="K97" s="5"/>
      <c r="L97" s="5"/>
    </row>
    <row r="98" spans="1:12" ht="20.100000000000001" customHeight="1" x14ac:dyDescent="0.3">
      <c r="A98" s="113"/>
      <c r="B98" s="113"/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A101" s="113"/>
      <c r="B101" s="113"/>
      <c r="H101" s="72"/>
      <c r="I101" s="72"/>
    </row>
    <row r="102" spans="1:12" ht="20.100000000000001" customHeight="1" x14ac:dyDescent="0.3">
      <c r="A102" s="113"/>
      <c r="B102" s="113"/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H105" s="72"/>
      <c r="I105" s="72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5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5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5" customFormat="1" ht="19.5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>
        <v>2</v>
      </c>
      <c r="C176" s="5"/>
      <c r="D176" s="5"/>
      <c r="E176" s="5"/>
      <c r="F176" s="70"/>
      <c r="G176" s="5"/>
      <c r="H176" s="5"/>
      <c r="I176" s="5"/>
      <c r="J176" s="5"/>
      <c r="K176" s="5"/>
      <c r="L17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1:B9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5:I85"/>
    <mergeCell ref="A86:B86"/>
    <mergeCell ref="D86:G86"/>
    <mergeCell ref="H86:J86"/>
    <mergeCell ref="K86:L86"/>
    <mergeCell ref="A101:B101"/>
    <mergeCell ref="A102:B102"/>
    <mergeCell ref="A92:B92"/>
    <mergeCell ref="A93:B93"/>
    <mergeCell ref="A94:B94"/>
    <mergeCell ref="A96:B96"/>
    <mergeCell ref="A97:B97"/>
    <mergeCell ref="A98:B9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L159"/>
  <sheetViews>
    <sheetView view="pageBreakPreview" topLeftCell="A48" zoomScale="85" zoomScaleSheetLayoutView="85" workbookViewId="0">
      <selection activeCell="A48" sqref="A4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46156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7" si="0">(H7/1000*I7/1000)*J7</f>
        <v>0</v>
      </c>
      <c r="L7" s="26">
        <f>SUM(J7:J34)</f>
        <v>166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SUM(K7:K34)</f>
        <v>1019.0370539999999</v>
      </c>
    </row>
    <row r="9" spans="1:12" s="27" customFormat="1" ht="19.5" customHeight="1" x14ac:dyDescent="0.3">
      <c r="A9" s="28" t="s">
        <v>3721</v>
      </c>
      <c r="B9" s="16" t="s">
        <v>21</v>
      </c>
      <c r="C9" s="17">
        <v>25.76</v>
      </c>
      <c r="D9" s="18" t="s">
        <v>227</v>
      </c>
      <c r="E9" s="41">
        <v>1</v>
      </c>
      <c r="F9" s="42">
        <v>0.43</v>
      </c>
      <c r="G9" s="34"/>
      <c r="H9" s="35"/>
      <c r="I9" s="36"/>
      <c r="J9" s="37"/>
      <c r="K9" s="25">
        <f t="shared" si="0"/>
        <v>0</v>
      </c>
      <c r="L9" s="39" t="s">
        <v>31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>
        <f t="shared" si="0"/>
        <v>0</v>
      </c>
      <c r="L10" s="39"/>
    </row>
    <row r="11" spans="1:12" s="27" customFormat="1" ht="19.5" customHeight="1" x14ac:dyDescent="0.3">
      <c r="A11" s="28" t="s">
        <v>3713</v>
      </c>
      <c r="B11" s="16" t="s">
        <v>306</v>
      </c>
      <c r="C11" s="17">
        <v>22</v>
      </c>
      <c r="D11" s="18" t="s">
        <v>307</v>
      </c>
      <c r="E11" s="41">
        <v>120</v>
      </c>
      <c r="F11" s="42">
        <v>100.2</v>
      </c>
      <c r="G11" s="34" t="s">
        <v>286</v>
      </c>
      <c r="H11" s="35">
        <v>1829</v>
      </c>
      <c r="I11" s="36">
        <v>3353</v>
      </c>
      <c r="J11" s="37">
        <v>34</v>
      </c>
      <c r="K11" s="25">
        <f t="shared" si="0"/>
        <v>208.509658</v>
      </c>
      <c r="L11" s="39" t="s">
        <v>425</v>
      </c>
    </row>
    <row r="12" spans="1:12" s="27" customFormat="1" ht="19.5" customHeight="1" x14ac:dyDescent="0.3">
      <c r="A12" s="28"/>
      <c r="B12" s="16"/>
      <c r="C12" s="17">
        <v>22</v>
      </c>
      <c r="D12" s="18" t="s">
        <v>320</v>
      </c>
      <c r="E12" s="41">
        <v>120</v>
      </c>
      <c r="F12" s="42">
        <v>100.2</v>
      </c>
      <c r="G12" s="34" t="s">
        <v>286</v>
      </c>
      <c r="H12" s="35">
        <v>1981</v>
      </c>
      <c r="I12" s="36">
        <v>3353</v>
      </c>
      <c r="J12" s="37">
        <v>1</v>
      </c>
      <c r="K12" s="25">
        <f t="shared" si="0"/>
        <v>6.6422930000000004</v>
      </c>
      <c r="L12" s="39" t="s">
        <v>425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 t="s">
        <v>3640</v>
      </c>
      <c r="B14" s="16" t="s">
        <v>353</v>
      </c>
      <c r="C14" s="17">
        <v>22</v>
      </c>
      <c r="D14" s="18" t="s">
        <v>320</v>
      </c>
      <c r="E14" s="41">
        <v>122</v>
      </c>
      <c r="F14" s="42">
        <v>101.58</v>
      </c>
      <c r="G14" s="34" t="s">
        <v>286</v>
      </c>
      <c r="H14" s="35">
        <v>1829</v>
      </c>
      <c r="I14" s="36">
        <v>3353</v>
      </c>
      <c r="J14" s="37">
        <v>17</v>
      </c>
      <c r="K14" s="25">
        <f t="shared" si="0"/>
        <v>104.254829</v>
      </c>
      <c r="L14" s="39" t="s">
        <v>425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25">
        <f t="shared" si="0"/>
        <v>0</v>
      </c>
      <c r="L15" s="39"/>
    </row>
    <row r="16" spans="1:12" s="27" customFormat="1" ht="19.5" customHeight="1" x14ac:dyDescent="0.3">
      <c r="A16" s="28" t="s">
        <v>3722</v>
      </c>
      <c r="B16" s="16" t="s">
        <v>353</v>
      </c>
      <c r="C16" s="17">
        <v>22</v>
      </c>
      <c r="D16" s="18" t="s">
        <v>307</v>
      </c>
      <c r="E16" s="41">
        <v>77</v>
      </c>
      <c r="F16" s="42">
        <v>75.27</v>
      </c>
      <c r="G16" s="34" t="s">
        <v>286</v>
      </c>
      <c r="H16" s="35">
        <v>1829</v>
      </c>
      <c r="I16" s="36">
        <v>3353</v>
      </c>
      <c r="J16" s="37">
        <v>28</v>
      </c>
      <c r="K16" s="25">
        <f t="shared" si="0"/>
        <v>171.71383599999999</v>
      </c>
      <c r="L16" s="39" t="s">
        <v>425</v>
      </c>
    </row>
    <row r="17" spans="1:12" s="27" customFormat="1" ht="19.5" customHeight="1" x14ac:dyDescent="0.3">
      <c r="A17" s="28"/>
      <c r="B17" s="16"/>
      <c r="C17" s="17">
        <v>22</v>
      </c>
      <c r="D17" s="18" t="s">
        <v>320</v>
      </c>
      <c r="E17" s="41">
        <v>77</v>
      </c>
      <c r="F17" s="42">
        <v>75.569999999999993</v>
      </c>
      <c r="G17" s="34" t="s">
        <v>18</v>
      </c>
      <c r="H17" s="35">
        <v>1829</v>
      </c>
      <c r="I17" s="36">
        <v>3353</v>
      </c>
      <c r="J17" s="37">
        <v>14</v>
      </c>
      <c r="K17" s="25">
        <f t="shared" si="0"/>
        <v>85.856917999999993</v>
      </c>
      <c r="L17" s="39" t="s">
        <v>505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 t="s">
        <v>3723</v>
      </c>
      <c r="B19" s="16" t="s">
        <v>353</v>
      </c>
      <c r="C19" s="17">
        <v>22</v>
      </c>
      <c r="D19" s="18" t="s">
        <v>307</v>
      </c>
      <c r="E19" s="41">
        <v>82</v>
      </c>
      <c r="F19" s="42">
        <v>70.86</v>
      </c>
      <c r="G19" s="34" t="s">
        <v>286</v>
      </c>
      <c r="H19" s="35">
        <v>1829</v>
      </c>
      <c r="I19" s="36">
        <v>3353</v>
      </c>
      <c r="J19" s="37">
        <v>25</v>
      </c>
      <c r="K19" s="25">
        <f t="shared" si="0"/>
        <v>153.31592499999999</v>
      </c>
      <c r="L19" s="39" t="s">
        <v>425</v>
      </c>
    </row>
    <row r="20" spans="1:12" s="27" customFormat="1" ht="19.5" customHeight="1" x14ac:dyDescent="0.3">
      <c r="A20" s="28"/>
      <c r="B20" s="16"/>
      <c r="C20" s="17">
        <v>22</v>
      </c>
      <c r="D20" s="18" t="s">
        <v>320</v>
      </c>
      <c r="E20" s="41">
        <v>82</v>
      </c>
      <c r="F20" s="42">
        <v>70.86</v>
      </c>
      <c r="G20" s="34"/>
      <c r="H20" s="35"/>
      <c r="I20" s="36"/>
      <c r="J20" s="37"/>
      <c r="K20" s="25">
        <f t="shared" si="0"/>
        <v>0</v>
      </c>
      <c r="L20" s="39" t="s">
        <v>425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 t="s">
        <v>57</v>
      </c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 t="s">
        <v>3750</v>
      </c>
      <c r="B23" s="16" t="s">
        <v>3749</v>
      </c>
      <c r="C23" s="17">
        <v>22</v>
      </c>
      <c r="D23" s="18" t="s">
        <v>307</v>
      </c>
      <c r="E23" s="41">
        <v>105</v>
      </c>
      <c r="F23" s="42">
        <v>98.57</v>
      </c>
      <c r="G23" s="34" t="s">
        <v>3751</v>
      </c>
      <c r="H23" s="35">
        <v>1829</v>
      </c>
      <c r="I23" s="36">
        <v>3353</v>
      </c>
      <c r="J23" s="37">
        <v>17</v>
      </c>
      <c r="K23" s="25">
        <f t="shared" si="0"/>
        <v>104.254829</v>
      </c>
      <c r="L23" s="39" t="s">
        <v>3779</v>
      </c>
    </row>
    <row r="24" spans="1:12" s="27" customFormat="1" ht="19.5" customHeight="1" x14ac:dyDescent="0.3">
      <c r="A24" s="28"/>
      <c r="B24" s="16"/>
      <c r="C24" s="17">
        <v>22</v>
      </c>
      <c r="D24" s="18" t="s">
        <v>320</v>
      </c>
      <c r="E24" s="41">
        <v>105</v>
      </c>
      <c r="F24" s="42">
        <v>98.57</v>
      </c>
      <c r="G24" s="34" t="s">
        <v>3751</v>
      </c>
      <c r="H24" s="35">
        <v>1829</v>
      </c>
      <c r="I24" s="36">
        <v>3353</v>
      </c>
      <c r="J24" s="37">
        <v>17</v>
      </c>
      <c r="K24" s="25">
        <f t="shared" si="0"/>
        <v>104.254829</v>
      </c>
      <c r="L24" s="39" t="s">
        <v>3779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 t="s">
        <v>3751</v>
      </c>
      <c r="H25" s="35">
        <v>1981</v>
      </c>
      <c r="I25" s="36">
        <v>3353</v>
      </c>
      <c r="J25" s="37">
        <v>1</v>
      </c>
      <c r="K25" s="25">
        <f t="shared" si="0"/>
        <v>6.6422930000000004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 t="s">
        <v>3752</v>
      </c>
      <c r="B27" s="16" t="s">
        <v>3753</v>
      </c>
      <c r="C27" s="17">
        <v>22</v>
      </c>
      <c r="D27" s="18" t="s">
        <v>3754</v>
      </c>
      <c r="E27" s="41">
        <v>82</v>
      </c>
      <c r="F27" s="42">
        <v>70.86</v>
      </c>
      <c r="G27" s="34" t="s">
        <v>3751</v>
      </c>
      <c r="H27" s="35">
        <v>1829</v>
      </c>
      <c r="I27" s="36">
        <v>3353</v>
      </c>
      <c r="J27" s="37">
        <v>12</v>
      </c>
      <c r="K27" s="25">
        <f t="shared" si="0"/>
        <v>73.591644000000002</v>
      </c>
      <c r="L27" s="39" t="s">
        <v>425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/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/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/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/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38">
        <f t="shared" si="0"/>
        <v>0</v>
      </c>
      <c r="L34" s="39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3718</v>
      </c>
      <c r="B36" s="45" t="s">
        <v>1568</v>
      </c>
      <c r="C36" s="46">
        <v>39</v>
      </c>
      <c r="D36" s="47" t="s">
        <v>1569</v>
      </c>
      <c r="E36" s="48">
        <v>59</v>
      </c>
      <c r="F36" s="49">
        <v>69.739999999999995</v>
      </c>
      <c r="G36" s="50" t="s">
        <v>62</v>
      </c>
      <c r="H36" s="51">
        <v>2438</v>
      </c>
      <c r="I36" s="45">
        <v>3048</v>
      </c>
      <c r="J36" s="52">
        <v>11</v>
      </c>
      <c r="K36" s="53">
        <f t="shared" si="0"/>
        <v>81.741264000000001</v>
      </c>
      <c r="L36" s="54"/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 t="s">
        <v>18</v>
      </c>
      <c r="H37" s="51">
        <v>2590</v>
      </c>
      <c r="I37" s="45">
        <v>3048</v>
      </c>
      <c r="J37" s="52">
        <v>3</v>
      </c>
      <c r="K37" s="53">
        <f t="shared" si="0"/>
        <v>23.682959999999998</v>
      </c>
      <c r="L37" s="54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 t="s">
        <v>18</v>
      </c>
      <c r="H38" s="51">
        <v>2438</v>
      </c>
      <c r="I38" s="45">
        <v>3048</v>
      </c>
      <c r="J38" s="52">
        <v>8</v>
      </c>
      <c r="K38" s="53">
        <f t="shared" si="0"/>
        <v>59.448192000000006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3724</v>
      </c>
      <c r="B40" s="45" t="s">
        <v>1568</v>
      </c>
      <c r="C40" s="46">
        <v>39</v>
      </c>
      <c r="D40" s="47" t="s">
        <v>1569</v>
      </c>
      <c r="E40" s="48">
        <v>4</v>
      </c>
      <c r="F40" s="49">
        <v>6.63</v>
      </c>
      <c r="G40" s="50" t="s">
        <v>62</v>
      </c>
      <c r="H40" s="51">
        <v>1981</v>
      </c>
      <c r="I40" s="45">
        <v>3353</v>
      </c>
      <c r="J40" s="52">
        <v>1</v>
      </c>
      <c r="K40" s="53">
        <f t="shared" si="0"/>
        <v>6.6422930000000004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 t="s">
        <v>18</v>
      </c>
      <c r="H41" s="51">
        <v>2590</v>
      </c>
      <c r="I41" s="45">
        <v>3353</v>
      </c>
      <c r="J41" s="52">
        <v>1</v>
      </c>
      <c r="K41" s="53">
        <f t="shared" si="0"/>
        <v>8.6842699999999979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 t="s">
        <v>18</v>
      </c>
      <c r="H42" s="51">
        <v>1981</v>
      </c>
      <c r="I42" s="45">
        <v>3353</v>
      </c>
      <c r="J42" s="52">
        <v>1</v>
      </c>
      <c r="K42" s="53">
        <f t="shared" si="0"/>
        <v>6.6422930000000004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3725</v>
      </c>
      <c r="B44" s="45" t="s">
        <v>363</v>
      </c>
      <c r="C44" s="46">
        <v>43</v>
      </c>
      <c r="D44" s="47" t="s">
        <v>2802</v>
      </c>
      <c r="E44" s="48">
        <v>24</v>
      </c>
      <c r="F44" s="49">
        <v>35.04</v>
      </c>
      <c r="G44" s="50" t="s">
        <v>421</v>
      </c>
      <c r="H44" s="51">
        <v>2438</v>
      </c>
      <c r="I44" s="45">
        <v>3353</v>
      </c>
      <c r="J44" s="52">
        <v>8</v>
      </c>
      <c r="K44" s="53">
        <f t="shared" si="0"/>
        <v>65.396912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421</v>
      </c>
      <c r="H45" s="51">
        <v>2134</v>
      </c>
      <c r="I45" s="45">
        <v>3048</v>
      </c>
      <c r="J45" s="52">
        <v>2</v>
      </c>
      <c r="K45" s="53">
        <f t="shared" si="0"/>
        <v>13.008863999999999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 t="s">
        <v>18</v>
      </c>
      <c r="H46" s="51">
        <v>1981</v>
      </c>
      <c r="I46" s="45">
        <v>3353</v>
      </c>
      <c r="J46" s="52">
        <v>6</v>
      </c>
      <c r="K46" s="53">
        <f t="shared" si="0"/>
        <v>39.853757999999999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3726</v>
      </c>
      <c r="B48" s="45" t="s">
        <v>363</v>
      </c>
      <c r="C48" s="46">
        <v>43</v>
      </c>
      <c r="D48" s="47" t="s">
        <v>2802</v>
      </c>
      <c r="E48" s="48">
        <v>25</v>
      </c>
      <c r="F48" s="49">
        <v>35.29</v>
      </c>
      <c r="G48" s="50" t="s">
        <v>421</v>
      </c>
      <c r="H48" s="51">
        <v>2134</v>
      </c>
      <c r="I48" s="45">
        <v>3048</v>
      </c>
      <c r="J48" s="52">
        <v>12</v>
      </c>
      <c r="K48" s="53">
        <f t="shared" si="0"/>
        <v>78.053183999999987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421</v>
      </c>
      <c r="H49" s="51">
        <v>2438</v>
      </c>
      <c r="I49" s="45">
        <v>3353</v>
      </c>
      <c r="J49" s="52">
        <v>1</v>
      </c>
      <c r="K49" s="53">
        <f t="shared" si="0"/>
        <v>8.174614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 t="s">
        <v>18</v>
      </c>
      <c r="H50" s="51">
        <v>1981</v>
      </c>
      <c r="I50" s="45">
        <v>3353</v>
      </c>
      <c r="J50" s="52">
        <v>6</v>
      </c>
      <c r="K50" s="53">
        <f t="shared" si="0"/>
        <v>39.853757999999999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3570</v>
      </c>
      <c r="B52" s="45" t="s">
        <v>3566</v>
      </c>
      <c r="C52" s="46">
        <v>24</v>
      </c>
      <c r="D52" s="47" t="s">
        <v>3567</v>
      </c>
      <c r="E52" s="48">
        <v>5</v>
      </c>
      <c r="F52" s="49">
        <v>6.29</v>
      </c>
      <c r="G52" s="50" t="s">
        <v>3727</v>
      </c>
      <c r="H52" s="51">
        <v>1981</v>
      </c>
      <c r="I52" s="45">
        <v>3658</v>
      </c>
      <c r="J52" s="52">
        <v>2</v>
      </c>
      <c r="K52" s="53">
        <f t="shared" si="0"/>
        <v>14.492996000000002</v>
      </c>
      <c r="L52" s="54" t="s">
        <v>3728</v>
      </c>
    </row>
    <row r="53" spans="1:12" s="55" customFormat="1" ht="19.5" customHeight="1" x14ac:dyDescent="0.3">
      <c r="A53" s="44" t="s">
        <v>3565</v>
      </c>
      <c r="B53" s="45" t="s">
        <v>3566</v>
      </c>
      <c r="C53" s="46">
        <v>24</v>
      </c>
      <c r="D53" s="47" t="s">
        <v>3567</v>
      </c>
      <c r="E53" s="48">
        <v>2</v>
      </c>
      <c r="F53" s="49">
        <v>2.92</v>
      </c>
      <c r="G53" s="50"/>
      <c r="H53" s="51"/>
      <c r="I53" s="45"/>
      <c r="J53" s="52"/>
      <c r="K53" s="53">
        <f t="shared" si="0"/>
        <v>0</v>
      </c>
      <c r="L53" s="54" t="s">
        <v>3728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3717</v>
      </c>
      <c r="B55" s="45" t="s">
        <v>1568</v>
      </c>
      <c r="C55" s="46">
        <v>24</v>
      </c>
      <c r="D55" s="47" t="s">
        <v>3074</v>
      </c>
      <c r="E55" s="48">
        <v>71</v>
      </c>
      <c r="F55" s="49">
        <v>41.69</v>
      </c>
      <c r="G55" s="50" t="s">
        <v>18</v>
      </c>
      <c r="H55" s="51">
        <v>2590</v>
      </c>
      <c r="I55" s="45">
        <v>3353</v>
      </c>
      <c r="J55" s="52">
        <v>5</v>
      </c>
      <c r="K55" s="53">
        <f t="shared" si="0"/>
        <v>43.42134999999999</v>
      </c>
      <c r="L55" s="54" t="s">
        <v>100</v>
      </c>
    </row>
    <row r="56" spans="1:12" s="55" customFormat="1" ht="19.5" customHeight="1" x14ac:dyDescent="0.3">
      <c r="A56" s="44"/>
      <c r="B56" s="45"/>
      <c r="C56" s="46">
        <v>39</v>
      </c>
      <c r="D56" s="47" t="s">
        <v>1569</v>
      </c>
      <c r="E56" s="48">
        <v>12</v>
      </c>
      <c r="F56" s="49">
        <v>11.88</v>
      </c>
      <c r="G56" s="50" t="s">
        <v>62</v>
      </c>
      <c r="H56" s="51">
        <v>2438</v>
      </c>
      <c r="I56" s="45">
        <v>3048</v>
      </c>
      <c r="J56" s="52">
        <v>2</v>
      </c>
      <c r="K56" s="53">
        <f t="shared" si="0"/>
        <v>14.862048000000001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 t="s">
        <v>18</v>
      </c>
      <c r="H57" s="51">
        <v>2286</v>
      </c>
      <c r="I57" s="45">
        <v>3048</v>
      </c>
      <c r="J57" s="52">
        <v>1</v>
      </c>
      <c r="K57" s="53">
        <f t="shared" si="0"/>
        <v>6.9677280000000001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 t="s">
        <v>18</v>
      </c>
      <c r="H58" s="51">
        <v>1981</v>
      </c>
      <c r="I58" s="45">
        <v>3353</v>
      </c>
      <c r="J58" s="52">
        <v>1</v>
      </c>
      <c r="K58" s="53">
        <f t="shared" si="0"/>
        <v>6.6422930000000004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 t="s">
        <v>18</v>
      </c>
      <c r="H59" s="51">
        <v>2438</v>
      </c>
      <c r="I59" s="45">
        <v>3048</v>
      </c>
      <c r="J59" s="52">
        <v>2</v>
      </c>
      <c r="K59" s="53">
        <f t="shared" si="0"/>
        <v>14.862048000000001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57</v>
      </c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3776</v>
      </c>
      <c r="B62" s="45" t="s">
        <v>3777</v>
      </c>
      <c r="C62" s="46">
        <v>28</v>
      </c>
      <c r="D62" s="47" t="s">
        <v>3770</v>
      </c>
      <c r="E62" s="48">
        <v>76</v>
      </c>
      <c r="F62" s="49">
        <v>113.14</v>
      </c>
      <c r="G62" s="50" t="s">
        <v>3773</v>
      </c>
      <c r="H62" s="51">
        <v>2438</v>
      </c>
      <c r="I62" s="45">
        <v>3353</v>
      </c>
      <c r="J62" s="52">
        <v>43</v>
      </c>
      <c r="K62" s="53">
        <f t="shared" si="0"/>
        <v>351.50840199999999</v>
      </c>
      <c r="L62" s="54" t="s">
        <v>3778</v>
      </c>
    </row>
    <row r="63" spans="1:12" s="55" customFormat="1" ht="19.5" customHeight="1" x14ac:dyDescent="0.3">
      <c r="A63" s="44"/>
      <c r="B63" s="45"/>
      <c r="C63" s="46"/>
      <c r="D63" s="47" t="s">
        <v>3771</v>
      </c>
      <c r="E63" s="48">
        <v>74</v>
      </c>
      <c r="F63" s="49">
        <v>48.78</v>
      </c>
      <c r="G63" s="50" t="s">
        <v>3773</v>
      </c>
      <c r="H63" s="51">
        <v>2134</v>
      </c>
      <c r="I63" s="45">
        <v>3353</v>
      </c>
      <c r="J63" s="52">
        <v>1</v>
      </c>
      <c r="K63" s="53">
        <f t="shared" si="0"/>
        <v>7.1553019999999998</v>
      </c>
      <c r="L63" s="54" t="s">
        <v>3778</v>
      </c>
    </row>
    <row r="64" spans="1:12" s="55" customFormat="1" ht="19.5" customHeight="1" x14ac:dyDescent="0.3">
      <c r="A64" s="44"/>
      <c r="B64" s="45"/>
      <c r="C64" s="46"/>
      <c r="D64" s="47" t="s">
        <v>3772</v>
      </c>
      <c r="E64" s="48">
        <v>51</v>
      </c>
      <c r="F64" s="49">
        <v>130.5</v>
      </c>
      <c r="G64" s="50"/>
      <c r="H64" s="51"/>
      <c r="I64" s="45"/>
      <c r="J64" s="52"/>
      <c r="K64" s="53">
        <f t="shared" si="0"/>
        <v>0</v>
      </c>
      <c r="L64" s="54" t="s">
        <v>3778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9" customFormat="1" ht="20.100000000000001" customHeight="1" x14ac:dyDescent="0.3">
      <c r="A66" s="44"/>
      <c r="B66" s="45"/>
      <c r="C66" s="46"/>
      <c r="D66" s="47"/>
      <c r="E66" s="56"/>
      <c r="F66" s="57"/>
      <c r="G66" s="50"/>
      <c r="H66" s="51"/>
      <c r="I66" s="45"/>
      <c r="J66" s="52"/>
      <c r="K66" s="53">
        <f t="shared" si="0"/>
        <v>0</v>
      </c>
      <c r="L66" s="58">
        <f>SUM(J35:J67)</f>
        <v>117</v>
      </c>
    </row>
    <row r="67" spans="1:12" s="59" customFormat="1" ht="20.100000000000001" customHeight="1" x14ac:dyDescent="0.3">
      <c r="A67" s="44"/>
      <c r="B67" s="45"/>
      <c r="C67" s="46"/>
      <c r="D67" s="47"/>
      <c r="E67" s="60"/>
      <c r="F67" s="61"/>
      <c r="G67" s="62"/>
      <c r="H67" s="51"/>
      <c r="I67" s="45"/>
      <c r="J67" s="63"/>
      <c r="K67" s="53">
        <f t="shared" si="0"/>
        <v>0</v>
      </c>
      <c r="L67" s="64">
        <f>SUM(K35:K67)</f>
        <v>891.09452900000008</v>
      </c>
    </row>
    <row r="68" spans="1:12" s="59" customFormat="1" ht="20.100000000000001" customHeight="1" thickBot="1" x14ac:dyDescent="0.35">
      <c r="A68" s="114"/>
      <c r="B68" s="115"/>
      <c r="C68" s="115"/>
      <c r="D68" s="115"/>
      <c r="E68" s="115"/>
      <c r="F68" s="115"/>
      <c r="G68" s="115"/>
      <c r="H68" s="115"/>
      <c r="I68" s="115"/>
      <c r="J68" s="65">
        <f>SUM(J7:J67)</f>
        <v>283</v>
      </c>
      <c r="K68" s="66">
        <f>SUM(K7:K67)</f>
        <v>1910.1315830000001</v>
      </c>
      <c r="L68" s="67"/>
    </row>
    <row r="69" spans="1:12" s="59" customFormat="1" ht="20.100000000000001" customHeight="1" thickTop="1" thickBot="1" x14ac:dyDescent="0.35">
      <c r="A69" s="116" t="s">
        <v>52</v>
      </c>
      <c r="B69" s="117"/>
      <c r="C69" s="68"/>
      <c r="D69" s="118">
        <f>J68</f>
        <v>283</v>
      </c>
      <c r="E69" s="119"/>
      <c r="F69" s="119"/>
      <c r="G69" s="120"/>
      <c r="H69" s="121"/>
      <c r="I69" s="121"/>
      <c r="J69" s="122"/>
      <c r="K69" s="119"/>
      <c r="L69" s="123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71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72"/>
      <c r="F75" s="5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5"/>
      <c r="G76" s="73"/>
      <c r="H76" s="5"/>
      <c r="I76" s="74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72"/>
      <c r="I80" s="72"/>
      <c r="J80" s="5"/>
      <c r="K80" s="5"/>
      <c r="L80" s="5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A84" s="113"/>
      <c r="B84" s="113"/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5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19.5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ht="19.5" customHeight="1" x14ac:dyDescent="0.3"/>
    <row r="97" spans="2:12" ht="19.5" customHeight="1" x14ac:dyDescent="0.3"/>
    <row r="98" spans="2:12" ht="19.5" customHeight="1" x14ac:dyDescent="0.3"/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>
        <v>2</v>
      </c>
      <c r="C159" s="5"/>
      <c r="D159" s="5"/>
      <c r="E159" s="5"/>
      <c r="F159" s="70"/>
      <c r="G159" s="5"/>
      <c r="H159" s="5"/>
      <c r="I159" s="5"/>
      <c r="J159" s="5"/>
      <c r="K159" s="5"/>
      <c r="L159" s="5"/>
    </row>
  </sheetData>
  <mergeCells count="30">
    <mergeCell ref="A84:B84"/>
    <mergeCell ref="A85:B85"/>
    <mergeCell ref="A75:B75"/>
    <mergeCell ref="A76:B76"/>
    <mergeCell ref="A77:B77"/>
    <mergeCell ref="A79:B79"/>
    <mergeCell ref="A80:B80"/>
    <mergeCell ref="A81:B81"/>
    <mergeCell ref="A74:B7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8:I68"/>
    <mergeCell ref="A69:B69"/>
    <mergeCell ref="D69:G69"/>
    <mergeCell ref="H69:J69"/>
    <mergeCell ref="K69:L69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L158"/>
  <sheetViews>
    <sheetView view="pageBreakPreview" topLeftCell="F52" zoomScale="85" zoomScaleSheetLayoutView="85" workbookViewId="0">
      <selection activeCell="L65" sqref="L65:L66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46155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6" si="0">(H7/1000*I7/1000)*J7</f>
        <v>0</v>
      </c>
      <c r="L7" s="26">
        <f>SUM(J7:J33)</f>
        <v>49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SUM(K7:K33)</f>
        <v>302.48019900000003</v>
      </c>
    </row>
    <row r="9" spans="1:12" s="27" customFormat="1" ht="19.5" customHeight="1" x14ac:dyDescent="0.3">
      <c r="A9" s="28" t="s">
        <v>3708</v>
      </c>
      <c r="B9" s="16" t="s">
        <v>2720</v>
      </c>
      <c r="C9" s="17">
        <v>22</v>
      </c>
      <c r="D9" s="18" t="s">
        <v>45</v>
      </c>
      <c r="E9" s="41">
        <v>3</v>
      </c>
      <c r="F9" s="42">
        <v>2.94</v>
      </c>
      <c r="G9" s="34" t="s">
        <v>49</v>
      </c>
      <c r="H9" s="35">
        <v>1829</v>
      </c>
      <c r="I9" s="36">
        <v>3353</v>
      </c>
      <c r="J9" s="37">
        <v>1</v>
      </c>
      <c r="K9" s="25">
        <f t="shared" si="0"/>
        <v>6.1326369999999999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17</v>
      </c>
      <c r="E10" s="41">
        <v>3</v>
      </c>
      <c r="F10" s="42">
        <v>4.57</v>
      </c>
      <c r="G10" s="34" t="s">
        <v>18</v>
      </c>
      <c r="H10" s="35">
        <v>1981</v>
      </c>
      <c r="I10" s="36">
        <v>3353</v>
      </c>
      <c r="J10" s="37">
        <v>1</v>
      </c>
      <c r="K10" s="25">
        <f t="shared" si="0"/>
        <v>6.6422930000000004</v>
      </c>
      <c r="L10" s="39"/>
    </row>
    <row r="11" spans="1:12" s="27" customFormat="1" ht="19.5" customHeight="1" x14ac:dyDescent="0.3">
      <c r="A11" s="28"/>
      <c r="B11" s="16"/>
      <c r="C11" s="17">
        <v>22</v>
      </c>
      <c r="D11" s="18" t="s">
        <v>45</v>
      </c>
      <c r="E11" s="41">
        <v>3</v>
      </c>
      <c r="F11" s="42">
        <v>4.28</v>
      </c>
      <c r="G11" s="34" t="s">
        <v>19</v>
      </c>
      <c r="H11" s="35">
        <v>1981</v>
      </c>
      <c r="I11" s="36">
        <v>3353</v>
      </c>
      <c r="J11" s="37">
        <v>2</v>
      </c>
      <c r="K11" s="25">
        <f t="shared" si="0"/>
        <v>13.284586000000001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 t="s">
        <v>3709</v>
      </c>
      <c r="B13" s="16" t="s">
        <v>3691</v>
      </c>
      <c r="C13" s="17">
        <v>22</v>
      </c>
      <c r="D13" s="18" t="s">
        <v>45</v>
      </c>
      <c r="E13" s="41">
        <v>1</v>
      </c>
      <c r="F13" s="42">
        <v>0.28000000000000003</v>
      </c>
      <c r="G13" s="34"/>
      <c r="H13" s="35"/>
      <c r="I13" s="36"/>
      <c r="J13" s="37"/>
      <c r="K13" s="25">
        <f t="shared" si="0"/>
        <v>0</v>
      </c>
      <c r="L13" s="39" t="s">
        <v>31</v>
      </c>
    </row>
    <row r="14" spans="1:12" s="27" customFormat="1" ht="19.5" customHeight="1" x14ac:dyDescent="0.3">
      <c r="A14" s="28"/>
      <c r="B14" s="16"/>
      <c r="C14" s="17">
        <v>22</v>
      </c>
      <c r="D14" s="18" t="s">
        <v>17</v>
      </c>
      <c r="E14" s="41">
        <v>1</v>
      </c>
      <c r="F14" s="42">
        <v>0.28000000000000003</v>
      </c>
      <c r="G14" s="34"/>
      <c r="H14" s="35"/>
      <c r="I14" s="36"/>
      <c r="J14" s="37"/>
      <c r="K14" s="25">
        <f t="shared" si="0"/>
        <v>0</v>
      </c>
      <c r="L14" s="39" t="s">
        <v>31</v>
      </c>
    </row>
    <row r="15" spans="1:12" s="27" customFormat="1" ht="19.5" customHeight="1" x14ac:dyDescent="0.3">
      <c r="A15" s="28"/>
      <c r="B15" s="16"/>
      <c r="C15" s="17">
        <v>22</v>
      </c>
      <c r="D15" s="18" t="s">
        <v>45</v>
      </c>
      <c r="E15" s="41">
        <v>1</v>
      </c>
      <c r="F15" s="42">
        <v>0.28000000000000003</v>
      </c>
      <c r="G15" s="34"/>
      <c r="H15" s="35"/>
      <c r="I15" s="36"/>
      <c r="J15" s="37"/>
      <c r="K15" s="25">
        <f t="shared" si="0"/>
        <v>0</v>
      </c>
      <c r="L15" s="39" t="s">
        <v>31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 t="s">
        <v>3710</v>
      </c>
      <c r="B17" s="16" t="s">
        <v>2941</v>
      </c>
      <c r="C17" s="17">
        <v>24</v>
      </c>
      <c r="D17" s="18" t="s">
        <v>2647</v>
      </c>
      <c r="E17" s="41">
        <v>6</v>
      </c>
      <c r="F17" s="42">
        <v>16.440000000000001</v>
      </c>
      <c r="G17" s="34" t="s">
        <v>336</v>
      </c>
      <c r="H17" s="35">
        <v>1981</v>
      </c>
      <c r="I17" s="36">
        <v>3048</v>
      </c>
      <c r="J17" s="37">
        <v>3</v>
      </c>
      <c r="K17" s="25">
        <f t="shared" si="0"/>
        <v>18.114264000000002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62</v>
      </c>
      <c r="H18" s="35">
        <v>1981</v>
      </c>
      <c r="I18" s="36">
        <v>3048</v>
      </c>
      <c r="J18" s="37">
        <v>3</v>
      </c>
      <c r="K18" s="25">
        <f t="shared" si="0"/>
        <v>18.114264000000002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0"/>
        <v>0</v>
      </c>
      <c r="L19" s="39"/>
    </row>
    <row r="20" spans="1:12" s="27" customFormat="1" ht="19.5" customHeight="1" x14ac:dyDescent="0.3">
      <c r="A20" s="28" t="s">
        <v>3711</v>
      </c>
      <c r="B20" s="16" t="s">
        <v>2662</v>
      </c>
      <c r="C20" s="17">
        <v>22</v>
      </c>
      <c r="D20" s="18" t="s">
        <v>665</v>
      </c>
      <c r="E20" s="41">
        <v>1</v>
      </c>
      <c r="F20" s="42">
        <v>3.23</v>
      </c>
      <c r="G20" s="34" t="s">
        <v>49</v>
      </c>
      <c r="H20" s="35">
        <v>1829</v>
      </c>
      <c r="I20" s="36">
        <v>3353</v>
      </c>
      <c r="J20" s="37">
        <v>2</v>
      </c>
      <c r="K20" s="25">
        <f t="shared" si="0"/>
        <v>12.265274</v>
      </c>
      <c r="L20" s="39"/>
    </row>
    <row r="21" spans="1:12" s="27" customFormat="1" ht="19.5" customHeight="1" x14ac:dyDescent="0.3">
      <c r="A21" s="28"/>
      <c r="B21" s="16"/>
      <c r="C21" s="17">
        <v>22</v>
      </c>
      <c r="D21" s="18" t="s">
        <v>45</v>
      </c>
      <c r="E21" s="41">
        <v>13</v>
      </c>
      <c r="F21" s="42">
        <v>6.93</v>
      </c>
      <c r="G21" s="34" t="s">
        <v>3712</v>
      </c>
      <c r="H21" s="35">
        <v>1981</v>
      </c>
      <c r="I21" s="36">
        <v>3353</v>
      </c>
      <c r="J21" s="37">
        <v>2</v>
      </c>
      <c r="K21" s="25">
        <f t="shared" si="0"/>
        <v>13.284586000000001</v>
      </c>
      <c r="L21" s="39"/>
    </row>
    <row r="22" spans="1:12" s="27" customFormat="1" ht="19.5" customHeight="1" x14ac:dyDescent="0.3">
      <c r="A22" s="28"/>
      <c r="B22" s="16"/>
      <c r="C22" s="17">
        <v>22</v>
      </c>
      <c r="D22" s="18" t="s">
        <v>45</v>
      </c>
      <c r="E22" s="41">
        <v>2</v>
      </c>
      <c r="F22" s="42">
        <v>0.56000000000000005</v>
      </c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0"/>
        <v>0</v>
      </c>
      <c r="L23" s="39"/>
    </row>
    <row r="24" spans="1:12" s="27" customFormat="1" ht="19.5" customHeight="1" x14ac:dyDescent="0.3">
      <c r="A24" s="28" t="s">
        <v>3713</v>
      </c>
      <c r="B24" s="16" t="s">
        <v>306</v>
      </c>
      <c r="C24" s="17">
        <v>22</v>
      </c>
      <c r="D24" s="18" t="s">
        <v>307</v>
      </c>
      <c r="E24" s="41">
        <v>120</v>
      </c>
      <c r="F24" s="42">
        <v>100.2</v>
      </c>
      <c r="G24" s="34" t="s">
        <v>49</v>
      </c>
      <c r="H24" s="35">
        <v>1829</v>
      </c>
      <c r="I24" s="36">
        <v>3353</v>
      </c>
      <c r="J24" s="37">
        <v>18</v>
      </c>
      <c r="K24" s="25">
        <f t="shared" si="0"/>
        <v>110.387466</v>
      </c>
      <c r="L24" s="39" t="s">
        <v>3714</v>
      </c>
    </row>
    <row r="25" spans="1:12" s="27" customFormat="1" ht="19.5" customHeight="1" x14ac:dyDescent="0.3">
      <c r="A25" s="28"/>
      <c r="B25" s="16"/>
      <c r="C25" s="17">
        <v>22</v>
      </c>
      <c r="D25" s="18" t="s">
        <v>320</v>
      </c>
      <c r="E25" s="41">
        <v>120</v>
      </c>
      <c r="F25" s="42">
        <v>100.2</v>
      </c>
      <c r="G25" s="34" t="s">
        <v>18</v>
      </c>
      <c r="H25" s="35">
        <v>1829</v>
      </c>
      <c r="I25" s="36">
        <v>3353</v>
      </c>
      <c r="J25" s="37">
        <v>17</v>
      </c>
      <c r="K25" s="25">
        <f t="shared" si="0"/>
        <v>104.254829</v>
      </c>
      <c r="L25" s="39" t="s">
        <v>601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29"/>
      <c r="C33" s="30"/>
      <c r="D33" s="31"/>
      <c r="E33" s="41"/>
      <c r="F33" s="42"/>
      <c r="G33" s="43"/>
      <c r="H33" s="35"/>
      <c r="I33" s="36"/>
      <c r="J33" s="37"/>
      <c r="K33" s="38">
        <f t="shared" si="0"/>
        <v>0</v>
      </c>
      <c r="L33" s="39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3715</v>
      </c>
      <c r="B35" s="45" t="s">
        <v>110</v>
      </c>
      <c r="C35" s="46">
        <v>24</v>
      </c>
      <c r="D35" s="47" t="s">
        <v>26</v>
      </c>
      <c r="E35" s="48">
        <v>2</v>
      </c>
      <c r="F35" s="49">
        <v>2.48</v>
      </c>
      <c r="G35" s="50" t="s">
        <v>18</v>
      </c>
      <c r="H35" s="51">
        <v>1981</v>
      </c>
      <c r="I35" s="45">
        <v>3048</v>
      </c>
      <c r="J35" s="52">
        <v>2</v>
      </c>
      <c r="K35" s="53">
        <f t="shared" si="0"/>
        <v>12.076176000000002</v>
      </c>
      <c r="L35" s="54" t="s">
        <v>337</v>
      </c>
    </row>
    <row r="36" spans="1:12" s="55" customFormat="1" ht="19.5" customHeight="1" x14ac:dyDescent="0.3">
      <c r="A36" s="44"/>
      <c r="B36" s="45"/>
      <c r="C36" s="46">
        <v>5</v>
      </c>
      <c r="D36" s="47" t="s">
        <v>2014</v>
      </c>
      <c r="E36" s="48">
        <v>4</v>
      </c>
      <c r="F36" s="49">
        <v>6.96</v>
      </c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3262</v>
      </c>
      <c r="B38" s="45" t="s">
        <v>1890</v>
      </c>
      <c r="C38" s="46">
        <v>28</v>
      </c>
      <c r="D38" s="47" t="s">
        <v>1891</v>
      </c>
      <c r="E38" s="48">
        <v>3</v>
      </c>
      <c r="F38" s="49">
        <v>8.82</v>
      </c>
      <c r="G38" s="50" t="s">
        <v>3576</v>
      </c>
      <c r="H38" s="51">
        <v>2438</v>
      </c>
      <c r="I38" s="45">
        <v>3353</v>
      </c>
      <c r="J38" s="52">
        <v>1</v>
      </c>
      <c r="K38" s="53">
        <f t="shared" si="0"/>
        <v>8.174614</v>
      </c>
      <c r="L38" s="54" t="s">
        <v>831</v>
      </c>
    </row>
    <row r="39" spans="1:12" s="55" customFormat="1" ht="19.5" customHeight="1" x14ac:dyDescent="0.3">
      <c r="A39" s="44"/>
      <c r="B39" s="45"/>
      <c r="C39" s="46">
        <v>28</v>
      </c>
      <c r="D39" s="47" t="s">
        <v>1894</v>
      </c>
      <c r="E39" s="48">
        <v>3</v>
      </c>
      <c r="F39" s="49">
        <v>7.33</v>
      </c>
      <c r="G39" s="50" t="s">
        <v>3576</v>
      </c>
      <c r="H39" s="51">
        <v>2134</v>
      </c>
      <c r="I39" s="45">
        <v>3353</v>
      </c>
      <c r="J39" s="52">
        <v>2</v>
      </c>
      <c r="K39" s="53">
        <f t="shared" si="0"/>
        <v>14.310604</v>
      </c>
      <c r="L39" s="54" t="s">
        <v>831</v>
      </c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3278</v>
      </c>
      <c r="B41" s="45" t="s">
        <v>1890</v>
      </c>
      <c r="C41" s="46">
        <v>28</v>
      </c>
      <c r="D41" s="47" t="s">
        <v>1891</v>
      </c>
      <c r="E41" s="48">
        <v>10</v>
      </c>
      <c r="F41" s="49">
        <v>17.3</v>
      </c>
      <c r="G41" s="50" t="s">
        <v>3576</v>
      </c>
      <c r="H41" s="51">
        <v>2438</v>
      </c>
      <c r="I41" s="45">
        <v>3353</v>
      </c>
      <c r="J41" s="52">
        <v>4</v>
      </c>
      <c r="K41" s="53">
        <f t="shared" si="0"/>
        <v>32.698456</v>
      </c>
      <c r="L41" s="54" t="s">
        <v>831</v>
      </c>
    </row>
    <row r="42" spans="1:12" s="55" customFormat="1" ht="19.5" customHeight="1" x14ac:dyDescent="0.3">
      <c r="A42" s="44"/>
      <c r="B42" s="45"/>
      <c r="C42" s="46">
        <v>28</v>
      </c>
      <c r="D42" s="47" t="s">
        <v>1894</v>
      </c>
      <c r="E42" s="48">
        <v>5</v>
      </c>
      <c r="F42" s="49">
        <v>10.6</v>
      </c>
      <c r="G42" s="50" t="s">
        <v>3576</v>
      </c>
      <c r="H42" s="51">
        <v>2134</v>
      </c>
      <c r="I42" s="45">
        <v>3353</v>
      </c>
      <c r="J42" s="52">
        <v>1</v>
      </c>
      <c r="K42" s="53">
        <f t="shared" si="0"/>
        <v>7.1553019999999998</v>
      </c>
      <c r="L42" s="54" t="s">
        <v>831</v>
      </c>
    </row>
    <row r="43" spans="1:12" s="55" customFormat="1" ht="19.5" customHeight="1" x14ac:dyDescent="0.3">
      <c r="A43" s="44"/>
      <c r="B43" s="45"/>
      <c r="C43" s="46">
        <v>28</v>
      </c>
      <c r="D43" s="47" t="s">
        <v>1891</v>
      </c>
      <c r="E43" s="48">
        <v>2</v>
      </c>
      <c r="F43" s="49">
        <v>5.88</v>
      </c>
      <c r="G43" s="50"/>
      <c r="H43" s="51"/>
      <c r="I43" s="45"/>
      <c r="J43" s="52"/>
      <c r="K43" s="53">
        <f t="shared" si="0"/>
        <v>0</v>
      </c>
      <c r="L43" s="54" t="s">
        <v>831</v>
      </c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3278</v>
      </c>
      <c r="B45" s="45" t="s">
        <v>1890</v>
      </c>
      <c r="C45" s="46">
        <v>28</v>
      </c>
      <c r="D45" s="47" t="s">
        <v>1891</v>
      </c>
      <c r="E45" s="48">
        <v>1</v>
      </c>
      <c r="F45" s="49">
        <v>1.43</v>
      </c>
      <c r="G45" s="50" t="s">
        <v>189</v>
      </c>
      <c r="H45" s="51">
        <v>1829</v>
      </c>
      <c r="I45" s="45">
        <v>3353</v>
      </c>
      <c r="J45" s="52">
        <v>1</v>
      </c>
      <c r="K45" s="53">
        <f t="shared" si="0"/>
        <v>6.1326369999999999</v>
      </c>
      <c r="L45" s="54" t="s">
        <v>1407</v>
      </c>
    </row>
    <row r="46" spans="1:12" s="55" customFormat="1" ht="19.5" customHeight="1" x14ac:dyDescent="0.3">
      <c r="A46" s="44"/>
      <c r="B46" s="45"/>
      <c r="C46" s="46">
        <v>28</v>
      </c>
      <c r="D46" s="47" t="s">
        <v>1891</v>
      </c>
      <c r="E46" s="48">
        <v>2</v>
      </c>
      <c r="F46" s="49">
        <v>5.88</v>
      </c>
      <c r="G46" s="50"/>
      <c r="H46" s="51"/>
      <c r="I46" s="45"/>
      <c r="J46" s="52"/>
      <c r="K46" s="53">
        <f t="shared" si="0"/>
        <v>0</v>
      </c>
      <c r="L46" s="54" t="s">
        <v>1407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3716</v>
      </c>
      <c r="B48" s="45" t="s">
        <v>21</v>
      </c>
      <c r="C48" s="46">
        <v>22</v>
      </c>
      <c r="D48" s="47" t="s">
        <v>17</v>
      </c>
      <c r="E48" s="48">
        <v>168</v>
      </c>
      <c r="F48" s="49">
        <v>152.32</v>
      </c>
      <c r="G48" s="50" t="s">
        <v>18</v>
      </c>
      <c r="H48" s="51">
        <v>1981</v>
      </c>
      <c r="I48" s="45">
        <v>3353</v>
      </c>
      <c r="J48" s="52">
        <v>25</v>
      </c>
      <c r="K48" s="53">
        <f t="shared" si="0"/>
        <v>166.05732500000002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19</v>
      </c>
      <c r="H49" s="51">
        <v>1981</v>
      </c>
      <c r="I49" s="45">
        <v>3353</v>
      </c>
      <c r="J49" s="52">
        <v>25</v>
      </c>
      <c r="K49" s="53">
        <f t="shared" si="0"/>
        <v>166.05732500000002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3703</v>
      </c>
      <c r="B51" s="45" t="s">
        <v>21</v>
      </c>
      <c r="C51" s="46">
        <v>22</v>
      </c>
      <c r="D51" s="47" t="s">
        <v>17</v>
      </c>
      <c r="E51" s="48">
        <v>96</v>
      </c>
      <c r="F51" s="49">
        <v>77.400000000000006</v>
      </c>
      <c r="G51" s="50" t="s">
        <v>18</v>
      </c>
      <c r="H51" s="51">
        <v>1981</v>
      </c>
      <c r="I51" s="45">
        <v>3353</v>
      </c>
      <c r="J51" s="52">
        <v>13</v>
      </c>
      <c r="K51" s="53">
        <f t="shared" si="0"/>
        <v>86.349809000000008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 t="s">
        <v>19</v>
      </c>
      <c r="H52" s="51">
        <v>1981</v>
      </c>
      <c r="I52" s="45">
        <v>3353</v>
      </c>
      <c r="J52" s="52">
        <v>13</v>
      </c>
      <c r="K52" s="53">
        <f t="shared" si="0"/>
        <v>86.349809000000008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3705</v>
      </c>
      <c r="B54" s="45" t="s">
        <v>21</v>
      </c>
      <c r="C54" s="46">
        <v>22</v>
      </c>
      <c r="D54" s="47" t="s">
        <v>17</v>
      </c>
      <c r="E54" s="48">
        <v>108</v>
      </c>
      <c r="F54" s="49">
        <v>88.68</v>
      </c>
      <c r="G54" s="50" t="s">
        <v>18</v>
      </c>
      <c r="H54" s="51">
        <v>1981</v>
      </c>
      <c r="I54" s="45">
        <v>3353</v>
      </c>
      <c r="J54" s="52">
        <v>15</v>
      </c>
      <c r="K54" s="53">
        <f t="shared" si="0"/>
        <v>99.634395000000012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 t="s">
        <v>19</v>
      </c>
      <c r="H55" s="51">
        <v>1981</v>
      </c>
      <c r="I55" s="45">
        <v>3353</v>
      </c>
      <c r="J55" s="52">
        <v>15</v>
      </c>
      <c r="K55" s="53">
        <f t="shared" si="0"/>
        <v>99.634395000000012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3717</v>
      </c>
      <c r="B57" s="45" t="s">
        <v>1568</v>
      </c>
      <c r="C57" s="46">
        <v>24</v>
      </c>
      <c r="D57" s="47" t="s">
        <v>3074</v>
      </c>
      <c r="E57" s="48">
        <v>71</v>
      </c>
      <c r="F57" s="49">
        <v>41.69</v>
      </c>
      <c r="G57" s="50" t="s">
        <v>481</v>
      </c>
      <c r="H57" s="51">
        <v>2438</v>
      </c>
      <c r="I57" s="45">
        <v>3353</v>
      </c>
      <c r="J57" s="52">
        <v>6</v>
      </c>
      <c r="K57" s="53">
        <f t="shared" si="0"/>
        <v>49.047684000000004</v>
      </c>
      <c r="L57" s="54" t="s">
        <v>106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3718</v>
      </c>
      <c r="B59" s="45" t="s">
        <v>1568</v>
      </c>
      <c r="C59" s="46">
        <v>24</v>
      </c>
      <c r="D59" s="47" t="s">
        <v>3074</v>
      </c>
      <c r="E59" s="48">
        <v>11</v>
      </c>
      <c r="F59" s="49">
        <v>9.09</v>
      </c>
      <c r="G59" s="50" t="s">
        <v>481</v>
      </c>
      <c r="H59" s="51">
        <v>2438</v>
      </c>
      <c r="I59" s="45">
        <v>3353</v>
      </c>
      <c r="J59" s="52">
        <v>1</v>
      </c>
      <c r="K59" s="53">
        <f t="shared" si="0"/>
        <v>8.174614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 t="s">
        <v>18</v>
      </c>
      <c r="H60" s="51">
        <v>2590</v>
      </c>
      <c r="I60" s="45">
        <v>3048</v>
      </c>
      <c r="J60" s="52">
        <v>1</v>
      </c>
      <c r="K60" s="53">
        <f t="shared" ref="K60:K64" si="1">(H60/1000*I60/1000)*J60</f>
        <v>7.8943199999999996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1"/>
        <v>0</v>
      </c>
      <c r="L61" s="54"/>
    </row>
    <row r="62" spans="1:12" s="55" customFormat="1" ht="19.5" customHeight="1" x14ac:dyDescent="0.3">
      <c r="A62" s="44" t="s">
        <v>3719</v>
      </c>
      <c r="B62" s="45" t="s">
        <v>1568</v>
      </c>
      <c r="C62" s="46">
        <v>24</v>
      </c>
      <c r="D62" s="47" t="s">
        <v>3074</v>
      </c>
      <c r="E62" s="48">
        <v>22</v>
      </c>
      <c r="F62" s="49">
        <v>12.57</v>
      </c>
      <c r="G62" s="50" t="s">
        <v>481</v>
      </c>
      <c r="H62" s="51">
        <v>2438</v>
      </c>
      <c r="I62" s="45">
        <v>3353</v>
      </c>
      <c r="J62" s="52">
        <v>2</v>
      </c>
      <c r="K62" s="53">
        <f t="shared" si="1"/>
        <v>16.349228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 t="s">
        <v>18</v>
      </c>
      <c r="H63" s="51">
        <v>1981</v>
      </c>
      <c r="I63" s="45">
        <v>3353</v>
      </c>
      <c r="J63" s="52">
        <v>2</v>
      </c>
      <c r="K63" s="53">
        <f t="shared" si="1"/>
        <v>13.284586000000001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1"/>
        <v>0</v>
      </c>
      <c r="L64" s="54"/>
    </row>
    <row r="65" spans="1:12" s="59" customFormat="1" ht="20.100000000000001" customHeight="1" x14ac:dyDescent="0.3">
      <c r="A65" s="44"/>
      <c r="B65" s="45"/>
      <c r="C65" s="46"/>
      <c r="D65" s="47"/>
      <c r="E65" s="56"/>
      <c r="F65" s="57"/>
      <c r="G65" s="50"/>
      <c r="H65" s="51"/>
      <c r="I65" s="45"/>
      <c r="J65" s="52"/>
      <c r="K65" s="53">
        <f t="shared" si="0"/>
        <v>0</v>
      </c>
      <c r="L65" s="58">
        <f>SUM(J34:J66)</f>
        <v>129</v>
      </c>
    </row>
    <row r="66" spans="1:12" s="59" customFormat="1" ht="20.100000000000001" customHeight="1" x14ac:dyDescent="0.3">
      <c r="A66" s="44"/>
      <c r="B66" s="45"/>
      <c r="C66" s="46"/>
      <c r="D66" s="47"/>
      <c r="E66" s="60"/>
      <c r="F66" s="61"/>
      <c r="G66" s="62"/>
      <c r="H66" s="51"/>
      <c r="I66" s="45"/>
      <c r="J66" s="63"/>
      <c r="K66" s="53">
        <f t="shared" si="0"/>
        <v>0</v>
      </c>
      <c r="L66" s="64">
        <f>SUM(K34:K66)</f>
        <v>879.38127900000018</v>
      </c>
    </row>
    <row r="67" spans="1:12" s="59" customFormat="1" ht="20.100000000000001" customHeight="1" thickBot="1" x14ac:dyDescent="0.35">
      <c r="A67" s="114"/>
      <c r="B67" s="115"/>
      <c r="C67" s="115"/>
      <c r="D67" s="115"/>
      <c r="E67" s="115"/>
      <c r="F67" s="115"/>
      <c r="G67" s="115"/>
      <c r="H67" s="115"/>
      <c r="I67" s="115"/>
      <c r="J67" s="65">
        <f>SUM(J7:J66)</f>
        <v>178</v>
      </c>
      <c r="K67" s="66">
        <f>SUM(K7:K66)</f>
        <v>1181.8614780000003</v>
      </c>
      <c r="L67" s="67"/>
    </row>
    <row r="68" spans="1:12" s="59" customFormat="1" ht="20.100000000000001" customHeight="1" thickTop="1" thickBot="1" x14ac:dyDescent="0.35">
      <c r="A68" s="116" t="s">
        <v>52</v>
      </c>
      <c r="B68" s="117"/>
      <c r="C68" s="68"/>
      <c r="D68" s="118">
        <f>J67</f>
        <v>178</v>
      </c>
      <c r="E68" s="119"/>
      <c r="F68" s="119"/>
      <c r="G68" s="120"/>
      <c r="H68" s="121"/>
      <c r="I68" s="121"/>
      <c r="J68" s="122"/>
      <c r="K68" s="119"/>
      <c r="L68" s="123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71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72"/>
      <c r="F74" s="5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5"/>
      <c r="G75" s="73"/>
      <c r="H75" s="5"/>
      <c r="I75" s="74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72"/>
      <c r="I79" s="72"/>
      <c r="J79" s="5"/>
      <c r="K79" s="5"/>
      <c r="L79" s="5"/>
    </row>
    <row r="80" spans="1:12" ht="20.100000000000001" customHeight="1" x14ac:dyDescent="0.3">
      <c r="A80" s="113"/>
      <c r="B80" s="113"/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A83" s="113"/>
      <c r="B83" s="113"/>
      <c r="H83" s="72"/>
      <c r="I83" s="72"/>
    </row>
    <row r="84" spans="1:12" ht="20.100000000000001" customHeight="1" x14ac:dyDescent="0.3">
      <c r="A84" s="113"/>
      <c r="B84" s="113"/>
      <c r="H84" s="72"/>
      <c r="I84" s="72"/>
    </row>
    <row r="85" spans="1:12" ht="20.100000000000001" customHeight="1" x14ac:dyDescent="0.3"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s="72" customFormat="1" ht="20.100000000000001" customHeight="1" x14ac:dyDescent="0.3">
      <c r="A88" s="69"/>
      <c r="B88" s="5"/>
      <c r="C88" s="5"/>
      <c r="D88" s="5"/>
      <c r="E88" s="5"/>
      <c r="F88" s="70"/>
      <c r="G88" s="5"/>
      <c r="J88" s="5"/>
      <c r="K88" s="5"/>
      <c r="L88" s="5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5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5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19.5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ht="19.5" customHeight="1" x14ac:dyDescent="0.3"/>
    <row r="96" spans="1:12" ht="19.5" customHeight="1" x14ac:dyDescent="0.3"/>
    <row r="97" spans="2:12" ht="19.5" customHeight="1" x14ac:dyDescent="0.3"/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>
        <v>2</v>
      </c>
      <c r="C158" s="5"/>
      <c r="D158" s="5"/>
      <c r="E158" s="5"/>
      <c r="F158" s="70"/>
      <c r="G158" s="5"/>
      <c r="H158" s="5"/>
      <c r="I158" s="5"/>
      <c r="J158" s="5"/>
      <c r="K158" s="5"/>
      <c r="L158" s="5"/>
    </row>
  </sheetData>
  <mergeCells count="30">
    <mergeCell ref="A83:B83"/>
    <mergeCell ref="A84:B84"/>
    <mergeCell ref="A74:B74"/>
    <mergeCell ref="A75:B75"/>
    <mergeCell ref="A76:B76"/>
    <mergeCell ref="A78:B78"/>
    <mergeCell ref="A79:B79"/>
    <mergeCell ref="A80:B80"/>
    <mergeCell ref="A73:B73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7:I67"/>
    <mergeCell ref="A68:B68"/>
    <mergeCell ref="D68:G68"/>
    <mergeCell ref="H68:J68"/>
    <mergeCell ref="K68:L68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L153"/>
  <sheetViews>
    <sheetView view="pageBreakPreview" topLeftCell="F46" zoomScale="85" zoomScaleSheetLayoutView="85" workbookViewId="0">
      <selection activeCell="L60" sqref="L60:L6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46154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1" si="0">(H7/1000*I7/1000)*J7</f>
        <v>0</v>
      </c>
      <c r="L7" s="26">
        <f>SUM(J7:J33)</f>
        <v>213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SUM(K7:K33)</f>
        <v>1436.892877</v>
      </c>
    </row>
    <row r="9" spans="1:12" s="27" customFormat="1" ht="19.5" customHeight="1" x14ac:dyDescent="0.3">
      <c r="A9" s="28" t="s">
        <v>3690</v>
      </c>
      <c r="B9" s="16" t="s">
        <v>3691</v>
      </c>
      <c r="C9" s="17">
        <v>22</v>
      </c>
      <c r="D9" s="18" t="s">
        <v>45</v>
      </c>
      <c r="E9" s="41">
        <v>60</v>
      </c>
      <c r="F9" s="42">
        <v>48</v>
      </c>
      <c r="G9" s="34" t="s">
        <v>49</v>
      </c>
      <c r="H9" s="35">
        <v>2438</v>
      </c>
      <c r="I9" s="36">
        <v>3048</v>
      </c>
      <c r="J9" s="37">
        <v>7</v>
      </c>
      <c r="K9" s="25">
        <f t="shared" si="0"/>
        <v>52.017168000000005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17</v>
      </c>
      <c r="E10" s="41">
        <v>60</v>
      </c>
      <c r="F10" s="42">
        <v>48</v>
      </c>
      <c r="G10" s="34" t="s">
        <v>18</v>
      </c>
      <c r="H10" s="35">
        <v>1981</v>
      </c>
      <c r="I10" s="36">
        <v>3353</v>
      </c>
      <c r="J10" s="37">
        <v>7</v>
      </c>
      <c r="K10" s="25">
        <f t="shared" si="0"/>
        <v>46.496051000000001</v>
      </c>
      <c r="L10" s="39"/>
    </row>
    <row r="11" spans="1:12" s="27" customFormat="1" ht="19.5" customHeight="1" x14ac:dyDescent="0.3">
      <c r="A11" s="28"/>
      <c r="B11" s="16"/>
      <c r="C11" s="17">
        <v>22</v>
      </c>
      <c r="D11" s="18" t="s">
        <v>45</v>
      </c>
      <c r="E11" s="41">
        <v>18</v>
      </c>
      <c r="F11" s="42">
        <v>9.36</v>
      </c>
      <c r="G11" s="34" t="s">
        <v>19</v>
      </c>
      <c r="H11" s="35">
        <v>1981</v>
      </c>
      <c r="I11" s="36">
        <v>3353</v>
      </c>
      <c r="J11" s="37">
        <v>15</v>
      </c>
      <c r="K11" s="25">
        <f t="shared" si="0"/>
        <v>99.634395000000012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 t="s">
        <v>3692</v>
      </c>
      <c r="B13" s="16" t="s">
        <v>3691</v>
      </c>
      <c r="C13" s="17">
        <v>22</v>
      </c>
      <c r="D13" s="18" t="s">
        <v>45</v>
      </c>
      <c r="E13" s="41">
        <v>60</v>
      </c>
      <c r="F13" s="42">
        <v>48</v>
      </c>
      <c r="G13" s="34" t="s">
        <v>49</v>
      </c>
      <c r="H13" s="35">
        <v>2438</v>
      </c>
      <c r="I13" s="36">
        <v>3048</v>
      </c>
      <c r="J13" s="37">
        <v>7</v>
      </c>
      <c r="K13" s="25">
        <f t="shared" si="0"/>
        <v>52.017168000000005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17</v>
      </c>
      <c r="E14" s="41">
        <v>60</v>
      </c>
      <c r="F14" s="42">
        <v>48</v>
      </c>
      <c r="G14" s="34" t="s">
        <v>18</v>
      </c>
      <c r="H14" s="35">
        <v>1981</v>
      </c>
      <c r="I14" s="36">
        <v>3353</v>
      </c>
      <c r="J14" s="37">
        <v>7</v>
      </c>
      <c r="K14" s="25">
        <f t="shared" si="0"/>
        <v>46.496051000000001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45</v>
      </c>
      <c r="E15" s="41">
        <v>18</v>
      </c>
      <c r="F15" s="42">
        <v>9.36</v>
      </c>
      <c r="G15" s="34" t="s">
        <v>19</v>
      </c>
      <c r="H15" s="35">
        <v>1981</v>
      </c>
      <c r="I15" s="36">
        <v>3353</v>
      </c>
      <c r="J15" s="37">
        <v>15</v>
      </c>
      <c r="K15" s="25">
        <f t="shared" si="0"/>
        <v>99.634395000000012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 t="s">
        <v>3693</v>
      </c>
      <c r="B17" s="16" t="s">
        <v>3691</v>
      </c>
      <c r="C17" s="17">
        <v>22</v>
      </c>
      <c r="D17" s="18" t="s">
        <v>45</v>
      </c>
      <c r="E17" s="41">
        <v>110</v>
      </c>
      <c r="F17" s="42">
        <v>138.19999999999999</v>
      </c>
      <c r="G17" s="34" t="s">
        <v>19</v>
      </c>
      <c r="H17" s="35">
        <v>1981</v>
      </c>
      <c r="I17" s="36">
        <v>3353</v>
      </c>
      <c r="J17" s="37">
        <v>43</v>
      </c>
      <c r="K17" s="25">
        <f t="shared" si="0"/>
        <v>285.61859900000002</v>
      </c>
      <c r="L17" s="39" t="s">
        <v>106</v>
      </c>
    </row>
    <row r="18" spans="1:12" s="27" customFormat="1" ht="19.5" customHeight="1" x14ac:dyDescent="0.3">
      <c r="A18" s="28"/>
      <c r="B18" s="16"/>
      <c r="C18" s="17">
        <v>22</v>
      </c>
      <c r="D18" s="18" t="s">
        <v>17</v>
      </c>
      <c r="E18" s="41">
        <v>110</v>
      </c>
      <c r="F18" s="42">
        <v>138.19999999999999</v>
      </c>
      <c r="G18" s="34" t="s">
        <v>18</v>
      </c>
      <c r="H18" s="35">
        <v>1981</v>
      </c>
      <c r="I18" s="36">
        <v>3353</v>
      </c>
      <c r="J18" s="37">
        <v>20</v>
      </c>
      <c r="K18" s="25">
        <f t="shared" si="0"/>
        <v>132.84586000000002</v>
      </c>
      <c r="L18" s="39" t="s">
        <v>230</v>
      </c>
    </row>
    <row r="19" spans="1:12" s="27" customFormat="1" ht="19.5" customHeight="1" x14ac:dyDescent="0.3">
      <c r="A19" s="28"/>
      <c r="B19" s="16"/>
      <c r="C19" s="17">
        <v>22</v>
      </c>
      <c r="D19" s="18" t="s">
        <v>45</v>
      </c>
      <c r="E19" s="41">
        <v>30</v>
      </c>
      <c r="F19" s="42">
        <v>17.7</v>
      </c>
      <c r="G19" s="34"/>
      <c r="H19" s="35"/>
      <c r="I19" s="36"/>
      <c r="J19" s="37"/>
      <c r="K19" s="25">
        <f t="shared" si="0"/>
        <v>0</v>
      </c>
      <c r="L19" s="39" t="s">
        <v>106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 t="s">
        <v>57</v>
      </c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 t="s">
        <v>3694</v>
      </c>
      <c r="B22" s="16" t="s">
        <v>3695</v>
      </c>
      <c r="C22" s="17">
        <v>22</v>
      </c>
      <c r="D22" s="18" t="s">
        <v>3696</v>
      </c>
      <c r="E22" s="41">
        <v>1</v>
      </c>
      <c r="F22" s="42">
        <v>4.54</v>
      </c>
      <c r="G22" s="34" t="s">
        <v>3697</v>
      </c>
      <c r="H22" s="35">
        <v>1981</v>
      </c>
      <c r="I22" s="36">
        <v>3353</v>
      </c>
      <c r="J22" s="37">
        <v>1</v>
      </c>
      <c r="K22" s="25">
        <f t="shared" si="0"/>
        <v>6.6422930000000004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 t="s">
        <v>3698</v>
      </c>
      <c r="H23" s="35">
        <v>1981</v>
      </c>
      <c r="I23" s="36">
        <v>3353</v>
      </c>
      <c r="J23" s="37">
        <v>1</v>
      </c>
      <c r="K23" s="25">
        <f t="shared" si="0"/>
        <v>6.6422930000000004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 t="s">
        <v>3699</v>
      </c>
      <c r="B25" s="16" t="s">
        <v>3700</v>
      </c>
      <c r="C25" s="17">
        <v>22</v>
      </c>
      <c r="D25" s="18" t="s">
        <v>45</v>
      </c>
      <c r="E25" s="41">
        <v>110</v>
      </c>
      <c r="F25" s="42">
        <v>138.19999999999999</v>
      </c>
      <c r="G25" s="34" t="s">
        <v>3697</v>
      </c>
      <c r="H25" s="35">
        <v>1981</v>
      </c>
      <c r="I25" s="36">
        <v>3353</v>
      </c>
      <c r="J25" s="37">
        <v>22</v>
      </c>
      <c r="K25" s="25">
        <f t="shared" si="0"/>
        <v>146.13044600000001</v>
      </c>
      <c r="L25" s="39" t="s">
        <v>3701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 t="s">
        <v>3702</v>
      </c>
      <c r="B27" s="16" t="s">
        <v>3700</v>
      </c>
      <c r="C27" s="17">
        <v>22</v>
      </c>
      <c r="D27" s="18" t="s">
        <v>45</v>
      </c>
      <c r="E27" s="41">
        <v>88</v>
      </c>
      <c r="F27" s="42">
        <v>110.56</v>
      </c>
      <c r="G27" s="34" t="s">
        <v>3697</v>
      </c>
      <c r="H27" s="35">
        <v>1981</v>
      </c>
      <c r="I27" s="36">
        <v>3353</v>
      </c>
      <c r="J27" s="37">
        <v>4</v>
      </c>
      <c r="K27" s="25">
        <f t="shared" si="0"/>
        <v>26.569172000000002</v>
      </c>
      <c r="L27" s="39"/>
    </row>
    <row r="28" spans="1:12" s="27" customFormat="1" ht="19.5" customHeight="1" x14ac:dyDescent="0.3">
      <c r="A28" s="28"/>
      <c r="B28" s="16"/>
      <c r="C28" s="17">
        <v>22</v>
      </c>
      <c r="D28" s="18" t="s">
        <v>17</v>
      </c>
      <c r="E28" s="41">
        <v>88</v>
      </c>
      <c r="F28" s="42">
        <v>110.56</v>
      </c>
      <c r="G28" s="34" t="s">
        <v>49</v>
      </c>
      <c r="H28" s="35">
        <v>2438</v>
      </c>
      <c r="I28" s="36">
        <v>3048</v>
      </c>
      <c r="J28" s="37">
        <v>14</v>
      </c>
      <c r="K28" s="25">
        <f t="shared" si="0"/>
        <v>104.03433600000001</v>
      </c>
      <c r="L28" s="39"/>
    </row>
    <row r="29" spans="1:12" s="27" customFormat="1" ht="19.5" customHeight="1" x14ac:dyDescent="0.3">
      <c r="A29" s="28"/>
      <c r="B29" s="16"/>
      <c r="C29" s="17">
        <v>22</v>
      </c>
      <c r="D29" s="18" t="s">
        <v>45</v>
      </c>
      <c r="E29" s="41">
        <v>24</v>
      </c>
      <c r="F29" s="42">
        <v>14.16</v>
      </c>
      <c r="G29" s="34" t="s">
        <v>18</v>
      </c>
      <c r="H29" s="35">
        <v>1981</v>
      </c>
      <c r="I29" s="36">
        <v>3353</v>
      </c>
      <c r="J29" s="37">
        <v>16</v>
      </c>
      <c r="K29" s="25">
        <f t="shared" si="0"/>
        <v>106.27668800000001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 t="s">
        <v>19</v>
      </c>
      <c r="H30" s="35">
        <v>1981</v>
      </c>
      <c r="I30" s="36">
        <v>3353</v>
      </c>
      <c r="J30" s="37">
        <v>34</v>
      </c>
      <c r="K30" s="25">
        <f t="shared" si="0"/>
        <v>225.837962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29"/>
      <c r="C33" s="30"/>
      <c r="D33" s="31"/>
      <c r="E33" s="41"/>
      <c r="F33" s="42"/>
      <c r="G33" s="43"/>
      <c r="H33" s="35"/>
      <c r="I33" s="36"/>
      <c r="J33" s="37"/>
      <c r="K33" s="38">
        <f t="shared" si="0"/>
        <v>0</v>
      </c>
      <c r="L33" s="39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3556</v>
      </c>
      <c r="B35" s="45" t="s">
        <v>1890</v>
      </c>
      <c r="C35" s="46">
        <v>28</v>
      </c>
      <c r="D35" s="47" t="s">
        <v>1891</v>
      </c>
      <c r="E35" s="48">
        <v>75</v>
      </c>
      <c r="F35" s="49">
        <v>123.93</v>
      </c>
      <c r="G35" s="50" t="s">
        <v>3576</v>
      </c>
      <c r="H35" s="51">
        <v>2438</v>
      </c>
      <c r="I35" s="45">
        <v>3353</v>
      </c>
      <c r="J35" s="52">
        <v>13</v>
      </c>
      <c r="K35" s="53">
        <f t="shared" si="0"/>
        <v>106.269982</v>
      </c>
      <c r="L35" s="54" t="s">
        <v>106</v>
      </c>
    </row>
    <row r="36" spans="1:12" s="55" customFormat="1" ht="19.5" customHeight="1" x14ac:dyDescent="0.3">
      <c r="A36" s="44"/>
      <c r="B36" s="45"/>
      <c r="C36" s="46">
        <v>28</v>
      </c>
      <c r="D36" s="47" t="s">
        <v>1894</v>
      </c>
      <c r="E36" s="48">
        <v>50</v>
      </c>
      <c r="F36" s="49">
        <v>37.74</v>
      </c>
      <c r="G36" s="50" t="s">
        <v>3576</v>
      </c>
      <c r="H36" s="51">
        <v>2134</v>
      </c>
      <c r="I36" s="45">
        <v>3353</v>
      </c>
      <c r="J36" s="52">
        <v>27</v>
      </c>
      <c r="K36" s="53">
        <f t="shared" si="0"/>
        <v>193.19315399999999</v>
      </c>
      <c r="L36" s="54" t="s">
        <v>106</v>
      </c>
    </row>
    <row r="37" spans="1:12" s="55" customFormat="1" ht="19.5" customHeight="1" x14ac:dyDescent="0.3">
      <c r="A37" s="44"/>
      <c r="B37" s="45"/>
      <c r="C37" s="46">
        <v>28</v>
      </c>
      <c r="D37" s="47" t="s">
        <v>1891</v>
      </c>
      <c r="E37" s="48">
        <v>35</v>
      </c>
      <c r="F37" s="49">
        <v>91.56</v>
      </c>
      <c r="G37" s="50"/>
      <c r="H37" s="51"/>
      <c r="I37" s="45"/>
      <c r="J37" s="52"/>
      <c r="K37" s="53">
        <f t="shared" si="0"/>
        <v>0</v>
      </c>
      <c r="L37" s="54" t="s">
        <v>106</v>
      </c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3687</v>
      </c>
      <c r="B39" s="45" t="s">
        <v>21</v>
      </c>
      <c r="C39" s="46">
        <v>22</v>
      </c>
      <c r="D39" s="47" t="s">
        <v>17</v>
      </c>
      <c r="E39" s="48">
        <v>84</v>
      </c>
      <c r="F39" s="49">
        <v>76.16</v>
      </c>
      <c r="G39" s="50" t="s">
        <v>18</v>
      </c>
      <c r="H39" s="51">
        <v>1981</v>
      </c>
      <c r="I39" s="45">
        <v>3353</v>
      </c>
      <c r="J39" s="52">
        <v>13</v>
      </c>
      <c r="K39" s="53">
        <f t="shared" si="0"/>
        <v>86.349809000000008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 t="s">
        <v>19</v>
      </c>
      <c r="H40" s="51">
        <v>1981</v>
      </c>
      <c r="I40" s="45">
        <v>3353</v>
      </c>
      <c r="J40" s="52">
        <v>13</v>
      </c>
      <c r="K40" s="53">
        <f t="shared" si="0"/>
        <v>86.349809000000008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3682</v>
      </c>
      <c r="B42" s="45" t="s">
        <v>21</v>
      </c>
      <c r="C42" s="46">
        <v>22</v>
      </c>
      <c r="D42" s="47" t="s">
        <v>17</v>
      </c>
      <c r="E42" s="48">
        <v>152</v>
      </c>
      <c r="F42" s="49">
        <v>128.47999999999999</v>
      </c>
      <c r="G42" s="50" t="s">
        <v>18</v>
      </c>
      <c r="H42" s="51">
        <v>1981</v>
      </c>
      <c r="I42" s="45">
        <v>3353</v>
      </c>
      <c r="J42" s="52">
        <v>21</v>
      </c>
      <c r="K42" s="53">
        <f t="shared" si="0"/>
        <v>139.48815300000001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 t="s">
        <v>19</v>
      </c>
      <c r="H43" s="51">
        <v>1981</v>
      </c>
      <c r="I43" s="45">
        <v>3353</v>
      </c>
      <c r="J43" s="52">
        <v>21</v>
      </c>
      <c r="K43" s="53">
        <f t="shared" si="0"/>
        <v>139.48815300000001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57</v>
      </c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3703</v>
      </c>
      <c r="B46" s="45" t="s">
        <v>3704</v>
      </c>
      <c r="C46" s="46">
        <v>25.76</v>
      </c>
      <c r="D46" s="47" t="s">
        <v>227</v>
      </c>
      <c r="E46" s="48">
        <v>28</v>
      </c>
      <c r="F46" s="49">
        <v>13.36</v>
      </c>
      <c r="G46" s="50" t="s">
        <v>3698</v>
      </c>
      <c r="H46" s="51">
        <v>1981</v>
      </c>
      <c r="I46" s="45">
        <v>3353</v>
      </c>
      <c r="J46" s="52">
        <v>4</v>
      </c>
      <c r="K46" s="53">
        <f t="shared" si="0"/>
        <v>26.569172000000002</v>
      </c>
      <c r="L46" s="54" t="s">
        <v>3707</v>
      </c>
    </row>
    <row r="47" spans="1:12" s="55" customFormat="1" ht="19.5" customHeight="1" x14ac:dyDescent="0.3">
      <c r="A47" s="44"/>
      <c r="B47" s="45"/>
      <c r="C47" s="46">
        <v>22</v>
      </c>
      <c r="D47" s="47" t="s">
        <v>228</v>
      </c>
      <c r="E47" s="48">
        <v>8</v>
      </c>
      <c r="F47" s="49">
        <v>11.28</v>
      </c>
      <c r="G47" s="50" t="s">
        <v>19</v>
      </c>
      <c r="H47" s="51">
        <v>1981</v>
      </c>
      <c r="I47" s="45">
        <v>3353</v>
      </c>
      <c r="J47" s="52">
        <v>5</v>
      </c>
      <c r="K47" s="53">
        <f t="shared" si="0"/>
        <v>33.211465000000004</v>
      </c>
      <c r="L47" s="54" t="s">
        <v>3707</v>
      </c>
    </row>
    <row r="48" spans="1:12" s="55" customFormat="1" ht="19.5" customHeight="1" x14ac:dyDescent="0.3">
      <c r="A48" s="44"/>
      <c r="B48" s="45"/>
      <c r="C48" s="46">
        <v>46.76</v>
      </c>
      <c r="D48" s="47" t="s">
        <v>272</v>
      </c>
      <c r="E48" s="48">
        <v>4</v>
      </c>
      <c r="F48" s="49">
        <v>1.8</v>
      </c>
      <c r="G48" s="50" t="s">
        <v>19</v>
      </c>
      <c r="H48" s="51">
        <v>2134</v>
      </c>
      <c r="I48" s="45">
        <v>3048</v>
      </c>
      <c r="J48" s="52">
        <v>5</v>
      </c>
      <c r="K48" s="53">
        <f t="shared" si="0"/>
        <v>32.52216</v>
      </c>
      <c r="L48" s="54" t="s">
        <v>3707</v>
      </c>
    </row>
    <row r="49" spans="1:12" s="55" customFormat="1" ht="19.5" customHeight="1" x14ac:dyDescent="0.3">
      <c r="A49" s="44" t="s">
        <v>3705</v>
      </c>
      <c r="B49" s="45" t="s">
        <v>3704</v>
      </c>
      <c r="C49" s="46">
        <v>25.76</v>
      </c>
      <c r="D49" s="47" t="s">
        <v>227</v>
      </c>
      <c r="E49" s="48">
        <v>28</v>
      </c>
      <c r="F49" s="49">
        <v>16.64</v>
      </c>
      <c r="G49" s="50" t="s">
        <v>3706</v>
      </c>
      <c r="H49" s="51">
        <v>1981</v>
      </c>
      <c r="I49" s="45">
        <v>3353</v>
      </c>
      <c r="J49" s="52">
        <v>1</v>
      </c>
      <c r="K49" s="53">
        <f t="shared" si="0"/>
        <v>6.6422930000000004</v>
      </c>
      <c r="L49" s="54" t="s">
        <v>3707</v>
      </c>
    </row>
    <row r="50" spans="1:12" s="55" customFormat="1" ht="19.5" customHeight="1" x14ac:dyDescent="0.3">
      <c r="A50" s="44"/>
      <c r="B50" s="45"/>
      <c r="C50" s="46">
        <v>22</v>
      </c>
      <c r="D50" s="47" t="s">
        <v>228</v>
      </c>
      <c r="E50" s="48">
        <v>12</v>
      </c>
      <c r="F50" s="49">
        <v>13.2</v>
      </c>
      <c r="G50" s="50"/>
      <c r="H50" s="51"/>
      <c r="I50" s="45"/>
      <c r="J50" s="52"/>
      <c r="K50" s="53">
        <f t="shared" si="0"/>
        <v>0</v>
      </c>
      <c r="L50" s="54" t="s">
        <v>3707</v>
      </c>
    </row>
    <row r="51" spans="1:12" s="55" customFormat="1" ht="19.5" customHeight="1" x14ac:dyDescent="0.3">
      <c r="A51" s="44"/>
      <c r="B51" s="45"/>
      <c r="C51" s="46">
        <v>46.76</v>
      </c>
      <c r="D51" s="47" t="s">
        <v>272</v>
      </c>
      <c r="E51" s="48">
        <v>4</v>
      </c>
      <c r="F51" s="49">
        <v>1.8</v>
      </c>
      <c r="G51" s="50"/>
      <c r="H51" s="51"/>
      <c r="I51" s="45"/>
      <c r="J51" s="52"/>
      <c r="K51" s="53">
        <f t="shared" si="0"/>
        <v>0</v>
      </c>
      <c r="L51" s="54" t="s">
        <v>3707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3720</v>
      </c>
      <c r="B53" s="45" t="s">
        <v>3704</v>
      </c>
      <c r="C53" s="46">
        <v>25.76</v>
      </c>
      <c r="D53" s="47" t="s">
        <v>227</v>
      </c>
      <c r="E53" s="48">
        <v>72</v>
      </c>
      <c r="F53" s="49">
        <v>41.76</v>
      </c>
      <c r="G53" s="50" t="s">
        <v>3698</v>
      </c>
      <c r="H53" s="51">
        <v>2590</v>
      </c>
      <c r="I53" s="45">
        <v>3048</v>
      </c>
      <c r="J53" s="52">
        <v>4</v>
      </c>
      <c r="K53" s="53">
        <f t="shared" si="0"/>
        <v>31.577279999999998</v>
      </c>
      <c r="L53" s="54"/>
    </row>
    <row r="54" spans="1:12" s="55" customFormat="1" ht="19.5" customHeight="1" x14ac:dyDescent="0.3">
      <c r="A54" s="44"/>
      <c r="B54" s="45"/>
      <c r="C54" s="46">
        <v>22</v>
      </c>
      <c r="D54" s="47" t="s">
        <v>228</v>
      </c>
      <c r="E54" s="48">
        <v>12</v>
      </c>
      <c r="F54" s="49">
        <v>13.2</v>
      </c>
      <c r="G54" s="50" t="s">
        <v>19</v>
      </c>
      <c r="H54" s="51">
        <v>1981</v>
      </c>
      <c r="I54" s="45">
        <v>3353</v>
      </c>
      <c r="J54" s="52">
        <v>3</v>
      </c>
      <c r="K54" s="53">
        <f t="shared" si="0"/>
        <v>19.926879</v>
      </c>
      <c r="L54" s="54"/>
    </row>
    <row r="55" spans="1:12" s="55" customFormat="1" ht="19.5" customHeight="1" x14ac:dyDescent="0.3">
      <c r="A55" s="44"/>
      <c r="B55" s="45"/>
      <c r="C55" s="46">
        <v>22</v>
      </c>
      <c r="D55" s="47" t="s">
        <v>83</v>
      </c>
      <c r="E55" s="48">
        <v>12</v>
      </c>
      <c r="F55" s="49">
        <v>13.2</v>
      </c>
      <c r="G55" s="50" t="s">
        <v>19</v>
      </c>
      <c r="H55" s="51">
        <v>2134</v>
      </c>
      <c r="I55" s="45">
        <v>3048</v>
      </c>
      <c r="J55" s="52">
        <v>7</v>
      </c>
      <c r="K55" s="53">
        <f t="shared" si="0"/>
        <v>45.531023999999995</v>
      </c>
      <c r="L55" s="54"/>
    </row>
    <row r="56" spans="1:12" s="55" customFormat="1" ht="19.5" customHeight="1" x14ac:dyDescent="0.3">
      <c r="A56" s="44"/>
      <c r="B56" s="45"/>
      <c r="C56" s="46">
        <v>46.76</v>
      </c>
      <c r="D56" s="47" t="s">
        <v>272</v>
      </c>
      <c r="E56" s="48">
        <v>8</v>
      </c>
      <c r="F56" s="49">
        <v>3.6</v>
      </c>
      <c r="G56" s="50" t="s">
        <v>3706</v>
      </c>
      <c r="H56" s="51">
        <v>1981</v>
      </c>
      <c r="I56" s="45">
        <v>3353</v>
      </c>
      <c r="J56" s="52">
        <v>2</v>
      </c>
      <c r="K56" s="53">
        <f t="shared" si="0"/>
        <v>13.284586000000001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9" customFormat="1" ht="20.100000000000001" customHeight="1" x14ac:dyDescent="0.3">
      <c r="A60" s="44"/>
      <c r="B60" s="45"/>
      <c r="C60" s="46"/>
      <c r="D60" s="47"/>
      <c r="E60" s="56"/>
      <c r="F60" s="57"/>
      <c r="G60" s="50"/>
      <c r="H60" s="51"/>
      <c r="I60" s="45"/>
      <c r="J60" s="52"/>
      <c r="K60" s="53">
        <f t="shared" si="0"/>
        <v>0</v>
      </c>
      <c r="L60" s="58">
        <f>SUM(J34:J61)</f>
        <v>139</v>
      </c>
    </row>
    <row r="61" spans="1:12" s="59" customFormat="1" ht="20.100000000000001" customHeight="1" x14ac:dyDescent="0.3">
      <c r="A61" s="44"/>
      <c r="B61" s="45"/>
      <c r="C61" s="46"/>
      <c r="D61" s="47"/>
      <c r="E61" s="60"/>
      <c r="F61" s="61"/>
      <c r="G61" s="62"/>
      <c r="H61" s="51"/>
      <c r="I61" s="45"/>
      <c r="J61" s="63"/>
      <c r="K61" s="53">
        <f t="shared" si="0"/>
        <v>0</v>
      </c>
      <c r="L61" s="64">
        <f>SUM(K34:K61)</f>
        <v>960.40391899999986</v>
      </c>
    </row>
    <row r="62" spans="1:12" s="59" customFormat="1" ht="20.100000000000001" customHeight="1" thickBot="1" x14ac:dyDescent="0.35">
      <c r="A62" s="114"/>
      <c r="B62" s="115"/>
      <c r="C62" s="115"/>
      <c r="D62" s="115"/>
      <c r="E62" s="115"/>
      <c r="F62" s="115"/>
      <c r="G62" s="115"/>
      <c r="H62" s="115"/>
      <c r="I62" s="115"/>
      <c r="J62" s="65">
        <f>SUM(J7:J61)</f>
        <v>352</v>
      </c>
      <c r="K62" s="66">
        <f>SUM(K7:K61)</f>
        <v>2397.2967960000005</v>
      </c>
      <c r="L62" s="67"/>
    </row>
    <row r="63" spans="1:12" s="59" customFormat="1" ht="20.100000000000001" customHeight="1" thickTop="1" thickBot="1" x14ac:dyDescent="0.35">
      <c r="A63" s="116" t="s">
        <v>52</v>
      </c>
      <c r="B63" s="117"/>
      <c r="C63" s="68"/>
      <c r="D63" s="118">
        <f>J62</f>
        <v>352</v>
      </c>
      <c r="E63" s="119"/>
      <c r="F63" s="119"/>
      <c r="G63" s="120"/>
      <c r="H63" s="121"/>
      <c r="I63" s="121"/>
      <c r="J63" s="122"/>
      <c r="K63" s="119"/>
      <c r="L63" s="123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71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72"/>
      <c r="F69" s="5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5"/>
      <c r="G70" s="73"/>
      <c r="H70" s="5"/>
      <c r="I70" s="74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72"/>
      <c r="I74" s="72"/>
      <c r="J74" s="5"/>
      <c r="K74" s="5"/>
      <c r="L74" s="5"/>
    </row>
    <row r="75" spans="1:12" ht="20.100000000000001" customHeight="1" x14ac:dyDescent="0.3">
      <c r="A75" s="113"/>
      <c r="B75" s="113"/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A78" s="113"/>
      <c r="B78" s="113"/>
      <c r="H78" s="72"/>
      <c r="I78" s="72"/>
    </row>
    <row r="79" spans="1:12" ht="20.100000000000001" customHeight="1" x14ac:dyDescent="0.3">
      <c r="A79" s="113"/>
      <c r="B79" s="113"/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H82" s="72"/>
      <c r="I82" s="72"/>
    </row>
    <row r="83" spans="1:12" s="72" customFormat="1" ht="20.100000000000001" customHeight="1" x14ac:dyDescent="0.3">
      <c r="A83" s="69"/>
      <c r="B83" s="5"/>
      <c r="C83" s="5"/>
      <c r="D83" s="5"/>
      <c r="E83" s="5"/>
      <c r="F83" s="70"/>
      <c r="G83" s="5"/>
      <c r="J83" s="5"/>
      <c r="K83" s="5"/>
      <c r="L83" s="5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5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5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5" customFormat="1" ht="19.5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2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ht="19.5" customHeight="1" x14ac:dyDescent="0.3"/>
    <row r="91" spans="1:12" ht="19.5" customHeight="1" x14ac:dyDescent="0.3"/>
    <row r="92" spans="1:12" ht="19.5" customHeight="1" x14ac:dyDescent="0.3"/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>
        <v>2</v>
      </c>
      <c r="C153" s="5"/>
      <c r="D153" s="5"/>
      <c r="E153" s="5"/>
      <c r="F153" s="70"/>
      <c r="G153" s="5"/>
      <c r="H153" s="5"/>
      <c r="I153" s="5"/>
      <c r="J153" s="5"/>
      <c r="K153" s="5"/>
      <c r="L153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8:B6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2:I62"/>
    <mergeCell ref="A63:B63"/>
    <mergeCell ref="D63:G63"/>
    <mergeCell ref="H63:J63"/>
    <mergeCell ref="K63:L63"/>
    <mergeCell ref="A78:B78"/>
    <mergeCell ref="A79:B79"/>
    <mergeCell ref="A69:B69"/>
    <mergeCell ref="A70:B70"/>
    <mergeCell ref="A71:B71"/>
    <mergeCell ref="A73:B73"/>
    <mergeCell ref="A74:B74"/>
    <mergeCell ref="A75:B75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L180"/>
  <sheetViews>
    <sheetView view="pageBreakPreview" topLeftCell="F76" zoomScale="85" zoomScaleSheetLayoutView="85" workbookViewId="0">
      <selection activeCell="L87" sqref="L87:L8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46153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8" si="0">(H7/1000*I7/1000)*J7</f>
        <v>0</v>
      </c>
      <c r="L7" s="26">
        <f>SUM(J7:J38)</f>
        <v>140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SUM(K7:K38)</f>
        <v>909.55578500000001</v>
      </c>
    </row>
    <row r="9" spans="1:12" s="27" customFormat="1" ht="19.5" customHeight="1" x14ac:dyDescent="0.3">
      <c r="A9" s="28" t="s">
        <v>3617</v>
      </c>
      <c r="B9" s="16" t="s">
        <v>3618</v>
      </c>
      <c r="C9" s="17">
        <v>16</v>
      </c>
      <c r="D9" s="18" t="s">
        <v>3619</v>
      </c>
      <c r="E9" s="41">
        <v>1</v>
      </c>
      <c r="F9" s="42">
        <v>1.01</v>
      </c>
      <c r="G9" s="34"/>
      <c r="H9" s="35"/>
      <c r="I9" s="36"/>
      <c r="J9" s="37"/>
      <c r="K9" s="25">
        <f t="shared" si="0"/>
        <v>0</v>
      </c>
      <c r="L9" s="39" t="s">
        <v>3620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>
        <f t="shared" si="0"/>
        <v>0</v>
      </c>
      <c r="L10" s="39"/>
    </row>
    <row r="11" spans="1:12" s="27" customFormat="1" ht="19.5" customHeight="1" x14ac:dyDescent="0.3">
      <c r="A11" s="28" t="s">
        <v>3621</v>
      </c>
      <c r="B11" s="16" t="s">
        <v>3622</v>
      </c>
      <c r="C11" s="17">
        <v>10</v>
      </c>
      <c r="D11" s="18" t="s">
        <v>3623</v>
      </c>
      <c r="E11" s="41">
        <v>2</v>
      </c>
      <c r="F11" s="42">
        <v>0.72</v>
      </c>
      <c r="G11" s="34"/>
      <c r="H11" s="35"/>
      <c r="I11" s="36"/>
      <c r="J11" s="37"/>
      <c r="K11" s="25">
        <f t="shared" si="0"/>
        <v>0</v>
      </c>
      <c r="L11" s="39" t="s">
        <v>3620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 t="s">
        <v>3624</v>
      </c>
      <c r="B13" s="16" t="s">
        <v>3625</v>
      </c>
      <c r="C13" s="17">
        <v>10</v>
      </c>
      <c r="D13" s="18" t="s">
        <v>3623</v>
      </c>
      <c r="E13" s="41">
        <v>1</v>
      </c>
      <c r="F13" s="42">
        <v>2.8</v>
      </c>
      <c r="G13" s="34"/>
      <c r="H13" s="35"/>
      <c r="I13" s="36"/>
      <c r="J13" s="37"/>
      <c r="K13" s="25">
        <f t="shared" si="0"/>
        <v>0</v>
      </c>
      <c r="L13" s="39" t="s">
        <v>3620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0"/>
        <v>0</v>
      </c>
      <c r="L14" s="39"/>
    </row>
    <row r="15" spans="1:12" s="27" customFormat="1" ht="19.5" customHeight="1" x14ac:dyDescent="0.3">
      <c r="A15" s="28" t="s">
        <v>3626</v>
      </c>
      <c r="B15" s="16" t="s">
        <v>3627</v>
      </c>
      <c r="C15" s="17">
        <v>8</v>
      </c>
      <c r="D15" s="18" t="s">
        <v>3628</v>
      </c>
      <c r="E15" s="41">
        <v>17</v>
      </c>
      <c r="F15" s="42">
        <v>26.48</v>
      </c>
      <c r="G15" s="34" t="s">
        <v>3629</v>
      </c>
      <c r="H15" s="35">
        <v>2438</v>
      </c>
      <c r="I15" s="36">
        <v>3353</v>
      </c>
      <c r="J15" s="37">
        <v>4</v>
      </c>
      <c r="K15" s="25">
        <f t="shared" si="0"/>
        <v>32.698456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 t="s">
        <v>3630</v>
      </c>
      <c r="B17" s="16" t="s">
        <v>3631</v>
      </c>
      <c r="C17" s="17">
        <v>12</v>
      </c>
      <c r="D17" s="18" t="s">
        <v>3632</v>
      </c>
      <c r="E17" s="41">
        <v>5</v>
      </c>
      <c r="F17" s="42">
        <v>13.03</v>
      </c>
      <c r="G17" s="34" t="s">
        <v>3633</v>
      </c>
      <c r="H17" s="35">
        <v>2743</v>
      </c>
      <c r="I17" s="36">
        <v>3048</v>
      </c>
      <c r="J17" s="37">
        <v>3</v>
      </c>
      <c r="K17" s="25">
        <f t="shared" si="0"/>
        <v>25.081991999999993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 t="s">
        <v>3597</v>
      </c>
      <c r="B19" s="16" t="s">
        <v>3590</v>
      </c>
      <c r="C19" s="17">
        <v>24</v>
      </c>
      <c r="D19" s="18" t="s">
        <v>55</v>
      </c>
      <c r="E19" s="41">
        <v>212</v>
      </c>
      <c r="F19" s="42">
        <v>104.68</v>
      </c>
      <c r="G19" s="34" t="s">
        <v>56</v>
      </c>
      <c r="H19" s="35">
        <v>2438</v>
      </c>
      <c r="I19" s="36">
        <v>3353</v>
      </c>
      <c r="J19" s="37">
        <v>13</v>
      </c>
      <c r="K19" s="25">
        <f t="shared" si="0"/>
        <v>106.269982</v>
      </c>
      <c r="L19" s="39" t="s">
        <v>106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 t="s">
        <v>3634</v>
      </c>
      <c r="B21" s="16" t="s">
        <v>3635</v>
      </c>
      <c r="C21" s="17">
        <v>22</v>
      </c>
      <c r="D21" s="18" t="s">
        <v>3636</v>
      </c>
      <c r="E21" s="41">
        <v>123</v>
      </c>
      <c r="F21" s="42">
        <v>106.29</v>
      </c>
      <c r="G21" s="34" t="s">
        <v>3637</v>
      </c>
      <c r="H21" s="35">
        <v>1829</v>
      </c>
      <c r="I21" s="36">
        <v>3353</v>
      </c>
      <c r="J21" s="37">
        <v>19</v>
      </c>
      <c r="K21" s="25">
        <f t="shared" si="0"/>
        <v>116.52010299999999</v>
      </c>
      <c r="L21" s="39" t="s">
        <v>3639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 t="s">
        <v>3638</v>
      </c>
      <c r="H22" s="35">
        <v>1829</v>
      </c>
      <c r="I22" s="36">
        <v>3353</v>
      </c>
      <c r="J22" s="37">
        <v>19</v>
      </c>
      <c r="K22" s="25">
        <f t="shared" si="0"/>
        <v>116.52010299999999</v>
      </c>
      <c r="L22" s="39" t="s">
        <v>3639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0"/>
        <v>0</v>
      </c>
      <c r="L23" s="39"/>
    </row>
    <row r="24" spans="1:12" s="27" customFormat="1" ht="19.5" customHeight="1" x14ac:dyDescent="0.3">
      <c r="A24" s="28" t="s">
        <v>3640</v>
      </c>
      <c r="B24" s="16" t="s">
        <v>353</v>
      </c>
      <c r="C24" s="17">
        <v>22</v>
      </c>
      <c r="D24" s="18" t="s">
        <v>307</v>
      </c>
      <c r="E24" s="41">
        <v>122</v>
      </c>
      <c r="F24" s="42">
        <v>101.58</v>
      </c>
      <c r="G24" s="34" t="s">
        <v>49</v>
      </c>
      <c r="H24" s="35">
        <v>1829</v>
      </c>
      <c r="I24" s="36">
        <v>3353</v>
      </c>
      <c r="J24" s="37">
        <v>19</v>
      </c>
      <c r="K24" s="25">
        <f t="shared" si="0"/>
        <v>116.52010299999999</v>
      </c>
      <c r="L24" s="39" t="s">
        <v>3639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 t="s">
        <v>39</v>
      </c>
      <c r="H25" s="35">
        <v>1829</v>
      </c>
      <c r="I25" s="36">
        <v>3353</v>
      </c>
      <c r="J25" s="37">
        <v>18</v>
      </c>
      <c r="K25" s="25">
        <f t="shared" si="0"/>
        <v>110.387466</v>
      </c>
      <c r="L25" s="39" t="s">
        <v>3639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 t="s">
        <v>39</v>
      </c>
      <c r="H26" s="35">
        <v>1981</v>
      </c>
      <c r="I26" s="36">
        <v>3353</v>
      </c>
      <c r="J26" s="37">
        <v>1</v>
      </c>
      <c r="K26" s="25">
        <f t="shared" si="0"/>
        <v>6.6422930000000004</v>
      </c>
      <c r="L26" s="39" t="s">
        <v>3639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 t="s">
        <v>3641</v>
      </c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ref="K28:K36" si="1">(H28/1000*I28/1000)*J28</f>
        <v>0</v>
      </c>
      <c r="L28" s="39"/>
    </row>
    <row r="29" spans="1:12" s="27" customFormat="1" ht="19.5" customHeight="1" x14ac:dyDescent="0.3">
      <c r="A29" s="28" t="s">
        <v>3672</v>
      </c>
      <c r="B29" s="16" t="s">
        <v>3691</v>
      </c>
      <c r="C29" s="17">
        <v>22</v>
      </c>
      <c r="D29" s="18" t="s">
        <v>3673</v>
      </c>
      <c r="E29" s="41">
        <v>50</v>
      </c>
      <c r="F29" s="42">
        <v>40</v>
      </c>
      <c r="G29" s="34" t="s">
        <v>3675</v>
      </c>
      <c r="H29" s="35">
        <v>1829</v>
      </c>
      <c r="I29" s="36">
        <v>3353</v>
      </c>
      <c r="J29" s="37">
        <v>8</v>
      </c>
      <c r="K29" s="25">
        <f t="shared" si="1"/>
        <v>49.061095999999999</v>
      </c>
      <c r="L29" s="39"/>
    </row>
    <row r="30" spans="1:12" s="27" customFormat="1" ht="19.5" customHeight="1" x14ac:dyDescent="0.3">
      <c r="A30" s="28"/>
      <c r="B30" s="16"/>
      <c r="C30" s="17">
        <v>22</v>
      </c>
      <c r="D30" s="18" t="s">
        <v>3674</v>
      </c>
      <c r="E30" s="41">
        <v>50</v>
      </c>
      <c r="F30" s="42">
        <v>40</v>
      </c>
      <c r="G30" s="34" t="s">
        <v>3676</v>
      </c>
      <c r="H30" s="35">
        <v>1981</v>
      </c>
      <c r="I30" s="36">
        <v>3353</v>
      </c>
      <c r="J30" s="37">
        <v>5</v>
      </c>
      <c r="K30" s="25">
        <f t="shared" si="1"/>
        <v>33.211465000000004</v>
      </c>
      <c r="L30" s="39"/>
    </row>
    <row r="31" spans="1:12" s="27" customFormat="1" ht="19.5" customHeight="1" x14ac:dyDescent="0.3">
      <c r="A31" s="28"/>
      <c r="B31" s="16"/>
      <c r="C31" s="17">
        <v>22</v>
      </c>
      <c r="D31" s="18" t="s">
        <v>3673</v>
      </c>
      <c r="E31" s="41">
        <v>16</v>
      </c>
      <c r="F31" s="42">
        <v>8.8000000000000007</v>
      </c>
      <c r="G31" s="34" t="s">
        <v>3676</v>
      </c>
      <c r="H31" s="35">
        <v>1981</v>
      </c>
      <c r="I31" s="36">
        <v>3048</v>
      </c>
      <c r="J31" s="37">
        <v>1</v>
      </c>
      <c r="K31" s="25">
        <f t="shared" si="1"/>
        <v>6.038088000000001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 t="s">
        <v>3677</v>
      </c>
      <c r="H32" s="35">
        <v>1981</v>
      </c>
      <c r="I32" s="36">
        <v>3353</v>
      </c>
      <c r="J32" s="37">
        <v>13</v>
      </c>
      <c r="K32" s="25">
        <f t="shared" si="1"/>
        <v>86.349809000000008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1"/>
        <v>0</v>
      </c>
      <c r="L33" s="39"/>
    </row>
    <row r="34" spans="1:12" s="27" customFormat="1" ht="19.5" customHeight="1" x14ac:dyDescent="0.3">
      <c r="A34" s="28" t="s">
        <v>3640</v>
      </c>
      <c r="B34" s="16" t="s">
        <v>353</v>
      </c>
      <c r="C34" s="17">
        <v>22</v>
      </c>
      <c r="D34" s="18" t="s">
        <v>320</v>
      </c>
      <c r="E34" s="41">
        <v>122</v>
      </c>
      <c r="F34" s="42">
        <v>101.58</v>
      </c>
      <c r="G34" s="34" t="s">
        <v>18</v>
      </c>
      <c r="H34" s="35">
        <v>1829</v>
      </c>
      <c r="I34" s="36">
        <v>3353</v>
      </c>
      <c r="J34" s="37">
        <v>17</v>
      </c>
      <c r="K34" s="25">
        <f t="shared" si="1"/>
        <v>104.254829</v>
      </c>
      <c r="L34" s="39" t="s">
        <v>3678</v>
      </c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1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1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38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3624</v>
      </c>
      <c r="B40" s="45" t="s">
        <v>3625</v>
      </c>
      <c r="C40" s="46">
        <v>24</v>
      </c>
      <c r="D40" s="47" t="s">
        <v>3642</v>
      </c>
      <c r="E40" s="48">
        <v>1</v>
      </c>
      <c r="F40" s="49">
        <v>3.45</v>
      </c>
      <c r="G40" s="50" t="s">
        <v>3644</v>
      </c>
      <c r="H40" s="51">
        <v>2438</v>
      </c>
      <c r="I40" s="45">
        <v>3353</v>
      </c>
      <c r="J40" s="52">
        <v>2</v>
      </c>
      <c r="K40" s="53">
        <f t="shared" si="0"/>
        <v>16.349228</v>
      </c>
      <c r="L40" s="54"/>
    </row>
    <row r="41" spans="1:12" s="55" customFormat="1" ht="19.5" customHeight="1" x14ac:dyDescent="0.3">
      <c r="A41" s="44"/>
      <c r="B41" s="45"/>
      <c r="C41" s="46">
        <v>24</v>
      </c>
      <c r="D41" s="47" t="s">
        <v>3643</v>
      </c>
      <c r="E41" s="48">
        <v>4</v>
      </c>
      <c r="F41" s="49">
        <v>5.67</v>
      </c>
      <c r="G41" s="50" t="s">
        <v>3637</v>
      </c>
      <c r="H41" s="51">
        <v>2438</v>
      </c>
      <c r="I41" s="45">
        <v>3353</v>
      </c>
      <c r="J41" s="52">
        <v>2</v>
      </c>
      <c r="K41" s="53">
        <f t="shared" si="0"/>
        <v>16.349228</v>
      </c>
      <c r="L41" s="54"/>
    </row>
    <row r="42" spans="1:12" s="55" customFormat="1" ht="19.5" customHeight="1" x14ac:dyDescent="0.3">
      <c r="A42" s="44"/>
      <c r="B42" s="45"/>
      <c r="C42" s="46">
        <v>24</v>
      </c>
      <c r="D42" s="47" t="s">
        <v>3643</v>
      </c>
      <c r="E42" s="48">
        <v>1</v>
      </c>
      <c r="F42" s="49">
        <v>2.83</v>
      </c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3621</v>
      </c>
      <c r="B44" s="45" t="s">
        <v>3622</v>
      </c>
      <c r="C44" s="46">
        <v>24</v>
      </c>
      <c r="D44" s="47" t="s">
        <v>3643</v>
      </c>
      <c r="E44" s="48">
        <v>6</v>
      </c>
      <c r="F44" s="49">
        <v>8.77</v>
      </c>
      <c r="G44" s="50" t="s">
        <v>3644</v>
      </c>
      <c r="H44" s="51">
        <v>2134</v>
      </c>
      <c r="I44" s="45">
        <v>3353</v>
      </c>
      <c r="J44" s="52">
        <v>1</v>
      </c>
      <c r="K44" s="53">
        <f t="shared" si="0"/>
        <v>7.1553019999999998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3637</v>
      </c>
      <c r="H45" s="51">
        <v>2134</v>
      </c>
      <c r="I45" s="45">
        <v>3658</v>
      </c>
      <c r="J45" s="52">
        <v>1</v>
      </c>
      <c r="K45" s="53">
        <f t="shared" ref="K45:K75" si="2">(H45/1000*I45/1000)*J45</f>
        <v>7.8061719999999992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2"/>
        <v>0</v>
      </c>
      <c r="L46" s="54"/>
    </row>
    <row r="47" spans="1:12" s="55" customFormat="1" ht="19.5" customHeight="1" x14ac:dyDescent="0.3">
      <c r="A47" s="44" t="s">
        <v>3630</v>
      </c>
      <c r="B47" s="45" t="s">
        <v>3671</v>
      </c>
      <c r="C47" s="46">
        <v>24</v>
      </c>
      <c r="D47" s="47" t="s">
        <v>3643</v>
      </c>
      <c r="E47" s="48">
        <v>2</v>
      </c>
      <c r="F47" s="49">
        <v>5.8</v>
      </c>
      <c r="G47" s="50" t="s">
        <v>3644</v>
      </c>
      <c r="H47" s="51">
        <v>2438</v>
      </c>
      <c r="I47" s="45">
        <v>3353</v>
      </c>
      <c r="J47" s="52">
        <v>1</v>
      </c>
      <c r="K47" s="53">
        <f t="shared" si="2"/>
        <v>8.174614</v>
      </c>
      <c r="L47" s="54"/>
    </row>
    <row r="48" spans="1:12" s="55" customFormat="1" ht="19.5" customHeight="1" x14ac:dyDescent="0.3">
      <c r="A48" s="44"/>
      <c r="B48" s="45"/>
      <c r="C48" s="46">
        <v>28</v>
      </c>
      <c r="D48" s="47" t="s">
        <v>3645</v>
      </c>
      <c r="E48" s="48">
        <v>1</v>
      </c>
      <c r="F48" s="49">
        <v>1.7</v>
      </c>
      <c r="G48" s="50" t="s">
        <v>3637</v>
      </c>
      <c r="H48" s="51">
        <v>2286</v>
      </c>
      <c r="I48" s="45">
        <v>3048</v>
      </c>
      <c r="J48" s="52">
        <v>1</v>
      </c>
      <c r="K48" s="53">
        <f t="shared" si="2"/>
        <v>6.9677280000000001</v>
      </c>
      <c r="L48" s="54" t="s">
        <v>3620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2"/>
        <v>0</v>
      </c>
      <c r="L49" s="54"/>
    </row>
    <row r="50" spans="1:12" s="55" customFormat="1" ht="19.5" customHeight="1" x14ac:dyDescent="0.3">
      <c r="A50" s="44" t="s">
        <v>3626</v>
      </c>
      <c r="B50" s="45" t="s">
        <v>3646</v>
      </c>
      <c r="C50" s="46">
        <v>24</v>
      </c>
      <c r="D50" s="47" t="s">
        <v>3647</v>
      </c>
      <c r="E50" s="48">
        <v>1</v>
      </c>
      <c r="F50" s="49">
        <v>1.55</v>
      </c>
      <c r="G50" s="50"/>
      <c r="H50" s="51"/>
      <c r="I50" s="45"/>
      <c r="J50" s="52"/>
      <c r="K50" s="53">
        <f t="shared" si="2"/>
        <v>0</v>
      </c>
      <c r="L50" s="54" t="s">
        <v>3620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2"/>
        <v>0</v>
      </c>
      <c r="L51" s="54"/>
    </row>
    <row r="52" spans="1:12" s="55" customFormat="1" ht="19.5" customHeight="1" x14ac:dyDescent="0.3">
      <c r="A52" s="44" t="s">
        <v>3648</v>
      </c>
      <c r="B52" s="45" t="s">
        <v>3649</v>
      </c>
      <c r="C52" s="46">
        <v>28</v>
      </c>
      <c r="D52" s="47" t="s">
        <v>3650</v>
      </c>
      <c r="E52" s="48">
        <v>4</v>
      </c>
      <c r="F52" s="49">
        <v>10.210000000000001</v>
      </c>
      <c r="G52" s="50" t="s">
        <v>3651</v>
      </c>
      <c r="H52" s="51">
        <v>2438</v>
      </c>
      <c r="I52" s="45">
        <v>3353</v>
      </c>
      <c r="J52" s="52">
        <v>1</v>
      </c>
      <c r="K52" s="53">
        <f t="shared" si="2"/>
        <v>8.174614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 t="s">
        <v>3652</v>
      </c>
      <c r="H53" s="51">
        <v>2438</v>
      </c>
      <c r="I53" s="45">
        <v>3353</v>
      </c>
      <c r="J53" s="52">
        <v>2</v>
      </c>
      <c r="K53" s="53">
        <f t="shared" si="2"/>
        <v>16.349228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2"/>
        <v>0</v>
      </c>
      <c r="L54" s="54"/>
    </row>
    <row r="55" spans="1:12" s="55" customFormat="1" ht="19.5" customHeight="1" x14ac:dyDescent="0.3">
      <c r="A55" s="44" t="s">
        <v>3653</v>
      </c>
      <c r="B55" s="45" t="s">
        <v>3649</v>
      </c>
      <c r="C55" s="46">
        <v>43</v>
      </c>
      <c r="D55" s="47" t="s">
        <v>3654</v>
      </c>
      <c r="E55" s="48">
        <v>12</v>
      </c>
      <c r="F55" s="49">
        <v>20</v>
      </c>
      <c r="G55" s="50" t="s">
        <v>3656</v>
      </c>
      <c r="H55" s="51">
        <v>2438</v>
      </c>
      <c r="I55" s="45">
        <v>3353</v>
      </c>
      <c r="J55" s="52">
        <v>4</v>
      </c>
      <c r="K55" s="53">
        <f t="shared" si="2"/>
        <v>32.698456</v>
      </c>
      <c r="L55" s="54"/>
    </row>
    <row r="56" spans="1:12" s="55" customFormat="1" ht="19.5" customHeight="1" x14ac:dyDescent="0.3">
      <c r="A56" s="44"/>
      <c r="B56" s="45"/>
      <c r="C56" s="46">
        <v>47.52</v>
      </c>
      <c r="D56" s="47" t="s">
        <v>3655</v>
      </c>
      <c r="E56" s="48">
        <v>1</v>
      </c>
      <c r="F56" s="49">
        <v>1.97</v>
      </c>
      <c r="G56" s="50" t="s">
        <v>3637</v>
      </c>
      <c r="H56" s="51">
        <v>2438</v>
      </c>
      <c r="I56" s="45">
        <v>3353</v>
      </c>
      <c r="J56" s="52">
        <v>1</v>
      </c>
      <c r="K56" s="53">
        <f t="shared" si="2"/>
        <v>8.174614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 t="s">
        <v>3637</v>
      </c>
      <c r="H57" s="51">
        <v>2286</v>
      </c>
      <c r="I57" s="45">
        <v>3048</v>
      </c>
      <c r="J57" s="52">
        <v>2</v>
      </c>
      <c r="K57" s="53">
        <f t="shared" si="2"/>
        <v>13.935456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 t="s">
        <v>3657</v>
      </c>
      <c r="H58" s="51">
        <v>2438</v>
      </c>
      <c r="I58" s="45">
        <v>3353</v>
      </c>
      <c r="J58" s="52">
        <v>4</v>
      </c>
      <c r="K58" s="53">
        <f t="shared" si="2"/>
        <v>32.698456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2"/>
        <v>0</v>
      </c>
      <c r="L59" s="54"/>
    </row>
    <row r="60" spans="1:12" s="55" customFormat="1" ht="19.5" customHeight="1" x14ac:dyDescent="0.3">
      <c r="A60" s="44" t="s">
        <v>3658</v>
      </c>
      <c r="B60" s="45" t="s">
        <v>3649</v>
      </c>
      <c r="C60" s="46">
        <v>31.52</v>
      </c>
      <c r="D60" s="47" t="s">
        <v>3659</v>
      </c>
      <c r="E60" s="48">
        <v>1</v>
      </c>
      <c r="F60" s="49">
        <v>4.88</v>
      </c>
      <c r="G60" s="50" t="s">
        <v>3651</v>
      </c>
      <c r="H60" s="51">
        <v>2438</v>
      </c>
      <c r="I60" s="45">
        <v>3353</v>
      </c>
      <c r="J60" s="52">
        <v>1</v>
      </c>
      <c r="K60" s="53">
        <f t="shared" si="2"/>
        <v>8.174614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2"/>
        <v>0</v>
      </c>
      <c r="L61" s="54"/>
    </row>
    <row r="62" spans="1:12" s="55" customFormat="1" ht="19.5" customHeight="1" x14ac:dyDescent="0.3">
      <c r="A62" s="44" t="s">
        <v>3660</v>
      </c>
      <c r="B62" s="45" t="s">
        <v>3661</v>
      </c>
      <c r="C62" s="46">
        <v>39</v>
      </c>
      <c r="D62" s="47" t="s">
        <v>3662</v>
      </c>
      <c r="E62" s="48">
        <v>2</v>
      </c>
      <c r="F62" s="49">
        <v>1.07</v>
      </c>
      <c r="G62" s="50"/>
      <c r="H62" s="51"/>
      <c r="I62" s="45"/>
      <c r="J62" s="52"/>
      <c r="K62" s="53">
        <f t="shared" si="2"/>
        <v>0</v>
      </c>
      <c r="L62" s="54" t="s">
        <v>3663</v>
      </c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2"/>
        <v>0</v>
      </c>
      <c r="L63" s="54"/>
    </row>
    <row r="64" spans="1:12" s="55" customFormat="1" ht="19.5" customHeight="1" x14ac:dyDescent="0.3">
      <c r="A64" s="44" t="s">
        <v>3664</v>
      </c>
      <c r="B64" s="45" t="s">
        <v>3661</v>
      </c>
      <c r="C64" s="46">
        <v>39</v>
      </c>
      <c r="D64" s="47" t="s">
        <v>3662</v>
      </c>
      <c r="E64" s="48">
        <v>1</v>
      </c>
      <c r="F64" s="49">
        <v>2.06</v>
      </c>
      <c r="G64" s="50"/>
      <c r="H64" s="51"/>
      <c r="I64" s="45"/>
      <c r="J64" s="52"/>
      <c r="K64" s="53">
        <f t="shared" si="2"/>
        <v>0</v>
      </c>
      <c r="L64" s="54" t="s">
        <v>3663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2"/>
        <v>0</v>
      </c>
      <c r="L65" s="54"/>
    </row>
    <row r="66" spans="1:12" s="55" customFormat="1" ht="19.5" customHeight="1" x14ac:dyDescent="0.3">
      <c r="A66" s="44" t="s">
        <v>3665</v>
      </c>
      <c r="B66" s="45" t="s">
        <v>3666</v>
      </c>
      <c r="C66" s="46">
        <v>28</v>
      </c>
      <c r="D66" s="47" t="s">
        <v>3667</v>
      </c>
      <c r="E66" s="48">
        <v>74</v>
      </c>
      <c r="F66" s="49">
        <v>108.32</v>
      </c>
      <c r="G66" s="50" t="s">
        <v>3652</v>
      </c>
      <c r="H66" s="51">
        <v>1829</v>
      </c>
      <c r="I66" s="45">
        <v>3353</v>
      </c>
      <c r="J66" s="52">
        <v>47</v>
      </c>
      <c r="K66" s="53">
        <f t="shared" si="2"/>
        <v>288.23393900000002</v>
      </c>
      <c r="L66" s="54" t="s">
        <v>3669</v>
      </c>
    </row>
    <row r="67" spans="1:12" s="55" customFormat="1" ht="19.5" customHeight="1" x14ac:dyDescent="0.3">
      <c r="A67" s="44"/>
      <c r="B67" s="45"/>
      <c r="C67" s="46">
        <v>28</v>
      </c>
      <c r="D67" s="47" t="s">
        <v>3668</v>
      </c>
      <c r="E67" s="48">
        <v>66</v>
      </c>
      <c r="F67" s="49">
        <v>42.46</v>
      </c>
      <c r="G67" s="50"/>
      <c r="H67" s="51"/>
      <c r="I67" s="45"/>
      <c r="J67" s="52"/>
      <c r="K67" s="53">
        <f t="shared" si="2"/>
        <v>0</v>
      </c>
      <c r="L67" s="54" t="s">
        <v>3669</v>
      </c>
    </row>
    <row r="68" spans="1:12" s="55" customFormat="1" ht="19.5" customHeight="1" x14ac:dyDescent="0.3">
      <c r="A68" s="44"/>
      <c r="B68" s="45"/>
      <c r="C68" s="46">
        <v>28</v>
      </c>
      <c r="D68" s="47" t="s">
        <v>3667</v>
      </c>
      <c r="E68" s="48">
        <v>48</v>
      </c>
      <c r="F68" s="49">
        <v>123.3</v>
      </c>
      <c r="G68" s="50"/>
      <c r="H68" s="51"/>
      <c r="I68" s="45"/>
      <c r="J68" s="52"/>
      <c r="K68" s="53">
        <f t="shared" si="2"/>
        <v>0</v>
      </c>
      <c r="L68" s="54" t="s">
        <v>3669</v>
      </c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2"/>
        <v>0</v>
      </c>
      <c r="L69" s="54"/>
    </row>
    <row r="70" spans="1:12" s="55" customFormat="1" ht="19.5" customHeight="1" x14ac:dyDescent="0.3">
      <c r="A70" s="44" t="s">
        <v>3670</v>
      </c>
      <c r="B70" s="45" t="s">
        <v>3666</v>
      </c>
      <c r="C70" s="46">
        <v>28</v>
      </c>
      <c r="D70" s="47" t="s">
        <v>3667</v>
      </c>
      <c r="E70" s="48">
        <v>40</v>
      </c>
      <c r="F70" s="49">
        <v>58.66</v>
      </c>
      <c r="G70" s="50" t="s">
        <v>3652</v>
      </c>
      <c r="H70" s="51">
        <v>1829</v>
      </c>
      <c r="I70" s="45">
        <v>3353</v>
      </c>
      <c r="J70" s="52">
        <v>26</v>
      </c>
      <c r="K70" s="53">
        <f t="shared" si="2"/>
        <v>159.44856200000001</v>
      </c>
      <c r="L70" s="54" t="s">
        <v>3669</v>
      </c>
    </row>
    <row r="71" spans="1:12" s="55" customFormat="1" ht="19.5" customHeight="1" x14ac:dyDescent="0.3">
      <c r="A71" s="44"/>
      <c r="B71" s="45"/>
      <c r="C71" s="46">
        <v>28</v>
      </c>
      <c r="D71" s="47" t="s">
        <v>3668</v>
      </c>
      <c r="E71" s="48">
        <v>32</v>
      </c>
      <c r="F71" s="49">
        <v>20</v>
      </c>
      <c r="G71" s="50"/>
      <c r="H71" s="51"/>
      <c r="I71" s="45"/>
      <c r="J71" s="52"/>
      <c r="K71" s="53">
        <f t="shared" si="2"/>
        <v>0</v>
      </c>
      <c r="L71" s="54" t="s">
        <v>3669</v>
      </c>
    </row>
    <row r="72" spans="1:12" s="55" customFormat="1" ht="19.5" customHeight="1" x14ac:dyDescent="0.3">
      <c r="A72" s="44"/>
      <c r="B72" s="45"/>
      <c r="C72" s="46">
        <v>28</v>
      </c>
      <c r="D72" s="47" t="s">
        <v>3667</v>
      </c>
      <c r="E72" s="48">
        <v>25</v>
      </c>
      <c r="F72" s="49">
        <v>64.59</v>
      </c>
      <c r="G72" s="50"/>
      <c r="H72" s="51"/>
      <c r="I72" s="45"/>
      <c r="J72" s="52"/>
      <c r="K72" s="53">
        <f t="shared" si="2"/>
        <v>0</v>
      </c>
      <c r="L72" s="54" t="s">
        <v>3669</v>
      </c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2"/>
        <v>0</v>
      </c>
      <c r="L73" s="54"/>
    </row>
    <row r="74" spans="1:12" s="55" customFormat="1" ht="19.5" customHeight="1" x14ac:dyDescent="0.3">
      <c r="A74" s="44" t="s">
        <v>3641</v>
      </c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2"/>
        <v>0</v>
      </c>
      <c r="L74" s="54"/>
    </row>
    <row r="75" spans="1:12" s="55" customFormat="1" ht="19.5" customHeight="1" x14ac:dyDescent="0.3">
      <c r="A75" s="44" t="s">
        <v>3679</v>
      </c>
      <c r="B75" s="45" t="s">
        <v>3680</v>
      </c>
      <c r="C75" s="46">
        <v>28</v>
      </c>
      <c r="D75" s="47" t="s">
        <v>1891</v>
      </c>
      <c r="E75" s="48">
        <v>76</v>
      </c>
      <c r="F75" s="49">
        <v>113.14</v>
      </c>
      <c r="G75" s="50" t="s">
        <v>3576</v>
      </c>
      <c r="H75" s="51">
        <v>2438</v>
      </c>
      <c r="I75" s="45">
        <v>3048</v>
      </c>
      <c r="J75" s="52">
        <v>24</v>
      </c>
      <c r="K75" s="53">
        <f t="shared" si="2"/>
        <v>178.34457600000002</v>
      </c>
      <c r="L75" s="54" t="s">
        <v>3681</v>
      </c>
    </row>
    <row r="76" spans="1:12" s="55" customFormat="1" ht="19.5" customHeight="1" x14ac:dyDescent="0.3">
      <c r="A76" s="44"/>
      <c r="B76" s="45"/>
      <c r="C76" s="46">
        <v>28</v>
      </c>
      <c r="D76" s="47" t="s">
        <v>1894</v>
      </c>
      <c r="E76" s="48">
        <v>74</v>
      </c>
      <c r="F76" s="49">
        <v>48.82</v>
      </c>
      <c r="G76" s="50" t="s">
        <v>3576</v>
      </c>
      <c r="H76" s="51">
        <v>2134</v>
      </c>
      <c r="I76" s="45">
        <v>3353</v>
      </c>
      <c r="J76" s="52">
        <v>22</v>
      </c>
      <c r="K76" s="53">
        <f t="shared" si="0"/>
        <v>157.41664399999999</v>
      </c>
      <c r="L76" s="54" t="s">
        <v>3681</v>
      </c>
    </row>
    <row r="77" spans="1:12" s="55" customFormat="1" ht="19.5" customHeight="1" x14ac:dyDescent="0.3">
      <c r="A77" s="44"/>
      <c r="B77" s="45"/>
      <c r="C77" s="46">
        <v>28</v>
      </c>
      <c r="D77" s="47" t="s">
        <v>1891</v>
      </c>
      <c r="E77" s="48">
        <v>51</v>
      </c>
      <c r="F77" s="49">
        <v>130.5</v>
      </c>
      <c r="G77" s="50"/>
      <c r="H77" s="51"/>
      <c r="I77" s="45"/>
      <c r="J77" s="52"/>
      <c r="K77" s="53">
        <f t="shared" si="0"/>
        <v>0</v>
      </c>
      <c r="L77" s="54" t="s">
        <v>3681</v>
      </c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 t="s">
        <v>3682</v>
      </c>
      <c r="B79" s="45" t="s">
        <v>3683</v>
      </c>
      <c r="C79" s="46">
        <v>25.76</v>
      </c>
      <c r="D79" s="47" t="s">
        <v>3684</v>
      </c>
      <c r="E79" s="48">
        <v>64</v>
      </c>
      <c r="F79" s="49">
        <v>31.76</v>
      </c>
      <c r="G79" s="50" t="s">
        <v>3677</v>
      </c>
      <c r="H79" s="51">
        <v>2134</v>
      </c>
      <c r="I79" s="45">
        <v>3048</v>
      </c>
      <c r="J79" s="52">
        <v>9</v>
      </c>
      <c r="K79" s="53">
        <f t="shared" si="0"/>
        <v>58.539887999999998</v>
      </c>
      <c r="L79" s="54" t="s">
        <v>3688</v>
      </c>
    </row>
    <row r="80" spans="1:12" s="55" customFormat="1" ht="19.5" customHeight="1" x14ac:dyDescent="0.3">
      <c r="A80" s="44"/>
      <c r="B80" s="45"/>
      <c r="C80" s="46">
        <v>22</v>
      </c>
      <c r="D80" s="47" t="s">
        <v>3685</v>
      </c>
      <c r="E80" s="48">
        <v>16</v>
      </c>
      <c r="F80" s="49">
        <v>22.56</v>
      </c>
      <c r="G80" s="50" t="s">
        <v>3677</v>
      </c>
      <c r="H80" s="51">
        <v>1981</v>
      </c>
      <c r="I80" s="45">
        <v>3353</v>
      </c>
      <c r="J80" s="52">
        <v>7</v>
      </c>
      <c r="K80" s="53">
        <f t="shared" si="0"/>
        <v>46.496051000000001</v>
      </c>
      <c r="L80" s="54" t="s">
        <v>3688</v>
      </c>
    </row>
    <row r="81" spans="1:12" s="55" customFormat="1" ht="19.5" customHeight="1" x14ac:dyDescent="0.3">
      <c r="A81" s="44"/>
      <c r="B81" s="45"/>
      <c r="C81" s="46">
        <v>46.76</v>
      </c>
      <c r="D81" s="47" t="s">
        <v>3686</v>
      </c>
      <c r="E81" s="48">
        <v>8</v>
      </c>
      <c r="F81" s="49">
        <v>3.2</v>
      </c>
      <c r="G81" s="50" t="s">
        <v>3676</v>
      </c>
      <c r="H81" s="51">
        <v>2590</v>
      </c>
      <c r="I81" s="45">
        <v>3048</v>
      </c>
      <c r="J81" s="52">
        <v>5</v>
      </c>
      <c r="K81" s="53">
        <f t="shared" si="0"/>
        <v>39.471599999999995</v>
      </c>
      <c r="L81" s="54" t="s">
        <v>3688</v>
      </c>
    </row>
    <row r="82" spans="1:12" s="55" customFormat="1" ht="19.5" customHeight="1" x14ac:dyDescent="0.3">
      <c r="A82" s="44" t="s">
        <v>3687</v>
      </c>
      <c r="B82" s="45" t="s">
        <v>3683</v>
      </c>
      <c r="C82" s="46">
        <v>25.76</v>
      </c>
      <c r="D82" s="47" t="s">
        <v>3684</v>
      </c>
      <c r="E82" s="48">
        <v>36</v>
      </c>
      <c r="F82" s="49">
        <v>20.88</v>
      </c>
      <c r="G82" s="50" t="s">
        <v>3689</v>
      </c>
      <c r="H82" s="51">
        <v>1981</v>
      </c>
      <c r="I82" s="45">
        <v>3353</v>
      </c>
      <c r="J82" s="52">
        <v>1</v>
      </c>
      <c r="K82" s="53">
        <f t="shared" si="0"/>
        <v>6.6422930000000004</v>
      </c>
      <c r="L82" s="54" t="s">
        <v>3688</v>
      </c>
    </row>
    <row r="83" spans="1:12" s="55" customFormat="1" ht="19.5" customHeight="1" x14ac:dyDescent="0.3">
      <c r="A83" s="44"/>
      <c r="B83" s="45"/>
      <c r="C83" s="46">
        <v>22</v>
      </c>
      <c r="D83" s="47" t="s">
        <v>3685</v>
      </c>
      <c r="E83" s="48">
        <v>12</v>
      </c>
      <c r="F83" s="49">
        <v>13.2</v>
      </c>
      <c r="G83" s="50"/>
      <c r="H83" s="51"/>
      <c r="I83" s="45"/>
      <c r="J83" s="52"/>
      <c r="K83" s="53">
        <f t="shared" si="0"/>
        <v>0</v>
      </c>
      <c r="L83" s="54" t="s">
        <v>3688</v>
      </c>
    </row>
    <row r="84" spans="1:12" s="55" customFormat="1" ht="19.5" customHeight="1" x14ac:dyDescent="0.3">
      <c r="A84" s="44"/>
      <c r="B84" s="45"/>
      <c r="C84" s="46">
        <v>46.76</v>
      </c>
      <c r="D84" s="47" t="s">
        <v>3686</v>
      </c>
      <c r="E84" s="48">
        <v>4</v>
      </c>
      <c r="F84" s="49">
        <v>1.8</v>
      </c>
      <c r="G84" s="50"/>
      <c r="H84" s="51"/>
      <c r="I84" s="45"/>
      <c r="J84" s="52"/>
      <c r="K84" s="53">
        <f t="shared" si="0"/>
        <v>0</v>
      </c>
      <c r="L84" s="54" t="s">
        <v>3688</v>
      </c>
    </row>
    <row r="85" spans="1:12" s="55" customFormat="1" ht="19.5" customHeight="1" x14ac:dyDescent="0.3">
      <c r="A85" s="44"/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5" customFormat="1" ht="19.5" customHeight="1" x14ac:dyDescent="0.3">
      <c r="A86" s="44"/>
      <c r="B86" s="45"/>
      <c r="C86" s="46"/>
      <c r="D86" s="47"/>
      <c r="E86" s="48"/>
      <c r="F86" s="49"/>
      <c r="G86" s="50"/>
      <c r="H86" s="51"/>
      <c r="I86" s="45"/>
      <c r="J86" s="52"/>
      <c r="K86" s="53">
        <f t="shared" si="0"/>
        <v>0</v>
      </c>
      <c r="L86" s="54"/>
    </row>
    <row r="87" spans="1:12" s="59" customFormat="1" ht="20.100000000000001" customHeight="1" x14ac:dyDescent="0.3">
      <c r="A87" s="44"/>
      <c r="B87" s="45"/>
      <c r="C87" s="46"/>
      <c r="D87" s="47"/>
      <c r="E87" s="56"/>
      <c r="F87" s="57"/>
      <c r="G87" s="50"/>
      <c r="H87" s="51"/>
      <c r="I87" s="45"/>
      <c r="J87" s="52"/>
      <c r="K87" s="53">
        <f t="shared" si="0"/>
        <v>0</v>
      </c>
      <c r="L87" s="58">
        <f>SUM(J39:J88)</f>
        <v>164</v>
      </c>
    </row>
    <row r="88" spans="1:12" s="59" customFormat="1" ht="20.100000000000001" customHeight="1" x14ac:dyDescent="0.3">
      <c r="A88" s="44"/>
      <c r="B88" s="45"/>
      <c r="C88" s="46"/>
      <c r="D88" s="47"/>
      <c r="E88" s="60"/>
      <c r="F88" s="61"/>
      <c r="G88" s="62"/>
      <c r="H88" s="51"/>
      <c r="I88" s="45"/>
      <c r="J88" s="63"/>
      <c r="K88" s="53">
        <f t="shared" si="0"/>
        <v>0</v>
      </c>
      <c r="L88" s="64">
        <f>SUM(K39:K88)</f>
        <v>1117.6012630000002</v>
      </c>
    </row>
    <row r="89" spans="1:12" s="59" customFormat="1" ht="20.100000000000001" customHeight="1" thickBot="1" x14ac:dyDescent="0.35">
      <c r="A89" s="114"/>
      <c r="B89" s="115"/>
      <c r="C89" s="115"/>
      <c r="D89" s="115"/>
      <c r="E89" s="115"/>
      <c r="F89" s="115"/>
      <c r="G89" s="115"/>
      <c r="H89" s="115"/>
      <c r="I89" s="115"/>
      <c r="J89" s="65">
        <f>SUM(J7:J88)</f>
        <v>304</v>
      </c>
      <c r="K89" s="66">
        <f>SUM(K7:K88)</f>
        <v>2027.1570480000003</v>
      </c>
      <c r="L89" s="67"/>
    </row>
    <row r="90" spans="1:12" s="59" customFormat="1" ht="20.100000000000001" customHeight="1" thickTop="1" thickBot="1" x14ac:dyDescent="0.35">
      <c r="A90" s="116" t="s">
        <v>52</v>
      </c>
      <c r="B90" s="117"/>
      <c r="C90" s="68"/>
      <c r="D90" s="118">
        <f>J89</f>
        <v>304</v>
      </c>
      <c r="E90" s="119"/>
      <c r="F90" s="119"/>
      <c r="G90" s="120"/>
      <c r="H90" s="121"/>
      <c r="I90" s="121"/>
      <c r="J90" s="122"/>
      <c r="K90" s="119"/>
      <c r="L90" s="123"/>
    </row>
    <row r="91" spans="1:12" s="59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71"/>
    </row>
    <row r="92" spans="1:12" s="59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113"/>
      <c r="B95" s="113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72"/>
      <c r="F96" s="5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5"/>
      <c r="G97" s="73"/>
      <c r="H97" s="5"/>
      <c r="I97" s="74"/>
      <c r="J97" s="5"/>
      <c r="K97" s="5"/>
      <c r="L97" s="5"/>
    </row>
    <row r="98" spans="1:12" s="59" customFormat="1" ht="20.100000000000001" customHeight="1" x14ac:dyDescent="0.3">
      <c r="A98" s="113"/>
      <c r="B98" s="113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113"/>
      <c r="B100" s="113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113"/>
      <c r="B101" s="113"/>
      <c r="C101" s="5"/>
      <c r="D101" s="5"/>
      <c r="E101" s="5"/>
      <c r="F101" s="70"/>
      <c r="G101" s="5"/>
      <c r="H101" s="72"/>
      <c r="I101" s="72"/>
      <c r="J101" s="5"/>
      <c r="K101" s="5"/>
      <c r="L101" s="5"/>
    </row>
    <row r="102" spans="1:12" ht="20.100000000000001" customHeight="1" x14ac:dyDescent="0.3">
      <c r="A102" s="113"/>
      <c r="B102" s="113"/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A105" s="113"/>
      <c r="B105" s="113"/>
      <c r="H105" s="72"/>
      <c r="I105" s="72"/>
    </row>
    <row r="106" spans="1:12" ht="20.100000000000001" customHeight="1" x14ac:dyDescent="0.3">
      <c r="A106" s="113"/>
      <c r="B106" s="113"/>
      <c r="H106" s="72"/>
      <c r="I106" s="72"/>
    </row>
    <row r="107" spans="1:12" ht="20.100000000000001" customHeight="1" x14ac:dyDescent="0.3">
      <c r="H107" s="72"/>
      <c r="I107" s="72"/>
    </row>
    <row r="108" spans="1:12" ht="20.100000000000001" customHeight="1" x14ac:dyDescent="0.3">
      <c r="H108" s="72"/>
      <c r="I108" s="72"/>
    </row>
    <row r="109" spans="1:12" ht="20.100000000000001" customHeight="1" x14ac:dyDescent="0.3">
      <c r="H109" s="72"/>
      <c r="I109" s="72"/>
    </row>
    <row r="110" spans="1:12" s="72" customFormat="1" ht="20.100000000000001" customHeight="1" x14ac:dyDescent="0.3">
      <c r="A110" s="69"/>
      <c r="B110" s="5"/>
      <c r="C110" s="5"/>
      <c r="D110" s="5"/>
      <c r="E110" s="5"/>
      <c r="F110" s="70"/>
      <c r="G110" s="5"/>
      <c r="J110" s="5"/>
      <c r="K110" s="5"/>
      <c r="L110" s="5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5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75" customFormat="1" ht="20.100000000000001" customHeight="1" x14ac:dyDescent="0.3">
      <c r="A113" s="69"/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75" customFormat="1" ht="19.5" customHeight="1" x14ac:dyDescent="0.3">
      <c r="A114" s="69"/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1:12" s="72" customFormat="1" ht="20.100000000000001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s="72" customFormat="1" ht="20.100000000000001" customHeight="1" x14ac:dyDescent="0.3">
      <c r="A116" s="69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ht="19.5" customHeight="1" x14ac:dyDescent="0.3"/>
    <row r="118" spans="1:12" ht="19.5" customHeight="1" x14ac:dyDescent="0.3"/>
    <row r="119" spans="1:12" ht="19.5" customHeight="1" x14ac:dyDescent="0.3"/>
    <row r="120" spans="1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>
        <v>2</v>
      </c>
      <c r="C180" s="5"/>
      <c r="D180" s="5"/>
      <c r="E180" s="5"/>
      <c r="F180" s="70"/>
      <c r="G180" s="5"/>
      <c r="H180" s="5"/>
      <c r="I180" s="5"/>
      <c r="J180" s="5"/>
      <c r="K180" s="5"/>
      <c r="L180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5:B9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9:I89"/>
    <mergeCell ref="A90:B90"/>
    <mergeCell ref="D90:G90"/>
    <mergeCell ref="H90:J90"/>
    <mergeCell ref="K90:L90"/>
    <mergeCell ref="A105:B105"/>
    <mergeCell ref="A106:B106"/>
    <mergeCell ref="A96:B96"/>
    <mergeCell ref="A97:B97"/>
    <mergeCell ref="A98:B98"/>
    <mergeCell ref="A100:B100"/>
    <mergeCell ref="A101:B101"/>
    <mergeCell ref="A102:B102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L146"/>
  <sheetViews>
    <sheetView view="pageBreakPreview" topLeftCell="F7" zoomScale="85" zoomScaleSheetLayoutView="85" workbookViewId="0">
      <selection activeCell="L7" sqref="L7:L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46152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4" si="0">(H7/1000*I7/1000)*J7</f>
        <v>0</v>
      </c>
      <c r="L7" s="26">
        <f>SUM(J7:J30)</f>
        <v>124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SUM(K7:K30)</f>
        <v>827.30154000000005</v>
      </c>
    </row>
    <row r="9" spans="1:12" s="27" customFormat="1" ht="19.5" customHeight="1" x14ac:dyDescent="0.3">
      <c r="A9" s="28" t="s">
        <v>3565</v>
      </c>
      <c r="B9" s="16" t="s">
        <v>3611</v>
      </c>
      <c r="C9" s="17">
        <v>24</v>
      </c>
      <c r="D9" s="18" t="s">
        <v>3567</v>
      </c>
      <c r="E9" s="41">
        <v>85</v>
      </c>
      <c r="F9" s="42">
        <v>115.1</v>
      </c>
      <c r="G9" s="34" t="s">
        <v>3610</v>
      </c>
      <c r="H9" s="35">
        <v>1981</v>
      </c>
      <c r="I9" s="36">
        <v>3353</v>
      </c>
      <c r="J9" s="37">
        <v>13</v>
      </c>
      <c r="K9" s="25">
        <f t="shared" si="0"/>
        <v>86.349809000000008</v>
      </c>
      <c r="L9" s="39" t="s">
        <v>106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3610</v>
      </c>
      <c r="H10" s="35">
        <v>1981</v>
      </c>
      <c r="I10" s="36">
        <v>3658</v>
      </c>
      <c r="J10" s="37">
        <v>6</v>
      </c>
      <c r="K10" s="25">
        <f t="shared" si="0"/>
        <v>43.478988000000001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3570</v>
      </c>
      <c r="B12" s="16" t="s">
        <v>3611</v>
      </c>
      <c r="C12" s="17">
        <v>24</v>
      </c>
      <c r="D12" s="18" t="s">
        <v>3567</v>
      </c>
      <c r="E12" s="41">
        <v>133</v>
      </c>
      <c r="F12" s="42">
        <v>192.81</v>
      </c>
      <c r="G12" s="34" t="s">
        <v>3610</v>
      </c>
      <c r="H12" s="35">
        <v>1981</v>
      </c>
      <c r="I12" s="36">
        <v>3353</v>
      </c>
      <c r="J12" s="37">
        <v>46</v>
      </c>
      <c r="K12" s="25">
        <f t="shared" si="0"/>
        <v>305.545478</v>
      </c>
      <c r="L12" s="39" t="s">
        <v>106</v>
      </c>
    </row>
    <row r="13" spans="1:12" s="27" customFormat="1" ht="19.5" customHeight="1" x14ac:dyDescent="0.3">
      <c r="A13" s="28"/>
      <c r="B13" s="16"/>
      <c r="C13" s="17">
        <v>24</v>
      </c>
      <c r="D13" s="18" t="s">
        <v>3571</v>
      </c>
      <c r="E13" s="41">
        <v>48</v>
      </c>
      <c r="F13" s="42">
        <v>94.01</v>
      </c>
      <c r="G13" s="34" t="s">
        <v>3610</v>
      </c>
      <c r="H13" s="35">
        <v>1981</v>
      </c>
      <c r="I13" s="36">
        <v>3658</v>
      </c>
      <c r="J13" s="37">
        <v>1</v>
      </c>
      <c r="K13" s="25">
        <f t="shared" si="0"/>
        <v>7.2464980000000008</v>
      </c>
      <c r="L13" s="39" t="s">
        <v>106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0"/>
        <v>0</v>
      </c>
      <c r="L14" s="39"/>
    </row>
    <row r="15" spans="1:12" s="27" customFormat="1" ht="19.5" customHeight="1" x14ac:dyDescent="0.3">
      <c r="A15" s="28" t="s">
        <v>3612</v>
      </c>
      <c r="B15" s="16" t="s">
        <v>3611</v>
      </c>
      <c r="C15" s="17">
        <v>24</v>
      </c>
      <c r="D15" s="18" t="s">
        <v>3567</v>
      </c>
      <c r="E15" s="41">
        <v>36</v>
      </c>
      <c r="F15" s="42">
        <v>59.22</v>
      </c>
      <c r="G15" s="34" t="s">
        <v>3610</v>
      </c>
      <c r="H15" s="35">
        <v>1981</v>
      </c>
      <c r="I15" s="36">
        <v>3658</v>
      </c>
      <c r="J15" s="37">
        <v>11</v>
      </c>
      <c r="K15" s="25">
        <f t="shared" si="0"/>
        <v>79.711478000000014</v>
      </c>
      <c r="L15" s="39" t="s">
        <v>3615</v>
      </c>
    </row>
    <row r="16" spans="1:12" s="27" customFormat="1" ht="19.5" customHeight="1" x14ac:dyDescent="0.3">
      <c r="A16" s="28" t="s">
        <v>3613</v>
      </c>
      <c r="B16" s="16" t="s">
        <v>3611</v>
      </c>
      <c r="C16" s="17">
        <v>24</v>
      </c>
      <c r="D16" s="18" t="s">
        <v>3614</v>
      </c>
      <c r="E16" s="41">
        <v>6</v>
      </c>
      <c r="F16" s="42">
        <v>7.47</v>
      </c>
      <c r="G16" s="34" t="s">
        <v>18</v>
      </c>
      <c r="H16" s="35">
        <v>2134</v>
      </c>
      <c r="I16" s="36">
        <v>3658</v>
      </c>
      <c r="J16" s="37">
        <v>10</v>
      </c>
      <c r="K16" s="25">
        <f t="shared" si="0"/>
        <v>78.061719999999994</v>
      </c>
      <c r="L16" s="39" t="s">
        <v>3615</v>
      </c>
    </row>
    <row r="17" spans="1:12" s="27" customFormat="1" ht="19.5" customHeight="1" x14ac:dyDescent="0.3">
      <c r="A17" s="28"/>
      <c r="B17" s="16"/>
      <c r="C17" s="17">
        <v>24</v>
      </c>
      <c r="D17" s="18" t="s">
        <v>3614</v>
      </c>
      <c r="E17" s="41">
        <v>2</v>
      </c>
      <c r="F17" s="42">
        <v>3.51</v>
      </c>
      <c r="G17" s="34"/>
      <c r="H17" s="35"/>
      <c r="I17" s="36"/>
      <c r="J17" s="37"/>
      <c r="K17" s="25">
        <f t="shared" si="0"/>
        <v>0</v>
      </c>
      <c r="L17" s="39" t="s">
        <v>3615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 t="s">
        <v>3616</v>
      </c>
      <c r="B19" s="16" t="s">
        <v>353</v>
      </c>
      <c r="C19" s="17">
        <v>22</v>
      </c>
      <c r="D19" s="18" t="s">
        <v>307</v>
      </c>
      <c r="E19" s="41">
        <v>123</v>
      </c>
      <c r="F19" s="42">
        <v>106.29</v>
      </c>
      <c r="G19" s="34" t="s">
        <v>49</v>
      </c>
      <c r="H19" s="35">
        <v>1829</v>
      </c>
      <c r="I19" s="36">
        <v>3353</v>
      </c>
      <c r="J19" s="37">
        <v>19</v>
      </c>
      <c r="K19" s="25">
        <f t="shared" si="0"/>
        <v>116.52010299999999</v>
      </c>
      <c r="L19" s="39" t="s">
        <v>321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 t="s">
        <v>39</v>
      </c>
      <c r="H20" s="35">
        <v>1829</v>
      </c>
      <c r="I20" s="36">
        <v>3353</v>
      </c>
      <c r="J20" s="37">
        <v>18</v>
      </c>
      <c r="K20" s="25">
        <f t="shared" si="0"/>
        <v>110.387466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43"/>
      <c r="H30" s="35"/>
      <c r="I30" s="36"/>
      <c r="J30" s="37"/>
      <c r="K30" s="38">
        <f t="shared" si="0"/>
        <v>0</v>
      </c>
      <c r="L30" s="39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/>
      <c r="B34" s="45"/>
      <c r="C34" s="46"/>
      <c r="D34" s="78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46"/>
      <c r="D46" s="78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76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76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76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9" customFormat="1" ht="20.100000000000001" customHeight="1" x14ac:dyDescent="0.3">
      <c r="A53" s="44"/>
      <c r="B53" s="45"/>
      <c r="C53" s="46"/>
      <c r="D53" s="47"/>
      <c r="E53" s="56"/>
      <c r="F53" s="57"/>
      <c r="G53" s="50"/>
      <c r="H53" s="51"/>
      <c r="I53" s="45"/>
      <c r="J53" s="52"/>
      <c r="K53" s="53">
        <f t="shared" si="0"/>
        <v>0</v>
      </c>
      <c r="L53" s="58">
        <f>SUM(J31:J54)</f>
        <v>0</v>
      </c>
    </row>
    <row r="54" spans="1:12" s="59" customFormat="1" ht="20.100000000000001" customHeight="1" x14ac:dyDescent="0.3">
      <c r="A54" s="44"/>
      <c r="B54" s="45"/>
      <c r="C54" s="46"/>
      <c r="D54" s="47"/>
      <c r="E54" s="60"/>
      <c r="F54" s="61"/>
      <c r="G54" s="62"/>
      <c r="H54" s="51"/>
      <c r="I54" s="45"/>
      <c r="J54" s="63"/>
      <c r="K54" s="53">
        <f t="shared" si="0"/>
        <v>0</v>
      </c>
      <c r="L54" s="64">
        <f>SUM(K31:K54)</f>
        <v>0</v>
      </c>
    </row>
    <row r="55" spans="1:12" s="59" customFormat="1" ht="20.100000000000001" customHeight="1" thickBot="1" x14ac:dyDescent="0.35">
      <c r="A55" s="114"/>
      <c r="B55" s="115"/>
      <c r="C55" s="115"/>
      <c r="D55" s="115"/>
      <c r="E55" s="115"/>
      <c r="F55" s="115"/>
      <c r="G55" s="115"/>
      <c r="H55" s="115"/>
      <c r="I55" s="115"/>
      <c r="J55" s="65">
        <f>SUM(J7:J54)</f>
        <v>124</v>
      </c>
      <c r="K55" s="66">
        <f>SUM(K7:K54)</f>
        <v>827.30154000000005</v>
      </c>
      <c r="L55" s="67"/>
    </row>
    <row r="56" spans="1:12" s="59" customFormat="1" ht="20.100000000000001" customHeight="1" thickTop="1" thickBot="1" x14ac:dyDescent="0.35">
      <c r="A56" s="116" t="s">
        <v>52</v>
      </c>
      <c r="B56" s="117"/>
      <c r="C56" s="68"/>
      <c r="D56" s="118">
        <f>J55</f>
        <v>124</v>
      </c>
      <c r="E56" s="119"/>
      <c r="F56" s="119"/>
      <c r="G56" s="120"/>
      <c r="H56" s="121"/>
      <c r="I56" s="121"/>
      <c r="J56" s="122"/>
      <c r="K56" s="119"/>
      <c r="L56" s="123"/>
    </row>
    <row r="57" spans="1:12" s="59" customFormat="1" ht="20.100000000000001" customHeight="1" x14ac:dyDescent="0.3">
      <c r="A57" s="69"/>
      <c r="B57" s="5"/>
      <c r="C57" s="5"/>
      <c r="D57" s="5"/>
      <c r="E57" s="5"/>
      <c r="F57" s="70"/>
      <c r="G57" s="5"/>
      <c r="H57" s="5"/>
      <c r="I57" s="5"/>
      <c r="J57" s="5"/>
      <c r="K57" s="5"/>
      <c r="L57" s="71"/>
    </row>
    <row r="58" spans="1:12" s="59" customFormat="1" ht="20.100000000000001" customHeight="1" x14ac:dyDescent="0.3">
      <c r="A58" s="69"/>
      <c r="B58" s="5"/>
      <c r="C58" s="5"/>
      <c r="D58" s="5"/>
      <c r="E58" s="5"/>
      <c r="F58" s="70"/>
      <c r="G58" s="5"/>
      <c r="H58" s="5"/>
      <c r="I58" s="5"/>
      <c r="J58" s="5"/>
      <c r="K58" s="5"/>
      <c r="L58" s="5"/>
    </row>
    <row r="59" spans="1:12" s="59" customFormat="1" ht="20.100000000000001" customHeight="1" x14ac:dyDescent="0.3">
      <c r="A59" s="69"/>
      <c r="B59" s="5"/>
      <c r="C59" s="5"/>
      <c r="D59" s="5"/>
      <c r="E59" s="5"/>
      <c r="F59" s="70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113"/>
      <c r="B62" s="113"/>
      <c r="C62" s="5"/>
      <c r="D62" s="5"/>
      <c r="E62" s="72"/>
      <c r="F62" s="5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5"/>
      <c r="G63" s="73"/>
      <c r="H63" s="5"/>
      <c r="I63" s="74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70"/>
      <c r="G67" s="5"/>
      <c r="H67" s="72"/>
      <c r="I67" s="72"/>
      <c r="J67" s="5"/>
      <c r="K67" s="5"/>
      <c r="L67" s="5"/>
    </row>
    <row r="68" spans="1:12" ht="20.100000000000001" customHeight="1" x14ac:dyDescent="0.3">
      <c r="A68" s="113"/>
      <c r="B68" s="113"/>
      <c r="H68" s="72"/>
      <c r="I68" s="72"/>
    </row>
    <row r="69" spans="1:12" ht="20.100000000000001" customHeight="1" x14ac:dyDescent="0.3">
      <c r="H69" s="72"/>
      <c r="I69" s="72"/>
    </row>
    <row r="70" spans="1:12" ht="20.100000000000001" customHeight="1" x14ac:dyDescent="0.3">
      <c r="H70" s="72"/>
      <c r="I70" s="72"/>
    </row>
    <row r="71" spans="1:12" ht="20.100000000000001" customHeight="1" x14ac:dyDescent="0.3">
      <c r="A71" s="113"/>
      <c r="B71" s="113"/>
      <c r="H71" s="72"/>
      <c r="I71" s="72"/>
    </row>
    <row r="72" spans="1:12" ht="20.100000000000001" customHeight="1" x14ac:dyDescent="0.3">
      <c r="A72" s="113"/>
      <c r="B72" s="113"/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H75" s="72"/>
      <c r="I75" s="72"/>
    </row>
    <row r="76" spans="1:12" s="72" customFormat="1" ht="20.100000000000001" customHeight="1" x14ac:dyDescent="0.3">
      <c r="A76" s="69"/>
      <c r="B76" s="5"/>
      <c r="C76" s="5"/>
      <c r="D76" s="5"/>
      <c r="E76" s="5"/>
      <c r="F76" s="70"/>
      <c r="G76" s="5"/>
      <c r="J76" s="5"/>
      <c r="K76" s="5"/>
      <c r="L76" s="5"/>
    </row>
    <row r="77" spans="1:12" s="72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75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75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75" customFormat="1" ht="19.5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2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2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ht="19.5" customHeight="1" x14ac:dyDescent="0.3"/>
    <row r="84" spans="1:12" ht="19.5" customHeight="1" x14ac:dyDescent="0.3"/>
    <row r="85" spans="1:12" ht="19.5" customHeight="1" x14ac:dyDescent="0.3"/>
    <row r="86" spans="1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>
        <v>2</v>
      </c>
      <c r="C146" s="5"/>
      <c r="D146" s="5"/>
      <c r="E146" s="5"/>
      <c r="F146" s="70"/>
      <c r="G146" s="5"/>
      <c r="H146" s="5"/>
      <c r="I146" s="5"/>
      <c r="J146" s="5"/>
      <c r="K146" s="5"/>
      <c r="L14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1:B6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5:I55"/>
    <mergeCell ref="A56:B56"/>
    <mergeCell ref="D56:G56"/>
    <mergeCell ref="H56:J56"/>
    <mergeCell ref="K56:L56"/>
    <mergeCell ref="A71:B71"/>
    <mergeCell ref="A72:B72"/>
    <mergeCell ref="A62:B62"/>
    <mergeCell ref="A63:B63"/>
    <mergeCell ref="A64:B64"/>
    <mergeCell ref="A66:B66"/>
    <mergeCell ref="A67:B67"/>
    <mergeCell ref="A68:B6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L146"/>
  <sheetViews>
    <sheetView view="pageBreakPreview" topLeftCell="F43" zoomScale="85" zoomScaleSheetLayoutView="85" workbookViewId="0">
      <selection activeCell="L53" sqref="L53:L5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46151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4" si="0">(H7/1000*I7/1000)*J7</f>
        <v>0</v>
      </c>
      <c r="L7" s="26">
        <f>SUM(J7:J30)</f>
        <v>115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SUM(K7:K30)</f>
        <v>762.70530399999996</v>
      </c>
    </row>
    <row r="9" spans="1:12" s="27" customFormat="1" ht="19.5" customHeight="1" x14ac:dyDescent="0.3">
      <c r="A9" s="28" t="s">
        <v>3589</v>
      </c>
      <c r="B9" s="16" t="s">
        <v>3590</v>
      </c>
      <c r="C9" s="17">
        <v>24</v>
      </c>
      <c r="D9" s="18" t="s">
        <v>3591</v>
      </c>
      <c r="E9" s="41">
        <v>40</v>
      </c>
      <c r="F9" s="42">
        <v>21.76</v>
      </c>
      <c r="G9" s="34" t="s">
        <v>3592</v>
      </c>
      <c r="H9" s="35">
        <v>1981</v>
      </c>
      <c r="I9" s="36">
        <v>3353</v>
      </c>
      <c r="J9" s="37">
        <v>4</v>
      </c>
      <c r="K9" s="25">
        <f t="shared" si="0"/>
        <v>26.569172000000002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3593</v>
      </c>
      <c r="H10" s="35">
        <v>1981</v>
      </c>
      <c r="I10" s="36">
        <v>3353</v>
      </c>
      <c r="J10" s="37">
        <v>4</v>
      </c>
      <c r="K10" s="25">
        <f t="shared" si="0"/>
        <v>26.569172000000002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3594</v>
      </c>
      <c r="B12" s="16" t="s">
        <v>3590</v>
      </c>
      <c r="C12" s="17">
        <v>24</v>
      </c>
      <c r="D12" s="18" t="s">
        <v>3591</v>
      </c>
      <c r="E12" s="41">
        <v>252</v>
      </c>
      <c r="F12" s="42">
        <v>123.8</v>
      </c>
      <c r="G12" s="34" t="s">
        <v>3592</v>
      </c>
      <c r="H12" s="35">
        <v>1981</v>
      </c>
      <c r="I12" s="36">
        <v>3353</v>
      </c>
      <c r="J12" s="37">
        <v>19</v>
      </c>
      <c r="K12" s="25">
        <f t="shared" si="0"/>
        <v>126.20356700000001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3593</v>
      </c>
      <c r="H13" s="35">
        <v>1981</v>
      </c>
      <c r="I13" s="36">
        <v>3353</v>
      </c>
      <c r="J13" s="37">
        <v>19</v>
      </c>
      <c r="K13" s="25">
        <f t="shared" si="0"/>
        <v>126.20356700000001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0"/>
        <v>0</v>
      </c>
      <c r="L14" s="39"/>
    </row>
    <row r="15" spans="1:12" s="27" customFormat="1" ht="19.5" customHeight="1" x14ac:dyDescent="0.3">
      <c r="A15" s="28" t="s">
        <v>3595</v>
      </c>
      <c r="B15" s="16" t="s">
        <v>2720</v>
      </c>
      <c r="C15" s="17">
        <v>22</v>
      </c>
      <c r="D15" s="18" t="s">
        <v>45</v>
      </c>
      <c r="E15" s="41">
        <v>75</v>
      </c>
      <c r="F15" s="42">
        <v>60.05</v>
      </c>
      <c r="G15" s="34" t="s">
        <v>49</v>
      </c>
      <c r="H15" s="35">
        <v>1829</v>
      </c>
      <c r="I15" s="36">
        <v>3353</v>
      </c>
      <c r="J15" s="37">
        <v>11</v>
      </c>
      <c r="K15" s="25">
        <f t="shared" si="0"/>
        <v>67.459007</v>
      </c>
      <c r="L15" s="39"/>
    </row>
    <row r="16" spans="1:12" s="27" customFormat="1" ht="19.5" customHeight="1" x14ac:dyDescent="0.3">
      <c r="A16" s="28"/>
      <c r="B16" s="16"/>
      <c r="C16" s="17">
        <v>22</v>
      </c>
      <c r="D16" s="18" t="s">
        <v>17</v>
      </c>
      <c r="E16" s="41">
        <v>75</v>
      </c>
      <c r="F16" s="42">
        <v>60.05</v>
      </c>
      <c r="G16" s="34" t="s">
        <v>18</v>
      </c>
      <c r="H16" s="35">
        <v>1981</v>
      </c>
      <c r="I16" s="36">
        <v>3353</v>
      </c>
      <c r="J16" s="37">
        <v>10</v>
      </c>
      <c r="K16" s="25">
        <f t="shared" si="0"/>
        <v>66.422930000000008</v>
      </c>
      <c r="L16" s="39"/>
    </row>
    <row r="17" spans="1:12" s="27" customFormat="1" ht="19.5" customHeight="1" x14ac:dyDescent="0.3">
      <c r="A17" s="28"/>
      <c r="B17" s="16"/>
      <c r="C17" s="17">
        <v>22</v>
      </c>
      <c r="D17" s="18" t="s">
        <v>45</v>
      </c>
      <c r="E17" s="41">
        <v>10</v>
      </c>
      <c r="F17" s="42">
        <v>3.8</v>
      </c>
      <c r="G17" s="34" t="s">
        <v>19</v>
      </c>
      <c r="H17" s="35">
        <v>1981</v>
      </c>
      <c r="I17" s="36">
        <v>3048</v>
      </c>
      <c r="J17" s="37">
        <v>22</v>
      </c>
      <c r="K17" s="25">
        <f t="shared" si="0"/>
        <v>132.83793600000001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19</v>
      </c>
      <c r="H18" s="35">
        <v>2134</v>
      </c>
      <c r="I18" s="36">
        <v>3048</v>
      </c>
      <c r="J18" s="37">
        <v>1</v>
      </c>
      <c r="K18" s="25">
        <f t="shared" si="0"/>
        <v>6.5044319999999995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0"/>
        <v>0</v>
      </c>
      <c r="L19" s="39"/>
    </row>
    <row r="20" spans="1:12" s="27" customFormat="1" ht="19.5" customHeight="1" x14ac:dyDescent="0.3">
      <c r="A20" s="28" t="s">
        <v>3585</v>
      </c>
      <c r="B20" s="16" t="s">
        <v>2720</v>
      </c>
      <c r="C20" s="17">
        <v>22</v>
      </c>
      <c r="D20" s="18" t="s">
        <v>45</v>
      </c>
      <c r="E20" s="41">
        <v>75</v>
      </c>
      <c r="F20" s="42">
        <v>57.65</v>
      </c>
      <c r="G20" s="34" t="s">
        <v>49</v>
      </c>
      <c r="H20" s="35">
        <v>1829</v>
      </c>
      <c r="I20" s="36">
        <v>3353</v>
      </c>
      <c r="J20" s="37">
        <v>13</v>
      </c>
      <c r="K20" s="25">
        <f t="shared" si="0"/>
        <v>79.724281000000005</v>
      </c>
      <c r="L20" s="39" t="s">
        <v>3596</v>
      </c>
    </row>
    <row r="21" spans="1:12" s="27" customFormat="1" ht="19.5" customHeight="1" x14ac:dyDescent="0.3">
      <c r="A21" s="28"/>
      <c r="B21" s="16"/>
      <c r="C21" s="17">
        <v>22</v>
      </c>
      <c r="D21" s="18" t="s">
        <v>45</v>
      </c>
      <c r="E21" s="41">
        <v>20</v>
      </c>
      <c r="F21" s="42">
        <v>16.600000000000001</v>
      </c>
      <c r="G21" s="34"/>
      <c r="H21" s="35"/>
      <c r="I21" s="36"/>
      <c r="J21" s="37"/>
      <c r="K21" s="25">
        <f t="shared" si="0"/>
        <v>0</v>
      </c>
      <c r="L21" s="39" t="s">
        <v>3596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 t="s">
        <v>3597</v>
      </c>
      <c r="B23" s="16" t="s">
        <v>3590</v>
      </c>
      <c r="C23" s="17">
        <v>24</v>
      </c>
      <c r="D23" s="18" t="s">
        <v>3591</v>
      </c>
      <c r="E23" s="41">
        <v>212</v>
      </c>
      <c r="F23" s="42">
        <v>104.68</v>
      </c>
      <c r="G23" s="34" t="s">
        <v>3593</v>
      </c>
      <c r="H23" s="35">
        <v>2590</v>
      </c>
      <c r="I23" s="36">
        <v>3353</v>
      </c>
      <c r="J23" s="37">
        <v>12</v>
      </c>
      <c r="K23" s="25">
        <f t="shared" si="0"/>
        <v>104.21123999999998</v>
      </c>
      <c r="L23" s="39" t="s">
        <v>3598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43"/>
      <c r="H30" s="35"/>
      <c r="I30" s="36"/>
      <c r="J30" s="37"/>
      <c r="K30" s="38">
        <f t="shared" si="0"/>
        <v>0</v>
      </c>
      <c r="L30" s="39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3599</v>
      </c>
      <c r="B32" s="45" t="s">
        <v>3600</v>
      </c>
      <c r="C32" s="46">
        <v>16</v>
      </c>
      <c r="D32" s="47" t="s">
        <v>3601</v>
      </c>
      <c r="E32" s="48">
        <v>3</v>
      </c>
      <c r="F32" s="49">
        <v>7.99</v>
      </c>
      <c r="G32" s="50" t="s">
        <v>3602</v>
      </c>
      <c r="H32" s="51">
        <v>1981</v>
      </c>
      <c r="I32" s="45">
        <v>3353</v>
      </c>
      <c r="J32" s="52">
        <v>2</v>
      </c>
      <c r="K32" s="53">
        <f t="shared" si="0"/>
        <v>13.284586000000001</v>
      </c>
      <c r="L32" s="54"/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 t="s">
        <v>3593</v>
      </c>
      <c r="H33" s="51">
        <v>1981</v>
      </c>
      <c r="I33" s="45">
        <v>3048</v>
      </c>
      <c r="J33" s="52">
        <v>2</v>
      </c>
      <c r="K33" s="53">
        <f t="shared" si="0"/>
        <v>12.076176000000002</v>
      </c>
      <c r="L33" s="54"/>
    </row>
    <row r="34" spans="1:12" s="55" customFormat="1" ht="19.5" customHeight="1" x14ac:dyDescent="0.3">
      <c r="A34" s="44"/>
      <c r="B34" s="45"/>
      <c r="C34" s="46"/>
      <c r="D34" s="78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3609</v>
      </c>
      <c r="B35" s="45" t="s">
        <v>1890</v>
      </c>
      <c r="C35" s="46">
        <v>28</v>
      </c>
      <c r="D35" s="47" t="s">
        <v>1891</v>
      </c>
      <c r="E35" s="48">
        <v>62</v>
      </c>
      <c r="F35" s="49">
        <v>107.64</v>
      </c>
      <c r="G35" s="50" t="s">
        <v>3603</v>
      </c>
      <c r="H35" s="51">
        <v>1829</v>
      </c>
      <c r="I35" s="45">
        <v>3353</v>
      </c>
      <c r="J35" s="52">
        <v>28</v>
      </c>
      <c r="K35" s="53">
        <f t="shared" si="0"/>
        <v>171.71383599999999</v>
      </c>
      <c r="L35" s="54" t="s">
        <v>3604</v>
      </c>
    </row>
    <row r="36" spans="1:12" s="55" customFormat="1" ht="19.5" customHeight="1" x14ac:dyDescent="0.3">
      <c r="A36" s="44"/>
      <c r="B36" s="45"/>
      <c r="C36" s="46">
        <v>28</v>
      </c>
      <c r="D36" s="47" t="s">
        <v>1894</v>
      </c>
      <c r="E36" s="48">
        <v>22</v>
      </c>
      <c r="F36" s="49">
        <v>12.98</v>
      </c>
      <c r="G36" s="50"/>
      <c r="H36" s="51"/>
      <c r="I36" s="45"/>
      <c r="J36" s="52"/>
      <c r="K36" s="53">
        <f t="shared" si="0"/>
        <v>0</v>
      </c>
      <c r="L36" s="54" t="s">
        <v>3604</v>
      </c>
    </row>
    <row r="37" spans="1:12" s="55" customFormat="1" ht="19.5" customHeight="1" x14ac:dyDescent="0.3">
      <c r="A37" s="44"/>
      <c r="B37" s="45"/>
      <c r="C37" s="46">
        <v>28</v>
      </c>
      <c r="D37" s="47" t="s">
        <v>1891</v>
      </c>
      <c r="E37" s="48">
        <v>16</v>
      </c>
      <c r="F37" s="49">
        <v>40.56</v>
      </c>
      <c r="G37" s="50"/>
      <c r="H37" s="51"/>
      <c r="I37" s="45"/>
      <c r="J37" s="52"/>
      <c r="K37" s="53">
        <f t="shared" si="0"/>
        <v>0</v>
      </c>
      <c r="L37" s="54" t="s">
        <v>3604</v>
      </c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3605</v>
      </c>
      <c r="B39" s="45" t="s">
        <v>1890</v>
      </c>
      <c r="C39" s="46">
        <v>28</v>
      </c>
      <c r="D39" s="47" t="s">
        <v>1891</v>
      </c>
      <c r="E39" s="48">
        <v>76</v>
      </c>
      <c r="F39" s="49">
        <v>113.14</v>
      </c>
      <c r="G39" s="50" t="s">
        <v>3603</v>
      </c>
      <c r="H39" s="51">
        <v>1829</v>
      </c>
      <c r="I39" s="45">
        <v>3353</v>
      </c>
      <c r="J39" s="52">
        <v>51</v>
      </c>
      <c r="K39" s="53">
        <f t="shared" si="0"/>
        <v>312.76448699999997</v>
      </c>
      <c r="L39" s="54" t="s">
        <v>3604</v>
      </c>
    </row>
    <row r="40" spans="1:12" s="55" customFormat="1" ht="19.5" customHeight="1" x14ac:dyDescent="0.3">
      <c r="A40" s="44"/>
      <c r="B40" s="45"/>
      <c r="C40" s="46">
        <v>28</v>
      </c>
      <c r="D40" s="47" t="s">
        <v>1894</v>
      </c>
      <c r="E40" s="48">
        <v>74</v>
      </c>
      <c r="F40" s="49">
        <v>48.78</v>
      </c>
      <c r="G40" s="50"/>
      <c r="H40" s="51"/>
      <c r="I40" s="45"/>
      <c r="J40" s="52"/>
      <c r="K40" s="53">
        <f t="shared" si="0"/>
        <v>0</v>
      </c>
      <c r="L40" s="54" t="s">
        <v>3604</v>
      </c>
    </row>
    <row r="41" spans="1:12" s="55" customFormat="1" ht="19.5" customHeight="1" x14ac:dyDescent="0.3">
      <c r="A41" s="44"/>
      <c r="B41" s="45"/>
      <c r="C41" s="46">
        <v>28</v>
      </c>
      <c r="D41" s="47" t="s">
        <v>1891</v>
      </c>
      <c r="E41" s="48">
        <v>51</v>
      </c>
      <c r="F41" s="49">
        <v>130.5</v>
      </c>
      <c r="G41" s="50"/>
      <c r="H41" s="51"/>
      <c r="I41" s="45"/>
      <c r="J41" s="52"/>
      <c r="K41" s="53">
        <f t="shared" si="0"/>
        <v>0</v>
      </c>
      <c r="L41" s="54" t="s">
        <v>3604</v>
      </c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3606</v>
      </c>
      <c r="B43" s="45" t="s">
        <v>3607</v>
      </c>
      <c r="C43" s="46">
        <v>22</v>
      </c>
      <c r="D43" s="47" t="s">
        <v>3608</v>
      </c>
      <c r="E43" s="48">
        <v>134</v>
      </c>
      <c r="F43" s="49">
        <v>168.78</v>
      </c>
      <c r="G43" s="50" t="s">
        <v>3593</v>
      </c>
      <c r="H43" s="51">
        <v>1981</v>
      </c>
      <c r="I43" s="45">
        <v>3353</v>
      </c>
      <c r="J43" s="52">
        <v>27</v>
      </c>
      <c r="K43" s="53">
        <f t="shared" si="0"/>
        <v>179.34191100000001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 t="s">
        <v>19</v>
      </c>
      <c r="H44" s="51">
        <v>1981</v>
      </c>
      <c r="I44" s="45">
        <v>3353</v>
      </c>
      <c r="J44" s="52">
        <v>27</v>
      </c>
      <c r="K44" s="53">
        <f t="shared" si="0"/>
        <v>179.34191100000001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46"/>
      <c r="D46" s="78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76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76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76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9" customFormat="1" ht="20.100000000000001" customHeight="1" x14ac:dyDescent="0.3">
      <c r="A53" s="44"/>
      <c r="B53" s="45"/>
      <c r="C53" s="46"/>
      <c r="D53" s="47"/>
      <c r="E53" s="56"/>
      <c r="F53" s="57"/>
      <c r="G53" s="50"/>
      <c r="H53" s="51"/>
      <c r="I53" s="45"/>
      <c r="J53" s="52"/>
      <c r="K53" s="53">
        <f t="shared" si="0"/>
        <v>0</v>
      </c>
      <c r="L53" s="58">
        <f>SUM(J31:J54)</f>
        <v>137</v>
      </c>
    </row>
    <row r="54" spans="1:12" s="59" customFormat="1" ht="20.100000000000001" customHeight="1" x14ac:dyDescent="0.3">
      <c r="A54" s="44"/>
      <c r="B54" s="45"/>
      <c r="C54" s="46"/>
      <c r="D54" s="47"/>
      <c r="E54" s="60"/>
      <c r="F54" s="61"/>
      <c r="G54" s="62"/>
      <c r="H54" s="51"/>
      <c r="I54" s="45"/>
      <c r="J54" s="63"/>
      <c r="K54" s="53">
        <f t="shared" si="0"/>
        <v>0</v>
      </c>
      <c r="L54" s="64">
        <f>SUM(K31:K54)</f>
        <v>868.52290699999992</v>
      </c>
    </row>
    <row r="55" spans="1:12" s="59" customFormat="1" ht="20.100000000000001" customHeight="1" thickBot="1" x14ac:dyDescent="0.35">
      <c r="A55" s="114"/>
      <c r="B55" s="115"/>
      <c r="C55" s="115"/>
      <c r="D55" s="115"/>
      <c r="E55" s="115"/>
      <c r="F55" s="115"/>
      <c r="G55" s="115"/>
      <c r="H55" s="115"/>
      <c r="I55" s="115"/>
      <c r="J55" s="65">
        <f>SUM(J7:J54)</f>
        <v>252</v>
      </c>
      <c r="K55" s="66">
        <f>SUM(K7:K54)</f>
        <v>1631.2282109999999</v>
      </c>
      <c r="L55" s="67"/>
    </row>
    <row r="56" spans="1:12" s="59" customFormat="1" ht="20.100000000000001" customHeight="1" thickTop="1" thickBot="1" x14ac:dyDescent="0.35">
      <c r="A56" s="116" t="s">
        <v>52</v>
      </c>
      <c r="B56" s="117"/>
      <c r="C56" s="68"/>
      <c r="D56" s="118">
        <f>J55</f>
        <v>252</v>
      </c>
      <c r="E56" s="119"/>
      <c r="F56" s="119"/>
      <c r="G56" s="120"/>
      <c r="H56" s="121"/>
      <c r="I56" s="121"/>
      <c r="J56" s="122"/>
      <c r="K56" s="119"/>
      <c r="L56" s="123"/>
    </row>
    <row r="57" spans="1:12" s="59" customFormat="1" ht="20.100000000000001" customHeight="1" x14ac:dyDescent="0.3">
      <c r="A57" s="69"/>
      <c r="B57" s="5"/>
      <c r="C57" s="5"/>
      <c r="D57" s="5"/>
      <c r="E57" s="5"/>
      <c r="F57" s="70"/>
      <c r="G57" s="5"/>
      <c r="H57" s="5"/>
      <c r="I57" s="5"/>
      <c r="J57" s="5"/>
      <c r="K57" s="5"/>
      <c r="L57" s="71"/>
    </row>
    <row r="58" spans="1:12" s="59" customFormat="1" ht="20.100000000000001" customHeight="1" x14ac:dyDescent="0.3">
      <c r="A58" s="69"/>
      <c r="B58" s="5"/>
      <c r="C58" s="5"/>
      <c r="D58" s="5"/>
      <c r="E58" s="5"/>
      <c r="F58" s="70"/>
      <c r="G58" s="5"/>
      <c r="H58" s="5"/>
      <c r="I58" s="5"/>
      <c r="J58" s="5"/>
      <c r="K58" s="5"/>
      <c r="L58" s="5"/>
    </row>
    <row r="59" spans="1:12" s="59" customFormat="1" ht="20.100000000000001" customHeight="1" x14ac:dyDescent="0.3">
      <c r="A59" s="69"/>
      <c r="B59" s="5"/>
      <c r="C59" s="5"/>
      <c r="D59" s="5"/>
      <c r="E59" s="5"/>
      <c r="F59" s="70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113"/>
      <c r="B62" s="113"/>
      <c r="C62" s="5"/>
      <c r="D62" s="5"/>
      <c r="E62" s="72"/>
      <c r="F62" s="5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5"/>
      <c r="G63" s="73"/>
      <c r="H63" s="5"/>
      <c r="I63" s="74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70"/>
      <c r="G67" s="5"/>
      <c r="H67" s="72"/>
      <c r="I67" s="72"/>
      <c r="J67" s="5"/>
      <c r="K67" s="5"/>
      <c r="L67" s="5"/>
    </row>
    <row r="68" spans="1:12" ht="20.100000000000001" customHeight="1" x14ac:dyDescent="0.3">
      <c r="A68" s="113"/>
      <c r="B68" s="113"/>
      <c r="H68" s="72"/>
      <c r="I68" s="72"/>
    </row>
    <row r="69" spans="1:12" ht="20.100000000000001" customHeight="1" x14ac:dyDescent="0.3">
      <c r="H69" s="72"/>
      <c r="I69" s="72"/>
    </row>
    <row r="70" spans="1:12" ht="20.100000000000001" customHeight="1" x14ac:dyDescent="0.3">
      <c r="H70" s="72"/>
      <c r="I70" s="72"/>
    </row>
    <row r="71" spans="1:12" ht="20.100000000000001" customHeight="1" x14ac:dyDescent="0.3">
      <c r="A71" s="113"/>
      <c r="B71" s="113"/>
      <c r="H71" s="72"/>
      <c r="I71" s="72"/>
    </row>
    <row r="72" spans="1:12" ht="20.100000000000001" customHeight="1" x14ac:dyDescent="0.3">
      <c r="A72" s="113"/>
      <c r="B72" s="113"/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H75" s="72"/>
      <c r="I75" s="72"/>
    </row>
    <row r="76" spans="1:12" s="72" customFormat="1" ht="20.100000000000001" customHeight="1" x14ac:dyDescent="0.3">
      <c r="A76" s="69"/>
      <c r="B76" s="5"/>
      <c r="C76" s="5"/>
      <c r="D76" s="5"/>
      <c r="E76" s="5"/>
      <c r="F76" s="70"/>
      <c r="G76" s="5"/>
      <c r="J76" s="5"/>
      <c r="K76" s="5"/>
      <c r="L76" s="5"/>
    </row>
    <row r="77" spans="1:12" s="72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75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75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75" customFormat="1" ht="19.5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2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2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ht="19.5" customHeight="1" x14ac:dyDescent="0.3"/>
    <row r="84" spans="1:12" ht="19.5" customHeight="1" x14ac:dyDescent="0.3"/>
    <row r="85" spans="1:12" ht="19.5" customHeight="1" x14ac:dyDescent="0.3"/>
    <row r="86" spans="1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>
        <v>2</v>
      </c>
      <c r="C146" s="5"/>
      <c r="D146" s="5"/>
      <c r="E146" s="5"/>
      <c r="F146" s="70"/>
      <c r="G146" s="5"/>
      <c r="H146" s="5"/>
      <c r="I146" s="5"/>
      <c r="J146" s="5"/>
      <c r="K146" s="5"/>
      <c r="L14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1:B6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5:I55"/>
    <mergeCell ref="A56:B56"/>
    <mergeCell ref="D56:G56"/>
    <mergeCell ref="H56:J56"/>
    <mergeCell ref="K56:L56"/>
    <mergeCell ref="A71:B71"/>
    <mergeCell ref="A72:B72"/>
    <mergeCell ref="A62:B62"/>
    <mergeCell ref="A63:B63"/>
    <mergeCell ref="A64:B64"/>
    <mergeCell ref="A66:B66"/>
    <mergeCell ref="A67:B67"/>
    <mergeCell ref="A68:B6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L153"/>
  <sheetViews>
    <sheetView view="pageBreakPreview" topLeftCell="F49" zoomScale="85" zoomScaleSheetLayoutView="85" workbookViewId="0">
      <selection activeCell="L60" sqref="L60:L6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46150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1" si="0">(H7/1000*I7/1000)*J7</f>
        <v>0</v>
      </c>
      <c r="L7" s="26">
        <f>SUM(J7:J37)</f>
        <v>209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SUM(K7:K37)</f>
        <v>1295.4060350000002</v>
      </c>
    </row>
    <row r="9" spans="1:12" s="27" customFormat="1" ht="19.5" customHeight="1" x14ac:dyDescent="0.3">
      <c r="A9" s="28" t="s">
        <v>3578</v>
      </c>
      <c r="B9" s="16" t="s">
        <v>2720</v>
      </c>
      <c r="C9" s="17">
        <v>22</v>
      </c>
      <c r="D9" s="18" t="s">
        <v>45</v>
      </c>
      <c r="E9" s="41">
        <v>65</v>
      </c>
      <c r="F9" s="42">
        <v>56.15</v>
      </c>
      <c r="G9" s="34" t="s">
        <v>49</v>
      </c>
      <c r="H9" s="35">
        <v>1829</v>
      </c>
      <c r="I9" s="36">
        <v>3353</v>
      </c>
      <c r="J9" s="37">
        <v>12</v>
      </c>
      <c r="K9" s="25">
        <f t="shared" si="0"/>
        <v>73.591644000000002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17</v>
      </c>
      <c r="E10" s="41">
        <v>65</v>
      </c>
      <c r="F10" s="42">
        <v>56.15</v>
      </c>
      <c r="G10" s="34" t="s">
        <v>18</v>
      </c>
      <c r="H10" s="35">
        <v>1981</v>
      </c>
      <c r="I10" s="36">
        <v>3353</v>
      </c>
      <c r="J10" s="37">
        <v>9</v>
      </c>
      <c r="K10" s="25">
        <f t="shared" si="0"/>
        <v>59.780637000000006</v>
      </c>
      <c r="L10" s="39"/>
    </row>
    <row r="11" spans="1:12" s="27" customFormat="1" ht="19.5" customHeight="1" x14ac:dyDescent="0.3">
      <c r="A11" s="28"/>
      <c r="B11" s="16"/>
      <c r="C11" s="17">
        <v>22</v>
      </c>
      <c r="D11" s="18" t="s">
        <v>45</v>
      </c>
      <c r="E11" s="41">
        <v>20</v>
      </c>
      <c r="F11" s="42">
        <v>16.600000000000001</v>
      </c>
      <c r="G11" s="34" t="s">
        <v>19</v>
      </c>
      <c r="H11" s="35">
        <v>1981</v>
      </c>
      <c r="I11" s="36">
        <v>3048</v>
      </c>
      <c r="J11" s="37">
        <v>24</v>
      </c>
      <c r="K11" s="25">
        <f t="shared" si="0"/>
        <v>144.91411200000002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 t="s">
        <v>3579</v>
      </c>
      <c r="B13" s="16" t="s">
        <v>2720</v>
      </c>
      <c r="C13" s="17">
        <v>22</v>
      </c>
      <c r="D13" s="18" t="s">
        <v>45</v>
      </c>
      <c r="E13" s="41">
        <v>75</v>
      </c>
      <c r="F13" s="42">
        <v>57.65</v>
      </c>
      <c r="G13" s="34" t="s">
        <v>49</v>
      </c>
      <c r="H13" s="35">
        <v>1829</v>
      </c>
      <c r="I13" s="36">
        <v>3353</v>
      </c>
      <c r="J13" s="37">
        <v>12</v>
      </c>
      <c r="K13" s="25">
        <f t="shared" si="0"/>
        <v>73.591644000000002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17</v>
      </c>
      <c r="E14" s="41">
        <v>75</v>
      </c>
      <c r="F14" s="42">
        <v>57.65</v>
      </c>
      <c r="G14" s="34" t="s">
        <v>18</v>
      </c>
      <c r="H14" s="35">
        <v>1981</v>
      </c>
      <c r="I14" s="36">
        <v>3353</v>
      </c>
      <c r="J14" s="37">
        <v>9</v>
      </c>
      <c r="K14" s="25">
        <f t="shared" si="0"/>
        <v>59.780637000000006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45</v>
      </c>
      <c r="E15" s="41">
        <v>20</v>
      </c>
      <c r="F15" s="42">
        <v>16.600000000000001</v>
      </c>
      <c r="G15" s="34" t="s">
        <v>19</v>
      </c>
      <c r="H15" s="35">
        <v>1981</v>
      </c>
      <c r="I15" s="36">
        <v>3048</v>
      </c>
      <c r="J15" s="37">
        <v>23</v>
      </c>
      <c r="K15" s="25">
        <f t="shared" si="0"/>
        <v>138.87602400000003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 t="s">
        <v>3580</v>
      </c>
      <c r="B17" s="16" t="s">
        <v>2720</v>
      </c>
      <c r="C17" s="17">
        <v>22</v>
      </c>
      <c r="D17" s="18" t="s">
        <v>45</v>
      </c>
      <c r="E17" s="41">
        <v>75</v>
      </c>
      <c r="F17" s="42">
        <v>57.65</v>
      </c>
      <c r="G17" s="34" t="s">
        <v>49</v>
      </c>
      <c r="H17" s="35">
        <v>1829</v>
      </c>
      <c r="I17" s="36">
        <v>3353</v>
      </c>
      <c r="J17" s="37">
        <v>13</v>
      </c>
      <c r="K17" s="25">
        <f t="shared" si="0"/>
        <v>79.724281000000005</v>
      </c>
      <c r="L17" s="39"/>
    </row>
    <row r="18" spans="1:12" s="27" customFormat="1" ht="19.5" customHeight="1" x14ac:dyDescent="0.3">
      <c r="A18" s="28"/>
      <c r="B18" s="16"/>
      <c r="C18" s="17">
        <v>22</v>
      </c>
      <c r="D18" s="18" t="s">
        <v>17</v>
      </c>
      <c r="E18" s="41">
        <v>75</v>
      </c>
      <c r="F18" s="42">
        <v>57.65</v>
      </c>
      <c r="G18" s="34" t="s">
        <v>18</v>
      </c>
      <c r="H18" s="35">
        <v>1981</v>
      </c>
      <c r="I18" s="36">
        <v>3353</v>
      </c>
      <c r="J18" s="37">
        <v>10</v>
      </c>
      <c r="K18" s="25">
        <f t="shared" si="0"/>
        <v>66.422930000000008</v>
      </c>
      <c r="L18" s="39"/>
    </row>
    <row r="19" spans="1:12" s="27" customFormat="1" ht="19.5" customHeight="1" x14ac:dyDescent="0.3">
      <c r="A19" s="28"/>
      <c r="B19" s="16"/>
      <c r="C19" s="17">
        <v>22</v>
      </c>
      <c r="D19" s="18" t="s">
        <v>45</v>
      </c>
      <c r="E19" s="41">
        <v>20</v>
      </c>
      <c r="F19" s="42">
        <v>16.600000000000001</v>
      </c>
      <c r="G19" s="34" t="s">
        <v>19</v>
      </c>
      <c r="H19" s="35">
        <v>1981</v>
      </c>
      <c r="I19" s="36">
        <v>3048</v>
      </c>
      <c r="J19" s="37">
        <v>23</v>
      </c>
      <c r="K19" s="25">
        <f t="shared" si="0"/>
        <v>138.87602400000003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 t="s">
        <v>57</v>
      </c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 t="s">
        <v>3584</v>
      </c>
      <c r="B22" s="16" t="s">
        <v>2720</v>
      </c>
      <c r="C22" s="17">
        <v>22</v>
      </c>
      <c r="D22" s="18" t="s">
        <v>45</v>
      </c>
      <c r="E22" s="41">
        <v>75</v>
      </c>
      <c r="F22" s="42">
        <v>57.65</v>
      </c>
      <c r="G22" s="34" t="s">
        <v>49</v>
      </c>
      <c r="H22" s="35">
        <v>1829</v>
      </c>
      <c r="I22" s="36">
        <v>3353</v>
      </c>
      <c r="J22" s="37">
        <v>10</v>
      </c>
      <c r="K22" s="25">
        <f t="shared" si="0"/>
        <v>61.326369999999997</v>
      </c>
      <c r="L22" s="39"/>
    </row>
    <row r="23" spans="1:12" s="27" customFormat="1" ht="19.5" customHeight="1" x14ac:dyDescent="0.3">
      <c r="A23" s="28"/>
      <c r="B23" s="16"/>
      <c r="C23" s="17">
        <v>22</v>
      </c>
      <c r="D23" s="18" t="s">
        <v>17</v>
      </c>
      <c r="E23" s="41">
        <v>75</v>
      </c>
      <c r="F23" s="42">
        <v>57.65</v>
      </c>
      <c r="G23" s="34" t="s">
        <v>49</v>
      </c>
      <c r="H23" s="35">
        <v>1981</v>
      </c>
      <c r="I23" s="36">
        <v>3353</v>
      </c>
      <c r="J23" s="37">
        <v>1</v>
      </c>
      <c r="K23" s="25">
        <f t="shared" si="0"/>
        <v>6.6422930000000004</v>
      </c>
      <c r="L23" s="39"/>
    </row>
    <row r="24" spans="1:12" s="27" customFormat="1" ht="19.5" customHeight="1" x14ac:dyDescent="0.3">
      <c r="A24" s="28"/>
      <c r="B24" s="16"/>
      <c r="C24" s="17">
        <v>22</v>
      </c>
      <c r="D24" s="18" t="s">
        <v>45</v>
      </c>
      <c r="E24" s="41">
        <v>10</v>
      </c>
      <c r="F24" s="42">
        <v>3.8</v>
      </c>
      <c r="G24" s="34" t="s">
        <v>18</v>
      </c>
      <c r="H24" s="35">
        <v>1981</v>
      </c>
      <c r="I24" s="36">
        <v>3353</v>
      </c>
      <c r="J24" s="37">
        <v>10</v>
      </c>
      <c r="K24" s="25">
        <f t="shared" si="0"/>
        <v>66.422930000000008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 t="s">
        <v>19</v>
      </c>
      <c r="H25" s="35">
        <v>1981</v>
      </c>
      <c r="I25" s="36">
        <v>3048</v>
      </c>
      <c r="J25" s="37">
        <v>21</v>
      </c>
      <c r="K25" s="25">
        <f t="shared" si="0"/>
        <v>126.79984800000003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 t="s">
        <v>3585</v>
      </c>
      <c r="B27" s="16" t="s">
        <v>2720</v>
      </c>
      <c r="C27" s="17">
        <v>22</v>
      </c>
      <c r="D27" s="18" t="s">
        <v>17</v>
      </c>
      <c r="E27" s="41">
        <v>75</v>
      </c>
      <c r="F27" s="42">
        <v>57.65</v>
      </c>
      <c r="G27" s="34" t="s">
        <v>18</v>
      </c>
      <c r="H27" s="35">
        <v>1981</v>
      </c>
      <c r="I27" s="36">
        <v>3353</v>
      </c>
      <c r="J27" s="37">
        <v>9</v>
      </c>
      <c r="K27" s="25">
        <f t="shared" si="0"/>
        <v>59.780637000000006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 t="s">
        <v>19</v>
      </c>
      <c r="H28" s="35">
        <v>1981</v>
      </c>
      <c r="I28" s="36">
        <v>3048</v>
      </c>
      <c r="J28" s="37">
        <v>10</v>
      </c>
      <c r="K28" s="25">
        <f t="shared" si="0"/>
        <v>60.380880000000012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 t="s">
        <v>3585</v>
      </c>
      <c r="B30" s="16" t="s">
        <v>2720</v>
      </c>
      <c r="C30" s="17">
        <v>22</v>
      </c>
      <c r="D30" s="18" t="s">
        <v>45</v>
      </c>
      <c r="E30" s="41">
        <v>75</v>
      </c>
      <c r="F30" s="42">
        <v>57.65</v>
      </c>
      <c r="G30" s="34" t="s">
        <v>19</v>
      </c>
      <c r="H30" s="35">
        <v>1981</v>
      </c>
      <c r="I30" s="36">
        <v>3048</v>
      </c>
      <c r="J30" s="37">
        <v>13</v>
      </c>
      <c r="K30" s="25">
        <f t="shared" si="0"/>
        <v>78.49514400000001</v>
      </c>
      <c r="L30" s="39" t="s">
        <v>3586</v>
      </c>
    </row>
    <row r="31" spans="1:12" s="27" customFormat="1" ht="19.5" customHeight="1" x14ac:dyDescent="0.3">
      <c r="A31" s="28"/>
      <c r="B31" s="16"/>
      <c r="C31" s="17">
        <v>22</v>
      </c>
      <c r="D31" s="18" t="s">
        <v>45</v>
      </c>
      <c r="E31" s="41">
        <v>20</v>
      </c>
      <c r="F31" s="42">
        <v>16.600000000000001</v>
      </c>
      <c r="G31" s="34"/>
      <c r="H31" s="35"/>
      <c r="I31" s="36"/>
      <c r="J31" s="37"/>
      <c r="K31" s="25">
        <f t="shared" si="0"/>
        <v>0</v>
      </c>
      <c r="L31" s="39" t="s">
        <v>3586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29"/>
      <c r="C37" s="30"/>
      <c r="D37" s="31"/>
      <c r="E37" s="41"/>
      <c r="F37" s="42"/>
      <c r="G37" s="43"/>
      <c r="H37" s="35"/>
      <c r="I37" s="36"/>
      <c r="J37" s="37"/>
      <c r="K37" s="38">
        <f t="shared" si="0"/>
        <v>0</v>
      </c>
      <c r="L37" s="39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3581</v>
      </c>
      <c r="B39" s="45" t="s">
        <v>3582</v>
      </c>
      <c r="C39" s="46">
        <v>24</v>
      </c>
      <c r="D39" s="47" t="s">
        <v>146</v>
      </c>
      <c r="E39" s="48">
        <v>10</v>
      </c>
      <c r="F39" s="49">
        <v>31.4</v>
      </c>
      <c r="G39" s="50" t="s">
        <v>49</v>
      </c>
      <c r="H39" s="51">
        <v>1981</v>
      </c>
      <c r="I39" s="45">
        <v>3353</v>
      </c>
      <c r="J39" s="52">
        <v>18</v>
      </c>
      <c r="K39" s="53">
        <f t="shared" si="0"/>
        <v>119.56127400000001</v>
      </c>
      <c r="L39" s="54"/>
    </row>
    <row r="40" spans="1:12" s="55" customFormat="1" ht="19.5" customHeight="1" x14ac:dyDescent="0.3">
      <c r="A40" s="44"/>
      <c r="B40" s="45"/>
      <c r="C40" s="46">
        <v>24</v>
      </c>
      <c r="D40" s="47" t="s">
        <v>45</v>
      </c>
      <c r="E40" s="48">
        <v>80</v>
      </c>
      <c r="F40" s="49">
        <v>71.3</v>
      </c>
      <c r="G40" s="50" t="s">
        <v>18</v>
      </c>
      <c r="H40" s="51">
        <v>1981</v>
      </c>
      <c r="I40" s="45">
        <v>3353</v>
      </c>
      <c r="J40" s="52">
        <v>16</v>
      </c>
      <c r="K40" s="53">
        <f t="shared" si="0"/>
        <v>106.27668800000001</v>
      </c>
      <c r="L40" s="54"/>
    </row>
    <row r="41" spans="1:12" s="55" customFormat="1" ht="19.5" customHeight="1" x14ac:dyDescent="0.3">
      <c r="A41" s="44"/>
      <c r="B41" s="45"/>
      <c r="C41" s="46">
        <v>24</v>
      </c>
      <c r="D41" s="78" t="s">
        <v>17</v>
      </c>
      <c r="E41" s="48">
        <v>90</v>
      </c>
      <c r="F41" s="49">
        <v>102.7</v>
      </c>
      <c r="G41" s="50" t="s">
        <v>62</v>
      </c>
      <c r="H41" s="51">
        <v>1981</v>
      </c>
      <c r="I41" s="45">
        <v>3353</v>
      </c>
      <c r="J41" s="52">
        <v>5</v>
      </c>
      <c r="K41" s="53">
        <f t="shared" si="0"/>
        <v>33.211465000000004</v>
      </c>
      <c r="L41" s="54"/>
    </row>
    <row r="42" spans="1:12" s="55" customFormat="1" ht="19.5" customHeight="1" x14ac:dyDescent="0.3">
      <c r="A42" s="44"/>
      <c r="B42" s="45"/>
      <c r="C42" s="46">
        <v>22</v>
      </c>
      <c r="D42" s="47" t="s">
        <v>45</v>
      </c>
      <c r="E42" s="48">
        <v>10</v>
      </c>
      <c r="F42" s="49">
        <v>11.7</v>
      </c>
      <c r="G42" s="50" t="s">
        <v>19</v>
      </c>
      <c r="H42" s="51">
        <v>1981</v>
      </c>
      <c r="I42" s="45">
        <v>3353</v>
      </c>
      <c r="J42" s="52">
        <v>29</v>
      </c>
      <c r="K42" s="53">
        <f t="shared" si="0"/>
        <v>192.626497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3278</v>
      </c>
      <c r="B44" s="45" t="s">
        <v>1890</v>
      </c>
      <c r="C44" s="46">
        <v>28</v>
      </c>
      <c r="D44" s="47" t="s">
        <v>1891</v>
      </c>
      <c r="E44" s="48">
        <v>75</v>
      </c>
      <c r="F44" s="49">
        <v>110.18</v>
      </c>
      <c r="G44" s="50" t="s">
        <v>1892</v>
      </c>
      <c r="H44" s="51">
        <v>2438</v>
      </c>
      <c r="I44" s="45">
        <v>3048</v>
      </c>
      <c r="J44" s="52">
        <v>36</v>
      </c>
      <c r="K44" s="53">
        <f t="shared" si="0"/>
        <v>267.51686400000006</v>
      </c>
      <c r="L44" s="54" t="s">
        <v>106</v>
      </c>
    </row>
    <row r="45" spans="1:12" s="55" customFormat="1" ht="19.5" customHeight="1" x14ac:dyDescent="0.3">
      <c r="A45" s="44"/>
      <c r="B45" s="45"/>
      <c r="C45" s="46">
        <v>28</v>
      </c>
      <c r="D45" s="47" t="s">
        <v>1894</v>
      </c>
      <c r="E45" s="48">
        <v>77</v>
      </c>
      <c r="F45" s="49">
        <v>64.099999999999994</v>
      </c>
      <c r="G45" s="50" t="s">
        <v>1892</v>
      </c>
      <c r="H45" s="51">
        <v>2134</v>
      </c>
      <c r="I45" s="45">
        <v>3353</v>
      </c>
      <c r="J45" s="52">
        <v>7</v>
      </c>
      <c r="K45" s="53">
        <f t="shared" si="0"/>
        <v>50.087114</v>
      </c>
      <c r="L45" s="54" t="s">
        <v>106</v>
      </c>
    </row>
    <row r="46" spans="1:12" s="55" customFormat="1" ht="19.5" customHeight="1" x14ac:dyDescent="0.3">
      <c r="A46" s="44"/>
      <c r="B46" s="45"/>
      <c r="C46" s="46">
        <v>28</v>
      </c>
      <c r="D46" s="47" t="s">
        <v>1891</v>
      </c>
      <c r="E46" s="48">
        <v>41</v>
      </c>
      <c r="F46" s="49">
        <v>105.96</v>
      </c>
      <c r="G46" s="50"/>
      <c r="H46" s="51"/>
      <c r="I46" s="45"/>
      <c r="J46" s="52"/>
      <c r="K46" s="53">
        <f t="shared" si="0"/>
        <v>0</v>
      </c>
      <c r="L46" s="54" t="s">
        <v>106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3583</v>
      </c>
      <c r="B48" s="45" t="s">
        <v>3582</v>
      </c>
      <c r="C48" s="46">
        <v>24</v>
      </c>
      <c r="D48" s="47" t="s">
        <v>146</v>
      </c>
      <c r="E48" s="48">
        <v>15</v>
      </c>
      <c r="F48" s="49">
        <v>47.1</v>
      </c>
      <c r="G48" s="50" t="s">
        <v>49</v>
      </c>
      <c r="H48" s="51">
        <v>1981</v>
      </c>
      <c r="I48" s="45">
        <v>3353</v>
      </c>
      <c r="J48" s="52">
        <v>28</v>
      </c>
      <c r="K48" s="53">
        <f t="shared" si="0"/>
        <v>185.98420400000001</v>
      </c>
      <c r="L48" s="54"/>
    </row>
    <row r="49" spans="1:12" s="55" customFormat="1" ht="19.5" customHeight="1" x14ac:dyDescent="0.3">
      <c r="A49" s="44"/>
      <c r="B49" s="45"/>
      <c r="C49" s="46">
        <v>24</v>
      </c>
      <c r="D49" s="47" t="s">
        <v>45</v>
      </c>
      <c r="E49" s="48">
        <v>115</v>
      </c>
      <c r="F49" s="49">
        <v>104.8</v>
      </c>
      <c r="G49" s="50" t="s">
        <v>62</v>
      </c>
      <c r="H49" s="51">
        <v>1981</v>
      </c>
      <c r="I49" s="45">
        <v>3353</v>
      </c>
      <c r="J49" s="52">
        <v>8</v>
      </c>
      <c r="K49" s="53">
        <f t="shared" si="0"/>
        <v>53.138344000000004</v>
      </c>
      <c r="L49" s="54"/>
    </row>
    <row r="50" spans="1:12" s="55" customFormat="1" ht="19.5" customHeight="1" x14ac:dyDescent="0.3">
      <c r="A50" s="44"/>
      <c r="B50" s="45"/>
      <c r="C50" s="46">
        <v>22</v>
      </c>
      <c r="D50" s="47" t="s">
        <v>45</v>
      </c>
      <c r="E50" s="48">
        <v>20</v>
      </c>
      <c r="F50" s="49">
        <v>23.4</v>
      </c>
      <c r="G50" s="50" t="s">
        <v>19</v>
      </c>
      <c r="H50" s="51">
        <v>1981</v>
      </c>
      <c r="I50" s="45">
        <v>3353</v>
      </c>
      <c r="J50" s="52">
        <v>20</v>
      </c>
      <c r="K50" s="53">
        <f t="shared" si="0"/>
        <v>132.84586000000002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57</v>
      </c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3587</v>
      </c>
      <c r="B53" s="45" t="s">
        <v>3582</v>
      </c>
      <c r="C53" s="46">
        <v>24</v>
      </c>
      <c r="D53" s="78" t="s">
        <v>17</v>
      </c>
      <c r="E53" s="48">
        <v>130</v>
      </c>
      <c r="F53" s="49">
        <v>151.9</v>
      </c>
      <c r="G53" s="50" t="s">
        <v>3588</v>
      </c>
      <c r="H53" s="51">
        <v>1981</v>
      </c>
      <c r="I53" s="45">
        <v>3353</v>
      </c>
      <c r="J53" s="52">
        <v>24</v>
      </c>
      <c r="K53" s="53">
        <f t="shared" si="0"/>
        <v>159.415032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 t="s">
        <v>19</v>
      </c>
      <c r="H54" s="51">
        <v>1981</v>
      </c>
      <c r="I54" s="45">
        <v>3353</v>
      </c>
      <c r="J54" s="52">
        <v>24</v>
      </c>
      <c r="K54" s="53">
        <f t="shared" si="0"/>
        <v>159.415032</v>
      </c>
      <c r="L54" s="54"/>
    </row>
    <row r="55" spans="1:12" s="55" customFormat="1" ht="19.5" customHeight="1" x14ac:dyDescent="0.3">
      <c r="A55" s="44"/>
      <c r="B55" s="76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76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76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9" customFormat="1" ht="20.100000000000001" customHeight="1" x14ac:dyDescent="0.3">
      <c r="A60" s="44"/>
      <c r="B60" s="45"/>
      <c r="C60" s="46"/>
      <c r="D60" s="47"/>
      <c r="E60" s="56"/>
      <c r="F60" s="57"/>
      <c r="G60" s="50"/>
      <c r="H60" s="51"/>
      <c r="I60" s="45"/>
      <c r="J60" s="52"/>
      <c r="K60" s="53">
        <f t="shared" si="0"/>
        <v>0</v>
      </c>
      <c r="L60" s="58">
        <f>SUM(J38:J61)</f>
        <v>215</v>
      </c>
    </row>
    <row r="61" spans="1:12" s="59" customFormat="1" ht="20.100000000000001" customHeight="1" x14ac:dyDescent="0.3">
      <c r="A61" s="44"/>
      <c r="B61" s="45"/>
      <c r="C61" s="46"/>
      <c r="D61" s="47"/>
      <c r="E61" s="60"/>
      <c r="F61" s="61"/>
      <c r="G61" s="62"/>
      <c r="H61" s="51"/>
      <c r="I61" s="45"/>
      <c r="J61" s="63"/>
      <c r="K61" s="53">
        <f t="shared" si="0"/>
        <v>0</v>
      </c>
      <c r="L61" s="64">
        <f>SUM(K38:K61)</f>
        <v>1460.0783739999997</v>
      </c>
    </row>
    <row r="62" spans="1:12" s="59" customFormat="1" ht="20.100000000000001" customHeight="1" thickBot="1" x14ac:dyDescent="0.35">
      <c r="A62" s="114"/>
      <c r="B62" s="115"/>
      <c r="C62" s="115"/>
      <c r="D62" s="115"/>
      <c r="E62" s="115"/>
      <c r="F62" s="115"/>
      <c r="G62" s="115"/>
      <c r="H62" s="115"/>
      <c r="I62" s="115"/>
      <c r="J62" s="65">
        <f>SUM(J7:J61)</f>
        <v>424</v>
      </c>
      <c r="K62" s="66">
        <f>SUM(K7:K61)</f>
        <v>2755.4844089999997</v>
      </c>
      <c r="L62" s="67"/>
    </row>
    <row r="63" spans="1:12" s="59" customFormat="1" ht="20.100000000000001" customHeight="1" thickTop="1" thickBot="1" x14ac:dyDescent="0.35">
      <c r="A63" s="116" t="s">
        <v>52</v>
      </c>
      <c r="B63" s="117"/>
      <c r="C63" s="68"/>
      <c r="D63" s="118">
        <f>J62</f>
        <v>424</v>
      </c>
      <c r="E63" s="119"/>
      <c r="F63" s="119"/>
      <c r="G63" s="120"/>
      <c r="H63" s="121"/>
      <c r="I63" s="121"/>
      <c r="J63" s="122"/>
      <c r="K63" s="119"/>
      <c r="L63" s="123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71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72"/>
      <c r="F69" s="5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5"/>
      <c r="G70" s="73"/>
      <c r="H70" s="5"/>
      <c r="I70" s="74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72"/>
      <c r="I74" s="72"/>
      <c r="J74" s="5"/>
      <c r="K74" s="5"/>
      <c r="L74" s="5"/>
    </row>
    <row r="75" spans="1:12" ht="20.100000000000001" customHeight="1" x14ac:dyDescent="0.3">
      <c r="A75" s="113"/>
      <c r="B75" s="113"/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A78" s="113"/>
      <c r="B78" s="113"/>
      <c r="H78" s="72"/>
      <c r="I78" s="72"/>
    </row>
    <row r="79" spans="1:12" ht="20.100000000000001" customHeight="1" x14ac:dyDescent="0.3">
      <c r="A79" s="113"/>
      <c r="B79" s="113"/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H82" s="72"/>
      <c r="I82" s="72"/>
    </row>
    <row r="83" spans="1:12" s="72" customFormat="1" ht="20.100000000000001" customHeight="1" x14ac:dyDescent="0.3">
      <c r="A83" s="69"/>
      <c r="B83" s="5"/>
      <c r="C83" s="5"/>
      <c r="D83" s="5"/>
      <c r="E83" s="5"/>
      <c r="F83" s="70"/>
      <c r="G83" s="5"/>
      <c r="J83" s="5"/>
      <c r="K83" s="5"/>
      <c r="L83" s="5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5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5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5" customFormat="1" ht="19.5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2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ht="19.5" customHeight="1" x14ac:dyDescent="0.3"/>
    <row r="91" spans="1:12" ht="19.5" customHeight="1" x14ac:dyDescent="0.3"/>
    <row r="92" spans="1:12" ht="19.5" customHeight="1" x14ac:dyDescent="0.3"/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>
        <v>2</v>
      </c>
      <c r="C153" s="5"/>
      <c r="D153" s="5"/>
      <c r="E153" s="5"/>
      <c r="F153" s="70"/>
      <c r="G153" s="5"/>
      <c r="H153" s="5"/>
      <c r="I153" s="5"/>
      <c r="J153" s="5"/>
      <c r="K153" s="5"/>
      <c r="L153" s="5"/>
    </row>
  </sheetData>
  <mergeCells count="30">
    <mergeCell ref="A78:B78"/>
    <mergeCell ref="A79:B79"/>
    <mergeCell ref="A69:B69"/>
    <mergeCell ref="A70:B70"/>
    <mergeCell ref="A71:B71"/>
    <mergeCell ref="A73:B73"/>
    <mergeCell ref="A74:B74"/>
    <mergeCell ref="A75:B75"/>
    <mergeCell ref="A68:B6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2:I62"/>
    <mergeCell ref="A63:B63"/>
    <mergeCell ref="D63:G63"/>
    <mergeCell ref="H63:J63"/>
    <mergeCell ref="K63:L63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L169"/>
  <sheetViews>
    <sheetView view="pageBreakPreview" topLeftCell="F55" zoomScale="85" zoomScaleSheetLayoutView="85" workbookViewId="0">
      <selection activeCell="L76" sqref="L76:L7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46149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7" si="0">(H7/1000*I7/1000)*J7</f>
        <v>0</v>
      </c>
      <c r="L7" s="26">
        <f>SUM(J7:J43)</f>
        <v>166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SUM(K7:K43)</f>
        <v>1062.8684430000001</v>
      </c>
    </row>
    <row r="9" spans="1:12" s="27" customFormat="1" ht="19.5" customHeight="1" x14ac:dyDescent="0.3">
      <c r="A9" s="28" t="s">
        <v>3547</v>
      </c>
      <c r="B9" s="16" t="s">
        <v>2451</v>
      </c>
      <c r="C9" s="17">
        <v>16</v>
      </c>
      <c r="D9" s="18" t="s">
        <v>3549</v>
      </c>
      <c r="E9" s="41">
        <v>14</v>
      </c>
      <c r="F9" s="42">
        <v>7.97</v>
      </c>
      <c r="G9" s="34" t="s">
        <v>3548</v>
      </c>
      <c r="H9" s="35">
        <v>2438</v>
      </c>
      <c r="I9" s="36">
        <v>3353</v>
      </c>
      <c r="J9" s="37">
        <v>1</v>
      </c>
      <c r="K9" s="25">
        <f t="shared" si="0"/>
        <v>8.174614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18</v>
      </c>
      <c r="H10" s="35">
        <v>2438</v>
      </c>
      <c r="I10" s="36">
        <v>3353</v>
      </c>
      <c r="J10" s="37">
        <v>1</v>
      </c>
      <c r="K10" s="25">
        <f t="shared" si="0"/>
        <v>8.174614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3550</v>
      </c>
      <c r="B12" s="16" t="s">
        <v>343</v>
      </c>
      <c r="C12" s="17">
        <v>16</v>
      </c>
      <c r="D12" s="18" t="s">
        <v>199</v>
      </c>
      <c r="E12" s="41">
        <v>1</v>
      </c>
      <c r="F12" s="42">
        <v>0.9</v>
      </c>
      <c r="G12" s="34"/>
      <c r="H12" s="35"/>
      <c r="I12" s="36"/>
      <c r="J12" s="37"/>
      <c r="K12" s="25">
        <f t="shared" si="0"/>
        <v>0</v>
      </c>
      <c r="L12" s="39" t="s">
        <v>31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 t="s">
        <v>3551</v>
      </c>
      <c r="B14" s="16" t="s">
        <v>191</v>
      </c>
      <c r="C14" s="17">
        <v>10</v>
      </c>
      <c r="D14" s="18" t="s">
        <v>926</v>
      </c>
      <c r="E14" s="41">
        <v>8</v>
      </c>
      <c r="F14" s="42">
        <v>5.2</v>
      </c>
      <c r="G14" s="34" t="s">
        <v>927</v>
      </c>
      <c r="H14" s="35">
        <v>2438</v>
      </c>
      <c r="I14" s="36">
        <v>3353</v>
      </c>
      <c r="J14" s="37">
        <v>1</v>
      </c>
      <c r="K14" s="25">
        <f t="shared" si="0"/>
        <v>8.174614</v>
      </c>
      <c r="L14" s="39" t="s">
        <v>3553</v>
      </c>
    </row>
    <row r="15" spans="1:12" s="27" customFormat="1" ht="19.5" customHeight="1" x14ac:dyDescent="0.3">
      <c r="A15" s="28" t="s">
        <v>3552</v>
      </c>
      <c r="B15" s="16" t="s">
        <v>191</v>
      </c>
      <c r="C15" s="17">
        <v>10</v>
      </c>
      <c r="D15" s="18" t="s">
        <v>926</v>
      </c>
      <c r="E15" s="41">
        <v>3</v>
      </c>
      <c r="F15" s="42">
        <v>1.62</v>
      </c>
      <c r="G15" s="34"/>
      <c r="H15" s="35"/>
      <c r="I15" s="36"/>
      <c r="J15" s="37"/>
      <c r="K15" s="25">
        <f t="shared" si="0"/>
        <v>0</v>
      </c>
      <c r="L15" s="39" t="s">
        <v>3553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 t="s">
        <v>3554</v>
      </c>
      <c r="B17" s="16" t="s">
        <v>2720</v>
      </c>
      <c r="C17" s="17">
        <v>22</v>
      </c>
      <c r="D17" s="18" t="s">
        <v>45</v>
      </c>
      <c r="E17" s="41">
        <v>65</v>
      </c>
      <c r="F17" s="42">
        <v>56.15</v>
      </c>
      <c r="G17" s="34" t="s">
        <v>49</v>
      </c>
      <c r="H17" s="35">
        <v>1829</v>
      </c>
      <c r="I17" s="36">
        <v>3353</v>
      </c>
      <c r="J17" s="37">
        <v>13</v>
      </c>
      <c r="K17" s="25">
        <f t="shared" si="0"/>
        <v>79.724281000000005</v>
      </c>
      <c r="L17" s="39"/>
    </row>
    <row r="18" spans="1:12" s="27" customFormat="1" ht="19.5" customHeight="1" x14ac:dyDescent="0.3">
      <c r="A18" s="28"/>
      <c r="B18" s="16"/>
      <c r="C18" s="17">
        <v>22</v>
      </c>
      <c r="D18" s="18" t="s">
        <v>17</v>
      </c>
      <c r="E18" s="41">
        <v>65</v>
      </c>
      <c r="F18" s="42">
        <v>56.15</v>
      </c>
      <c r="G18" s="34" t="s">
        <v>18</v>
      </c>
      <c r="H18" s="35">
        <v>1981</v>
      </c>
      <c r="I18" s="36">
        <v>3353</v>
      </c>
      <c r="J18" s="37">
        <v>9</v>
      </c>
      <c r="K18" s="25">
        <f t="shared" si="0"/>
        <v>59.780637000000006</v>
      </c>
      <c r="L18" s="39"/>
    </row>
    <row r="19" spans="1:12" s="27" customFormat="1" ht="19.5" customHeight="1" x14ac:dyDescent="0.3">
      <c r="A19" s="28"/>
      <c r="B19" s="16"/>
      <c r="C19" s="17">
        <v>22</v>
      </c>
      <c r="D19" s="18" t="s">
        <v>45</v>
      </c>
      <c r="E19" s="41">
        <v>20</v>
      </c>
      <c r="F19" s="42">
        <v>16.600000000000001</v>
      </c>
      <c r="G19" s="34" t="s">
        <v>19</v>
      </c>
      <c r="H19" s="35">
        <v>1981</v>
      </c>
      <c r="I19" s="36">
        <v>3048</v>
      </c>
      <c r="J19" s="37">
        <v>24</v>
      </c>
      <c r="K19" s="25">
        <f t="shared" si="0"/>
        <v>144.91411200000002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 t="s">
        <v>3537</v>
      </c>
      <c r="B21" s="16" t="s">
        <v>2720</v>
      </c>
      <c r="C21" s="17">
        <v>22</v>
      </c>
      <c r="D21" s="18" t="s">
        <v>45</v>
      </c>
      <c r="E21" s="41">
        <v>75</v>
      </c>
      <c r="F21" s="42">
        <v>57.65</v>
      </c>
      <c r="G21" s="34" t="s">
        <v>49</v>
      </c>
      <c r="H21" s="35">
        <v>1829</v>
      </c>
      <c r="I21" s="36">
        <v>3353</v>
      </c>
      <c r="J21" s="37">
        <v>10</v>
      </c>
      <c r="K21" s="25">
        <f t="shared" si="0"/>
        <v>61.326369999999997</v>
      </c>
      <c r="L21" s="39"/>
    </row>
    <row r="22" spans="1:12" s="27" customFormat="1" ht="19.5" customHeight="1" x14ac:dyDescent="0.3">
      <c r="A22" s="28"/>
      <c r="B22" s="16"/>
      <c r="C22" s="17">
        <v>22</v>
      </c>
      <c r="D22" s="18" t="s">
        <v>45</v>
      </c>
      <c r="E22" s="41">
        <v>10</v>
      </c>
      <c r="F22" s="42">
        <v>3.8</v>
      </c>
      <c r="G22" s="34" t="s">
        <v>49</v>
      </c>
      <c r="H22" s="35">
        <v>1981</v>
      </c>
      <c r="I22" s="36">
        <v>3353</v>
      </c>
      <c r="J22" s="37">
        <v>1</v>
      </c>
      <c r="K22" s="25">
        <f t="shared" si="0"/>
        <v>6.6422930000000004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 t="s">
        <v>19</v>
      </c>
      <c r="H23" s="35">
        <v>1981</v>
      </c>
      <c r="I23" s="36">
        <v>3048</v>
      </c>
      <c r="J23" s="37">
        <v>11</v>
      </c>
      <c r="K23" s="25">
        <f t="shared" ref="K23" si="1">(H23/1000*I23/1000)*J23</f>
        <v>66.418968000000007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 t="s">
        <v>3537</v>
      </c>
      <c r="B25" s="16" t="s">
        <v>2720</v>
      </c>
      <c r="C25" s="17">
        <v>22</v>
      </c>
      <c r="D25" s="18" t="s">
        <v>17</v>
      </c>
      <c r="E25" s="41">
        <v>75</v>
      </c>
      <c r="F25" s="42">
        <v>57.65</v>
      </c>
      <c r="G25" s="34" t="s">
        <v>18</v>
      </c>
      <c r="H25" s="35">
        <v>1981</v>
      </c>
      <c r="I25" s="36">
        <v>3353</v>
      </c>
      <c r="J25" s="37">
        <v>9</v>
      </c>
      <c r="K25" s="25">
        <f t="shared" si="0"/>
        <v>59.780637000000006</v>
      </c>
      <c r="L25" s="39" t="s">
        <v>100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 t="s">
        <v>57</v>
      </c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 t="s">
        <v>3557</v>
      </c>
      <c r="B28" s="16" t="s">
        <v>3558</v>
      </c>
      <c r="C28" s="17">
        <v>24</v>
      </c>
      <c r="D28" s="18" t="s">
        <v>3559</v>
      </c>
      <c r="E28" s="41">
        <v>14</v>
      </c>
      <c r="F28" s="42">
        <v>29.29</v>
      </c>
      <c r="G28" s="34" t="s">
        <v>3563</v>
      </c>
      <c r="H28" s="35">
        <v>1981</v>
      </c>
      <c r="I28" s="36">
        <v>3048</v>
      </c>
      <c r="J28" s="37">
        <v>10</v>
      </c>
      <c r="K28" s="25">
        <f t="shared" si="0"/>
        <v>60.380880000000012</v>
      </c>
      <c r="L28" s="39"/>
    </row>
    <row r="29" spans="1:12" s="27" customFormat="1" ht="19.5" customHeight="1" x14ac:dyDescent="0.3">
      <c r="A29" s="28"/>
      <c r="B29" s="16"/>
      <c r="C29" s="17">
        <v>24</v>
      </c>
      <c r="D29" s="18" t="s">
        <v>3560</v>
      </c>
      <c r="E29" s="41">
        <v>4</v>
      </c>
      <c r="F29" s="42">
        <v>4.18</v>
      </c>
      <c r="G29" s="34" t="s">
        <v>3564</v>
      </c>
      <c r="H29" s="35">
        <v>1981</v>
      </c>
      <c r="I29" s="36">
        <v>3048</v>
      </c>
      <c r="J29" s="37">
        <v>9</v>
      </c>
      <c r="K29" s="25">
        <f t="shared" si="0"/>
        <v>54.34279200000001</v>
      </c>
      <c r="L29" s="39"/>
    </row>
    <row r="30" spans="1:12" s="27" customFormat="1" ht="19.5" customHeight="1" x14ac:dyDescent="0.3">
      <c r="A30" s="28"/>
      <c r="B30" s="16"/>
      <c r="C30" s="17">
        <v>24</v>
      </c>
      <c r="D30" s="18" t="s">
        <v>3561</v>
      </c>
      <c r="E30" s="41">
        <v>4</v>
      </c>
      <c r="F30" s="42">
        <v>8.98</v>
      </c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/>
      <c r="B31" s="16"/>
      <c r="C31" s="17">
        <v>24</v>
      </c>
      <c r="D31" s="18" t="s">
        <v>3562</v>
      </c>
      <c r="E31" s="41">
        <v>4</v>
      </c>
      <c r="F31" s="42">
        <v>1.46</v>
      </c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ref="K32:K36" si="2">(H32/1000*I32/1000)*J32</f>
        <v>0</v>
      </c>
      <c r="L32" s="39"/>
    </row>
    <row r="33" spans="1:12" s="27" customFormat="1" ht="19.5" customHeight="1" x14ac:dyDescent="0.3">
      <c r="A33" s="28" t="s">
        <v>3565</v>
      </c>
      <c r="B33" s="16" t="s">
        <v>3566</v>
      </c>
      <c r="C33" s="17">
        <v>24</v>
      </c>
      <c r="D33" s="18" t="s">
        <v>3567</v>
      </c>
      <c r="E33" s="41">
        <v>85</v>
      </c>
      <c r="F33" s="42">
        <v>115.1</v>
      </c>
      <c r="G33" s="34" t="s">
        <v>3568</v>
      </c>
      <c r="H33" s="35">
        <v>1981</v>
      </c>
      <c r="I33" s="36">
        <v>3353</v>
      </c>
      <c r="J33" s="37">
        <v>20</v>
      </c>
      <c r="K33" s="25">
        <f t="shared" si="2"/>
        <v>132.84586000000002</v>
      </c>
      <c r="L33" s="39" t="s">
        <v>3569</v>
      </c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2"/>
        <v>0</v>
      </c>
      <c r="L34" s="39"/>
    </row>
    <row r="35" spans="1:12" s="27" customFormat="1" ht="19.5" customHeight="1" x14ac:dyDescent="0.3">
      <c r="A35" s="28" t="s">
        <v>3570</v>
      </c>
      <c r="B35" s="16" t="s">
        <v>3566</v>
      </c>
      <c r="C35" s="17">
        <v>24</v>
      </c>
      <c r="D35" s="18" t="s">
        <v>3567</v>
      </c>
      <c r="E35" s="41">
        <v>133</v>
      </c>
      <c r="F35" s="42">
        <v>192.81</v>
      </c>
      <c r="G35" s="34" t="s">
        <v>3568</v>
      </c>
      <c r="H35" s="35">
        <v>1981</v>
      </c>
      <c r="I35" s="36">
        <v>3353</v>
      </c>
      <c r="J35" s="37">
        <v>47</v>
      </c>
      <c r="K35" s="25">
        <f t="shared" si="2"/>
        <v>312.187771</v>
      </c>
      <c r="L35" s="39" t="s">
        <v>3569</v>
      </c>
    </row>
    <row r="36" spans="1:12" s="27" customFormat="1" ht="19.5" customHeight="1" x14ac:dyDescent="0.3">
      <c r="A36" s="28"/>
      <c r="B36" s="16"/>
      <c r="C36" s="17">
        <v>24</v>
      </c>
      <c r="D36" s="18" t="s">
        <v>3571</v>
      </c>
      <c r="E36" s="41">
        <v>48</v>
      </c>
      <c r="F36" s="42">
        <v>94.01</v>
      </c>
      <c r="G36" s="34"/>
      <c r="H36" s="35"/>
      <c r="I36" s="36"/>
      <c r="J36" s="37"/>
      <c r="K36" s="25">
        <f t="shared" si="2"/>
        <v>0</v>
      </c>
      <c r="L36" s="39" t="s">
        <v>3569</v>
      </c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0"/>
        <v>0</v>
      </c>
      <c r="L42" s="39"/>
    </row>
    <row r="43" spans="1:12" s="27" customFormat="1" ht="19.5" customHeight="1" x14ac:dyDescent="0.3">
      <c r="A43" s="28"/>
      <c r="B43" s="29"/>
      <c r="C43" s="30"/>
      <c r="D43" s="31"/>
      <c r="E43" s="41"/>
      <c r="F43" s="42"/>
      <c r="G43" s="43"/>
      <c r="H43" s="35"/>
      <c r="I43" s="36"/>
      <c r="J43" s="37"/>
      <c r="K43" s="38">
        <f t="shared" si="0"/>
        <v>0</v>
      </c>
      <c r="L43" s="39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3532</v>
      </c>
      <c r="B45" s="45" t="s">
        <v>1568</v>
      </c>
      <c r="C45" s="46">
        <v>24</v>
      </c>
      <c r="D45" s="47" t="s">
        <v>1323</v>
      </c>
      <c r="E45" s="48">
        <v>19</v>
      </c>
      <c r="F45" s="49">
        <v>10.45</v>
      </c>
      <c r="G45" s="50" t="s">
        <v>18</v>
      </c>
      <c r="H45" s="51">
        <v>1981</v>
      </c>
      <c r="I45" s="45">
        <v>3353</v>
      </c>
      <c r="J45" s="52">
        <v>2</v>
      </c>
      <c r="K45" s="53">
        <f t="shared" si="0"/>
        <v>13.284586000000001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 t="s">
        <v>62</v>
      </c>
      <c r="H46" s="51">
        <v>1981</v>
      </c>
      <c r="I46" s="45">
        <v>3353</v>
      </c>
      <c r="J46" s="52">
        <v>2</v>
      </c>
      <c r="K46" s="53">
        <f t="shared" si="0"/>
        <v>13.284586000000001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3532</v>
      </c>
      <c r="B48" s="45" t="s">
        <v>1568</v>
      </c>
      <c r="C48" s="46">
        <v>39</v>
      </c>
      <c r="D48" s="47" t="s">
        <v>1569</v>
      </c>
      <c r="E48" s="48">
        <v>89</v>
      </c>
      <c r="F48" s="49">
        <v>107.81</v>
      </c>
      <c r="G48" s="50" t="s">
        <v>18</v>
      </c>
      <c r="H48" s="51">
        <v>1981</v>
      </c>
      <c r="I48" s="45">
        <v>3353</v>
      </c>
      <c r="J48" s="52">
        <v>18</v>
      </c>
      <c r="K48" s="53">
        <f t="shared" si="0"/>
        <v>119.56127400000001</v>
      </c>
      <c r="L48" s="54" t="s">
        <v>3555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62</v>
      </c>
      <c r="H49" s="51">
        <v>1981</v>
      </c>
      <c r="I49" s="45">
        <v>3353</v>
      </c>
      <c r="J49" s="52">
        <v>18</v>
      </c>
      <c r="K49" s="53">
        <f t="shared" si="0"/>
        <v>119.56127400000001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3529</v>
      </c>
      <c r="B51" s="45" t="s">
        <v>1568</v>
      </c>
      <c r="C51" s="46">
        <v>24</v>
      </c>
      <c r="D51" s="47" t="s">
        <v>1323</v>
      </c>
      <c r="E51" s="48">
        <v>18</v>
      </c>
      <c r="F51" s="49">
        <v>10.16</v>
      </c>
      <c r="G51" s="50" t="s">
        <v>18</v>
      </c>
      <c r="H51" s="51">
        <v>1981</v>
      </c>
      <c r="I51" s="45">
        <v>3353</v>
      </c>
      <c r="J51" s="52">
        <v>2</v>
      </c>
      <c r="K51" s="53">
        <f t="shared" si="0"/>
        <v>13.284586000000001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 t="s">
        <v>62</v>
      </c>
      <c r="H52" s="51">
        <v>1829</v>
      </c>
      <c r="I52" s="45">
        <v>3353</v>
      </c>
      <c r="J52" s="52">
        <v>2</v>
      </c>
      <c r="K52" s="53">
        <f t="shared" si="0"/>
        <v>12.265274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3529</v>
      </c>
      <c r="B54" s="45" t="s">
        <v>1568</v>
      </c>
      <c r="C54" s="46">
        <v>39</v>
      </c>
      <c r="D54" s="47" t="s">
        <v>1569</v>
      </c>
      <c r="E54" s="48">
        <v>55</v>
      </c>
      <c r="F54" s="49">
        <v>63.11</v>
      </c>
      <c r="G54" s="50" t="s">
        <v>18</v>
      </c>
      <c r="H54" s="51">
        <v>1981</v>
      </c>
      <c r="I54" s="45">
        <v>3353</v>
      </c>
      <c r="J54" s="52">
        <v>11</v>
      </c>
      <c r="K54" s="53">
        <f t="shared" si="0"/>
        <v>73.065223000000003</v>
      </c>
      <c r="L54" s="54" t="s">
        <v>3555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 t="s">
        <v>62</v>
      </c>
      <c r="H55" s="51">
        <v>1981</v>
      </c>
      <c r="I55" s="45">
        <v>3353</v>
      </c>
      <c r="J55" s="52">
        <v>11</v>
      </c>
      <c r="K55" s="53">
        <f t="shared" si="0"/>
        <v>73.065223000000003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3556</v>
      </c>
      <c r="B57" s="45" t="s">
        <v>1890</v>
      </c>
      <c r="C57" s="46">
        <v>28</v>
      </c>
      <c r="D57" s="47" t="s">
        <v>1891</v>
      </c>
      <c r="E57" s="48">
        <v>75</v>
      </c>
      <c r="F57" s="49">
        <v>123.93</v>
      </c>
      <c r="G57" s="50" t="s">
        <v>189</v>
      </c>
      <c r="H57" s="51">
        <v>1829</v>
      </c>
      <c r="I57" s="45">
        <v>3353</v>
      </c>
      <c r="J57" s="52">
        <v>44</v>
      </c>
      <c r="K57" s="53">
        <f t="shared" si="0"/>
        <v>269.836028</v>
      </c>
      <c r="L57" s="54" t="s">
        <v>100</v>
      </c>
    </row>
    <row r="58" spans="1:12" s="55" customFormat="1" ht="19.5" customHeight="1" x14ac:dyDescent="0.3">
      <c r="A58" s="44"/>
      <c r="B58" s="45"/>
      <c r="C58" s="46">
        <v>28</v>
      </c>
      <c r="D58" s="47" t="s">
        <v>1894</v>
      </c>
      <c r="E58" s="48">
        <v>50</v>
      </c>
      <c r="F58" s="49">
        <v>37.74</v>
      </c>
      <c r="G58" s="50"/>
      <c r="H58" s="51"/>
      <c r="I58" s="45"/>
      <c r="J58" s="52"/>
      <c r="K58" s="53">
        <f t="shared" si="0"/>
        <v>0</v>
      </c>
      <c r="L58" s="54" t="s">
        <v>100</v>
      </c>
    </row>
    <row r="59" spans="1:12" s="55" customFormat="1" ht="19.5" customHeight="1" x14ac:dyDescent="0.3">
      <c r="A59" s="44"/>
      <c r="B59" s="45"/>
      <c r="C59" s="46">
        <v>28</v>
      </c>
      <c r="D59" s="47" t="s">
        <v>1891</v>
      </c>
      <c r="E59" s="48">
        <v>35</v>
      </c>
      <c r="F59" s="49">
        <v>91.56</v>
      </c>
      <c r="G59" s="50"/>
      <c r="H59" s="51"/>
      <c r="I59" s="45"/>
      <c r="J59" s="52"/>
      <c r="K59" s="53">
        <f t="shared" si="0"/>
        <v>0</v>
      </c>
      <c r="L59" s="54" t="s">
        <v>100</v>
      </c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57</v>
      </c>
      <c r="B61" s="76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3572</v>
      </c>
      <c r="B62" s="45" t="s">
        <v>3573</v>
      </c>
      <c r="C62" s="46">
        <v>28</v>
      </c>
      <c r="D62" s="47" t="s">
        <v>3574</v>
      </c>
      <c r="E62" s="48">
        <v>68</v>
      </c>
      <c r="F62" s="49">
        <v>114.77</v>
      </c>
      <c r="G62" s="50" t="s">
        <v>3576</v>
      </c>
      <c r="H62" s="51">
        <v>2438</v>
      </c>
      <c r="I62" s="45">
        <v>3048</v>
      </c>
      <c r="J62" s="52">
        <v>28</v>
      </c>
      <c r="K62" s="53">
        <f t="shared" si="0"/>
        <v>208.06867200000002</v>
      </c>
      <c r="L62" s="54" t="s">
        <v>3577</v>
      </c>
    </row>
    <row r="63" spans="1:12" s="55" customFormat="1" ht="19.5" customHeight="1" x14ac:dyDescent="0.3">
      <c r="A63" s="44"/>
      <c r="B63" s="45"/>
      <c r="C63" s="46">
        <v>28</v>
      </c>
      <c r="D63" s="47" t="s">
        <v>3575</v>
      </c>
      <c r="E63" s="48">
        <v>59</v>
      </c>
      <c r="F63" s="49">
        <v>54.19</v>
      </c>
      <c r="G63" s="50" t="s">
        <v>3576</v>
      </c>
      <c r="H63" s="51">
        <v>2134</v>
      </c>
      <c r="I63" s="45">
        <v>3353</v>
      </c>
      <c r="J63" s="52">
        <v>11</v>
      </c>
      <c r="K63" s="53">
        <f t="shared" si="0"/>
        <v>78.708321999999995</v>
      </c>
      <c r="L63" s="54" t="s">
        <v>3577</v>
      </c>
    </row>
    <row r="64" spans="1:12" s="55" customFormat="1" ht="19.5" customHeight="1" x14ac:dyDescent="0.3">
      <c r="A64" s="44"/>
      <c r="B64" s="45"/>
      <c r="C64" s="46">
        <v>28</v>
      </c>
      <c r="D64" s="47" t="s">
        <v>3574</v>
      </c>
      <c r="E64" s="48">
        <v>30</v>
      </c>
      <c r="F64" s="49">
        <v>78.48</v>
      </c>
      <c r="G64" s="50"/>
      <c r="H64" s="51"/>
      <c r="I64" s="45"/>
      <c r="J64" s="52"/>
      <c r="K64" s="53">
        <f t="shared" si="0"/>
        <v>0</v>
      </c>
      <c r="L64" s="54" t="s">
        <v>3577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76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76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9" customFormat="1" ht="20.100000000000001" customHeight="1" x14ac:dyDescent="0.3">
      <c r="A76" s="44"/>
      <c r="B76" s="45"/>
      <c r="C76" s="46"/>
      <c r="D76" s="47"/>
      <c r="E76" s="56"/>
      <c r="F76" s="57"/>
      <c r="G76" s="50"/>
      <c r="H76" s="51"/>
      <c r="I76" s="45"/>
      <c r="J76" s="52"/>
      <c r="K76" s="53">
        <f t="shared" si="0"/>
        <v>0</v>
      </c>
      <c r="L76" s="58">
        <f>SUM(J44:J77)</f>
        <v>149</v>
      </c>
    </row>
    <row r="77" spans="1:12" s="59" customFormat="1" ht="20.100000000000001" customHeight="1" x14ac:dyDescent="0.3">
      <c r="A77" s="44"/>
      <c r="B77" s="45"/>
      <c r="C77" s="46"/>
      <c r="D77" s="47"/>
      <c r="E77" s="60"/>
      <c r="F77" s="61"/>
      <c r="G77" s="62"/>
      <c r="H77" s="51"/>
      <c r="I77" s="45"/>
      <c r="J77" s="63"/>
      <c r="K77" s="53">
        <f t="shared" si="0"/>
        <v>0</v>
      </c>
      <c r="L77" s="64">
        <f>SUM(K44:K77)</f>
        <v>993.98504799999989</v>
      </c>
    </row>
    <row r="78" spans="1:12" s="59" customFormat="1" ht="20.100000000000001" customHeight="1" thickBot="1" x14ac:dyDescent="0.35">
      <c r="A78" s="114"/>
      <c r="B78" s="115"/>
      <c r="C78" s="115"/>
      <c r="D78" s="115"/>
      <c r="E78" s="115"/>
      <c r="F78" s="115"/>
      <c r="G78" s="115"/>
      <c r="H78" s="115"/>
      <c r="I78" s="115"/>
      <c r="J78" s="65">
        <f>SUM(J7:J77)</f>
        <v>315</v>
      </c>
      <c r="K78" s="66">
        <f>SUM(K7:K77)</f>
        <v>2056.8534910000003</v>
      </c>
      <c r="L78" s="67"/>
    </row>
    <row r="79" spans="1:12" s="59" customFormat="1" ht="20.100000000000001" customHeight="1" thickTop="1" thickBot="1" x14ac:dyDescent="0.35">
      <c r="A79" s="116" t="s">
        <v>52</v>
      </c>
      <c r="B79" s="117"/>
      <c r="C79" s="68"/>
      <c r="D79" s="118">
        <f>J78</f>
        <v>315</v>
      </c>
      <c r="E79" s="119"/>
      <c r="F79" s="119"/>
      <c r="G79" s="120"/>
      <c r="H79" s="121"/>
      <c r="I79" s="121"/>
      <c r="J79" s="122"/>
      <c r="K79" s="119"/>
      <c r="L79" s="123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71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72"/>
      <c r="F85" s="5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5"/>
      <c r="G86" s="73"/>
      <c r="H86" s="5"/>
      <c r="I86" s="74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70"/>
      <c r="G90" s="5"/>
      <c r="H90" s="72"/>
      <c r="I90" s="72"/>
      <c r="J90" s="5"/>
      <c r="K90" s="5"/>
      <c r="L90" s="5"/>
    </row>
    <row r="91" spans="1:12" ht="20.100000000000001" customHeight="1" x14ac:dyDescent="0.3">
      <c r="A91" s="113"/>
      <c r="B91" s="113"/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A94" s="113"/>
      <c r="B94" s="113"/>
      <c r="H94" s="72"/>
      <c r="I94" s="72"/>
    </row>
    <row r="95" spans="1:12" ht="20.100000000000001" customHeight="1" x14ac:dyDescent="0.3">
      <c r="A95" s="113"/>
      <c r="B95" s="113"/>
      <c r="H95" s="72"/>
      <c r="I95" s="72"/>
    </row>
    <row r="96" spans="1:12" ht="20.100000000000001" customHeight="1" x14ac:dyDescent="0.3">
      <c r="H96" s="72"/>
      <c r="I96" s="72"/>
    </row>
    <row r="97" spans="1:12" ht="20.100000000000001" customHeight="1" x14ac:dyDescent="0.3">
      <c r="H97" s="72"/>
      <c r="I97" s="72"/>
    </row>
    <row r="98" spans="1:12" ht="20.100000000000001" customHeight="1" x14ac:dyDescent="0.3">
      <c r="H98" s="72"/>
      <c r="I98" s="72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J99" s="5"/>
      <c r="K99" s="5"/>
      <c r="L99" s="5"/>
    </row>
    <row r="100" spans="1:12" s="72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5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5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5" customFormat="1" ht="19.5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2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2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ht="19.5" customHeight="1" x14ac:dyDescent="0.3"/>
    <row r="107" spans="1:12" ht="19.5" customHeight="1" x14ac:dyDescent="0.3"/>
    <row r="108" spans="1:12" ht="19.5" customHeight="1" x14ac:dyDescent="0.3"/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>
        <v>2</v>
      </c>
      <c r="C169" s="5"/>
      <c r="D169" s="5"/>
      <c r="E169" s="5"/>
      <c r="F169" s="70"/>
      <c r="G169" s="5"/>
      <c r="H169" s="5"/>
      <c r="I169" s="5"/>
      <c r="J169" s="5"/>
      <c r="K169" s="5"/>
      <c r="L169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4:B8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8:I78"/>
    <mergeCell ref="A79:B79"/>
    <mergeCell ref="D79:G79"/>
    <mergeCell ref="H79:J79"/>
    <mergeCell ref="K79:L79"/>
    <mergeCell ref="A94:B94"/>
    <mergeCell ref="A95:B95"/>
    <mergeCell ref="A85:B85"/>
    <mergeCell ref="A86:B86"/>
    <mergeCell ref="A87:B87"/>
    <mergeCell ref="A89:B89"/>
    <mergeCell ref="A90:B90"/>
    <mergeCell ref="A91:B91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L164"/>
  <sheetViews>
    <sheetView view="pageBreakPreview" topLeftCell="E52" zoomScale="85" zoomScaleSheetLayoutView="85" workbookViewId="0">
      <selection activeCell="L71" sqref="L71:L72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46148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2" si="0">(H7/1000*I7/1000)*J7</f>
        <v>0</v>
      </c>
      <c r="L7" s="26">
        <f>SUM(J7:J38)</f>
        <v>222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SUM(K7:K38)</f>
        <v>1437.658719</v>
      </c>
    </row>
    <row r="9" spans="1:12" s="27" customFormat="1" ht="19.5" customHeight="1" x14ac:dyDescent="0.3">
      <c r="A9" s="28" t="s">
        <v>3489</v>
      </c>
      <c r="B9" s="16" t="s">
        <v>3409</v>
      </c>
      <c r="C9" s="17">
        <v>22</v>
      </c>
      <c r="D9" s="18" t="s">
        <v>17</v>
      </c>
      <c r="E9" s="41">
        <v>368</v>
      </c>
      <c r="F9" s="42">
        <v>688.48</v>
      </c>
      <c r="G9" s="34" t="s">
        <v>3499</v>
      </c>
      <c r="H9" s="35">
        <v>1981</v>
      </c>
      <c r="I9" s="36">
        <v>3353</v>
      </c>
      <c r="J9" s="37">
        <v>114</v>
      </c>
      <c r="K9" s="25">
        <f t="shared" si="0"/>
        <v>757.22140200000001</v>
      </c>
      <c r="L9" s="39" t="s">
        <v>3500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>
        <f t="shared" si="0"/>
        <v>0</v>
      </c>
      <c r="L10" s="39"/>
    </row>
    <row r="11" spans="1:12" s="27" customFormat="1" ht="19.5" customHeight="1" x14ac:dyDescent="0.3">
      <c r="A11" s="28" t="s">
        <v>3501</v>
      </c>
      <c r="B11" s="16" t="s">
        <v>3502</v>
      </c>
      <c r="C11" s="17">
        <v>24</v>
      </c>
      <c r="D11" s="18" t="s">
        <v>3503</v>
      </c>
      <c r="E11" s="41">
        <v>9</v>
      </c>
      <c r="F11" s="42">
        <v>28.83</v>
      </c>
      <c r="G11" s="34" t="s">
        <v>3504</v>
      </c>
      <c r="H11" s="35">
        <v>1981</v>
      </c>
      <c r="I11" s="36">
        <v>3048</v>
      </c>
      <c r="J11" s="37">
        <v>5</v>
      </c>
      <c r="K11" s="25">
        <f t="shared" si="0"/>
        <v>30.190440000000006</v>
      </c>
      <c r="L11" s="39" t="s">
        <v>3505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 t="s">
        <v>3501</v>
      </c>
      <c r="B13" s="16" t="s">
        <v>3502</v>
      </c>
      <c r="C13" s="17">
        <v>24</v>
      </c>
      <c r="D13" s="18" t="s">
        <v>3503</v>
      </c>
      <c r="E13" s="41">
        <v>2</v>
      </c>
      <c r="F13" s="42">
        <v>5.74</v>
      </c>
      <c r="G13" s="34" t="s">
        <v>3506</v>
      </c>
      <c r="H13" s="35">
        <v>1981</v>
      </c>
      <c r="I13" s="36">
        <v>3048</v>
      </c>
      <c r="J13" s="37">
        <v>1</v>
      </c>
      <c r="K13" s="25">
        <f t="shared" ref="K13:K24" si="1">(H13/1000*I13/1000)*J13</f>
        <v>6.038088000000001</v>
      </c>
      <c r="L13" s="39" t="s">
        <v>3507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1"/>
        <v>0</v>
      </c>
      <c r="L14" s="39"/>
    </row>
    <row r="15" spans="1:12" s="27" customFormat="1" ht="19.5" customHeight="1" x14ac:dyDescent="0.3">
      <c r="A15" s="28" t="s">
        <v>3508</v>
      </c>
      <c r="B15" s="16" t="s">
        <v>3509</v>
      </c>
      <c r="C15" s="17">
        <v>22</v>
      </c>
      <c r="D15" s="18" t="s">
        <v>3510</v>
      </c>
      <c r="E15" s="41">
        <v>75</v>
      </c>
      <c r="F15" s="42">
        <v>60.05</v>
      </c>
      <c r="G15" s="34" t="s">
        <v>3511</v>
      </c>
      <c r="H15" s="35">
        <v>1981</v>
      </c>
      <c r="I15" s="36">
        <v>3353</v>
      </c>
      <c r="J15" s="37">
        <v>13</v>
      </c>
      <c r="K15" s="25">
        <f t="shared" si="1"/>
        <v>86.349809000000008</v>
      </c>
      <c r="L15" s="39"/>
    </row>
    <row r="16" spans="1:12" s="27" customFormat="1" ht="19.5" customHeight="1" x14ac:dyDescent="0.3">
      <c r="A16" s="28"/>
      <c r="B16" s="16"/>
      <c r="C16" s="17">
        <v>22</v>
      </c>
      <c r="D16" s="18" t="s">
        <v>3510</v>
      </c>
      <c r="E16" s="41">
        <v>20</v>
      </c>
      <c r="F16" s="42">
        <v>19.399999999999999</v>
      </c>
      <c r="G16" s="34" t="s">
        <v>3499</v>
      </c>
      <c r="H16" s="35">
        <v>1981</v>
      </c>
      <c r="I16" s="36">
        <v>3048</v>
      </c>
      <c r="J16" s="37">
        <v>14</v>
      </c>
      <c r="K16" s="25">
        <f t="shared" si="1"/>
        <v>84.533232000000012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>
        <f t="shared" si="1"/>
        <v>0</v>
      </c>
      <c r="L17" s="39"/>
    </row>
    <row r="18" spans="1:12" s="27" customFormat="1" ht="19.5" customHeight="1" x14ac:dyDescent="0.3">
      <c r="A18" s="28" t="s">
        <v>3508</v>
      </c>
      <c r="B18" s="16" t="s">
        <v>3509</v>
      </c>
      <c r="C18" s="17">
        <v>22</v>
      </c>
      <c r="D18" s="18" t="s">
        <v>3512</v>
      </c>
      <c r="E18" s="41">
        <v>75</v>
      </c>
      <c r="F18" s="42">
        <v>60.05</v>
      </c>
      <c r="G18" s="34" t="s">
        <v>3499</v>
      </c>
      <c r="H18" s="35">
        <v>1981</v>
      </c>
      <c r="I18" s="36">
        <v>3048</v>
      </c>
      <c r="J18" s="37">
        <v>11</v>
      </c>
      <c r="K18" s="25">
        <f t="shared" si="1"/>
        <v>66.418968000000007</v>
      </c>
      <c r="L18" s="39" t="s">
        <v>3500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1"/>
        <v>0</v>
      </c>
      <c r="L19" s="39"/>
    </row>
    <row r="20" spans="1:12" s="27" customFormat="1" ht="19.5" customHeight="1" x14ac:dyDescent="0.3">
      <c r="A20" s="28" t="s">
        <v>3513</v>
      </c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1"/>
        <v>0</v>
      </c>
      <c r="L20" s="39"/>
    </row>
    <row r="21" spans="1:12" s="27" customFormat="1" ht="19.5" customHeight="1" x14ac:dyDescent="0.3">
      <c r="A21" s="28" t="s">
        <v>3508</v>
      </c>
      <c r="B21" s="16" t="s">
        <v>2720</v>
      </c>
      <c r="C21" s="17">
        <v>22</v>
      </c>
      <c r="D21" s="18" t="s">
        <v>17</v>
      </c>
      <c r="E21" s="41">
        <v>75</v>
      </c>
      <c r="F21" s="42">
        <v>60.05</v>
      </c>
      <c r="G21" s="34" t="s">
        <v>3535</v>
      </c>
      <c r="H21" s="35">
        <v>1981</v>
      </c>
      <c r="I21" s="36">
        <v>3353</v>
      </c>
      <c r="J21" s="37">
        <v>10</v>
      </c>
      <c r="K21" s="25">
        <f t="shared" si="1"/>
        <v>66.422930000000008</v>
      </c>
      <c r="L21" s="39" t="s">
        <v>3536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1"/>
        <v>0</v>
      </c>
      <c r="L22" s="39"/>
    </row>
    <row r="23" spans="1:12" s="27" customFormat="1" ht="19.5" customHeight="1" x14ac:dyDescent="0.3">
      <c r="A23" s="28" t="s">
        <v>3546</v>
      </c>
      <c r="B23" s="16" t="s">
        <v>2720</v>
      </c>
      <c r="C23" s="17">
        <v>22</v>
      </c>
      <c r="D23" s="18" t="s">
        <v>45</v>
      </c>
      <c r="E23" s="41">
        <v>75</v>
      </c>
      <c r="F23" s="42">
        <v>57.65</v>
      </c>
      <c r="G23" s="34" t="s">
        <v>49</v>
      </c>
      <c r="H23" s="35">
        <v>1829</v>
      </c>
      <c r="I23" s="36">
        <v>3353</v>
      </c>
      <c r="J23" s="37">
        <v>12</v>
      </c>
      <c r="K23" s="25">
        <f t="shared" si="1"/>
        <v>73.591644000000002</v>
      </c>
      <c r="L23" s="39"/>
    </row>
    <row r="24" spans="1:12" s="27" customFormat="1" ht="19.5" customHeight="1" x14ac:dyDescent="0.3">
      <c r="A24" s="28"/>
      <c r="B24" s="16"/>
      <c r="C24" s="17">
        <v>22</v>
      </c>
      <c r="D24" s="18" t="s">
        <v>17</v>
      </c>
      <c r="E24" s="41">
        <v>75</v>
      </c>
      <c r="F24" s="42">
        <v>57.65</v>
      </c>
      <c r="G24" s="34" t="s">
        <v>3535</v>
      </c>
      <c r="H24" s="35">
        <v>1981</v>
      </c>
      <c r="I24" s="36">
        <v>3353</v>
      </c>
      <c r="J24" s="37">
        <v>9</v>
      </c>
      <c r="K24" s="25">
        <f t="shared" si="1"/>
        <v>59.780637000000006</v>
      </c>
      <c r="L24" s="39"/>
    </row>
    <row r="25" spans="1:12" s="27" customFormat="1" ht="19.5" customHeight="1" x14ac:dyDescent="0.3">
      <c r="A25" s="28"/>
      <c r="B25" s="16"/>
      <c r="C25" s="17">
        <v>22</v>
      </c>
      <c r="D25" s="18" t="s">
        <v>45</v>
      </c>
      <c r="E25" s="41">
        <v>20</v>
      </c>
      <c r="F25" s="42">
        <v>16.600000000000001</v>
      </c>
      <c r="G25" s="34" t="s">
        <v>19</v>
      </c>
      <c r="H25" s="35">
        <v>1981</v>
      </c>
      <c r="I25" s="36">
        <v>3353</v>
      </c>
      <c r="J25" s="37">
        <v>13</v>
      </c>
      <c r="K25" s="25">
        <f t="shared" si="0"/>
        <v>86.349809000000008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 t="s">
        <v>19</v>
      </c>
      <c r="H26" s="35">
        <v>1981</v>
      </c>
      <c r="I26" s="36">
        <v>3048</v>
      </c>
      <c r="J26" s="37">
        <v>10</v>
      </c>
      <c r="K26" s="25">
        <f t="shared" si="0"/>
        <v>60.380880000000012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 t="s">
        <v>3537</v>
      </c>
      <c r="B28" s="16" t="s">
        <v>2720</v>
      </c>
      <c r="C28" s="17">
        <v>22</v>
      </c>
      <c r="D28" s="18" t="s">
        <v>17</v>
      </c>
      <c r="E28" s="41">
        <v>75</v>
      </c>
      <c r="F28" s="42">
        <v>57.65</v>
      </c>
      <c r="G28" s="34" t="s">
        <v>19</v>
      </c>
      <c r="H28" s="35">
        <v>1981</v>
      </c>
      <c r="I28" s="36">
        <v>3048</v>
      </c>
      <c r="J28" s="37">
        <v>10</v>
      </c>
      <c r="K28" s="25">
        <f t="shared" si="0"/>
        <v>60.380880000000012</v>
      </c>
      <c r="L28" s="39" t="s">
        <v>106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38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3514</v>
      </c>
      <c r="B40" s="45" t="s">
        <v>3515</v>
      </c>
      <c r="C40" s="46">
        <v>22</v>
      </c>
      <c r="D40" s="47" t="s">
        <v>3512</v>
      </c>
      <c r="E40" s="48">
        <v>64</v>
      </c>
      <c r="F40" s="49">
        <v>48.04</v>
      </c>
      <c r="G40" s="50" t="s">
        <v>3516</v>
      </c>
      <c r="H40" s="51">
        <v>1981</v>
      </c>
      <c r="I40" s="45">
        <v>3353</v>
      </c>
      <c r="J40" s="52">
        <v>8</v>
      </c>
      <c r="K40" s="53">
        <f t="shared" si="0"/>
        <v>53.138344000000004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 t="s">
        <v>3499</v>
      </c>
      <c r="H41" s="51">
        <v>1981</v>
      </c>
      <c r="I41" s="45">
        <v>3353</v>
      </c>
      <c r="J41" s="52">
        <v>8</v>
      </c>
      <c r="K41" s="53">
        <f t="shared" si="0"/>
        <v>53.138344000000004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3517</v>
      </c>
      <c r="B43" s="45" t="s">
        <v>3515</v>
      </c>
      <c r="C43" s="46">
        <v>22</v>
      </c>
      <c r="D43" s="47" t="s">
        <v>3512</v>
      </c>
      <c r="E43" s="48">
        <v>80</v>
      </c>
      <c r="F43" s="49">
        <v>69.36</v>
      </c>
      <c r="G43" s="50" t="s">
        <v>3516</v>
      </c>
      <c r="H43" s="51">
        <v>1981</v>
      </c>
      <c r="I43" s="45">
        <v>3353</v>
      </c>
      <c r="J43" s="52">
        <v>11</v>
      </c>
      <c r="K43" s="53">
        <f t="shared" ref="K43:K55" si="2">(H43/1000*I43/1000)*J43</f>
        <v>73.065223000000003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 t="s">
        <v>3499</v>
      </c>
      <c r="H44" s="51">
        <v>1981</v>
      </c>
      <c r="I44" s="45">
        <v>3353</v>
      </c>
      <c r="J44" s="52">
        <v>11</v>
      </c>
      <c r="K44" s="53">
        <f t="shared" si="2"/>
        <v>73.065223000000003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2"/>
        <v>0</v>
      </c>
      <c r="L45" s="54"/>
    </row>
    <row r="46" spans="1:12" s="55" customFormat="1" ht="19.5" customHeight="1" x14ac:dyDescent="0.3">
      <c r="A46" s="44" t="s">
        <v>3518</v>
      </c>
      <c r="B46" s="45" t="s">
        <v>3519</v>
      </c>
      <c r="C46" s="46">
        <v>24</v>
      </c>
      <c r="D46" s="47" t="s">
        <v>3520</v>
      </c>
      <c r="E46" s="48">
        <v>2</v>
      </c>
      <c r="F46" s="49">
        <v>5.78</v>
      </c>
      <c r="G46" s="50" t="s">
        <v>3521</v>
      </c>
      <c r="H46" s="51">
        <v>2438</v>
      </c>
      <c r="I46" s="45">
        <v>3353</v>
      </c>
      <c r="J46" s="52">
        <v>1</v>
      </c>
      <c r="K46" s="53">
        <f t="shared" si="2"/>
        <v>8.174614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 t="s">
        <v>3516</v>
      </c>
      <c r="H47" s="51">
        <v>1981</v>
      </c>
      <c r="I47" s="45">
        <v>3048</v>
      </c>
      <c r="J47" s="52">
        <v>1</v>
      </c>
      <c r="K47" s="53">
        <f t="shared" si="2"/>
        <v>6.038088000000001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2"/>
        <v>0</v>
      </c>
      <c r="L48" s="54"/>
    </row>
    <row r="49" spans="1:12" s="55" customFormat="1" ht="19.5" customHeight="1" x14ac:dyDescent="0.3">
      <c r="A49" s="44" t="s">
        <v>3522</v>
      </c>
      <c r="B49" s="45" t="s">
        <v>3519</v>
      </c>
      <c r="C49" s="46">
        <v>24</v>
      </c>
      <c r="D49" s="47" t="s">
        <v>3523</v>
      </c>
      <c r="E49" s="48">
        <v>44</v>
      </c>
      <c r="F49" s="49">
        <v>24.87</v>
      </c>
      <c r="G49" s="50" t="s">
        <v>3521</v>
      </c>
      <c r="H49" s="51">
        <v>2438</v>
      </c>
      <c r="I49" s="45">
        <v>3353</v>
      </c>
      <c r="J49" s="52">
        <v>4</v>
      </c>
      <c r="K49" s="53">
        <f t="shared" si="2"/>
        <v>32.698456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 t="s">
        <v>3516</v>
      </c>
      <c r="H50" s="51">
        <v>2438</v>
      </c>
      <c r="I50" s="45">
        <v>3353</v>
      </c>
      <c r="J50" s="52">
        <v>3</v>
      </c>
      <c r="K50" s="53">
        <f t="shared" si="2"/>
        <v>24.523842000000002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2"/>
        <v>0</v>
      </c>
      <c r="L51" s="54"/>
    </row>
    <row r="52" spans="1:12" s="55" customFormat="1" ht="19.5" customHeight="1" x14ac:dyDescent="0.3">
      <c r="A52" s="44" t="s">
        <v>3524</v>
      </c>
      <c r="B52" s="45" t="s">
        <v>3525</v>
      </c>
      <c r="C52" s="46">
        <v>43</v>
      </c>
      <c r="D52" s="47" t="s">
        <v>3526</v>
      </c>
      <c r="E52" s="48">
        <v>2</v>
      </c>
      <c r="F52" s="49">
        <f>4.5+3.47</f>
        <v>7.9700000000000006</v>
      </c>
      <c r="G52" s="50" t="s">
        <v>3527</v>
      </c>
      <c r="H52" s="51">
        <v>2134</v>
      </c>
      <c r="I52" s="45">
        <v>3048</v>
      </c>
      <c r="J52" s="52">
        <v>2</v>
      </c>
      <c r="K52" s="53">
        <f t="shared" si="2"/>
        <v>13.008863999999999</v>
      </c>
      <c r="L52" s="54" t="s">
        <v>3528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 t="s">
        <v>3516</v>
      </c>
      <c r="H53" s="51">
        <v>1981</v>
      </c>
      <c r="I53" s="45">
        <v>3353</v>
      </c>
      <c r="J53" s="52">
        <v>2</v>
      </c>
      <c r="K53" s="53">
        <f t="shared" si="2"/>
        <v>13.284586000000001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2"/>
        <v>0</v>
      </c>
      <c r="L54" s="54"/>
    </row>
    <row r="55" spans="1:12" s="55" customFormat="1" ht="19.5" customHeight="1" x14ac:dyDescent="0.3">
      <c r="A55" s="44" t="s">
        <v>3529</v>
      </c>
      <c r="B55" s="45" t="s">
        <v>3519</v>
      </c>
      <c r="C55" s="46">
        <v>39</v>
      </c>
      <c r="D55" s="47" t="s">
        <v>3530</v>
      </c>
      <c r="E55" s="48">
        <v>55</v>
      </c>
      <c r="F55" s="49">
        <v>63.11</v>
      </c>
      <c r="G55" s="50" t="s">
        <v>3516</v>
      </c>
      <c r="H55" s="51">
        <v>1981</v>
      </c>
      <c r="I55" s="45">
        <v>3353</v>
      </c>
      <c r="J55" s="52">
        <v>11</v>
      </c>
      <c r="K55" s="53">
        <f t="shared" si="2"/>
        <v>73.065223000000003</v>
      </c>
      <c r="L55" s="54" t="s">
        <v>3531</v>
      </c>
    </row>
    <row r="56" spans="1:12" s="55" customFormat="1" ht="19.5" customHeight="1" x14ac:dyDescent="0.3">
      <c r="A56" s="44"/>
      <c r="B56" s="76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3532</v>
      </c>
      <c r="B57" s="45" t="s">
        <v>3519</v>
      </c>
      <c r="C57" s="46">
        <v>39</v>
      </c>
      <c r="D57" s="47" t="s">
        <v>3530</v>
      </c>
      <c r="E57" s="48">
        <v>89</v>
      </c>
      <c r="F57" s="49">
        <v>107.81</v>
      </c>
      <c r="G57" s="50" t="s">
        <v>3516</v>
      </c>
      <c r="H57" s="51">
        <v>1981</v>
      </c>
      <c r="I57" s="45">
        <v>3353</v>
      </c>
      <c r="J57" s="52">
        <v>18</v>
      </c>
      <c r="K57" s="53">
        <f t="shared" si="0"/>
        <v>119.56127400000001</v>
      </c>
      <c r="L57" s="54" t="s">
        <v>3531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3533</v>
      </c>
      <c r="B59" s="45" t="s">
        <v>3515</v>
      </c>
      <c r="C59" s="46">
        <v>22</v>
      </c>
      <c r="D59" s="47" t="s">
        <v>3512</v>
      </c>
      <c r="E59" s="48">
        <v>216</v>
      </c>
      <c r="F59" s="49">
        <v>177.36</v>
      </c>
      <c r="G59" s="50" t="s">
        <v>3516</v>
      </c>
      <c r="H59" s="51">
        <v>1981</v>
      </c>
      <c r="I59" s="45">
        <v>3353</v>
      </c>
      <c r="J59" s="52">
        <v>30</v>
      </c>
      <c r="K59" s="53">
        <f t="shared" si="0"/>
        <v>199.26879000000002</v>
      </c>
      <c r="L59" s="54" t="s">
        <v>3534</v>
      </c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3513</v>
      </c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3538</v>
      </c>
      <c r="B62" s="45" t="s">
        <v>3539</v>
      </c>
      <c r="C62" s="46">
        <v>22</v>
      </c>
      <c r="D62" s="47" t="s">
        <v>17</v>
      </c>
      <c r="E62" s="48">
        <v>216</v>
      </c>
      <c r="F62" s="49">
        <v>177.36</v>
      </c>
      <c r="G62" s="50" t="s">
        <v>19</v>
      </c>
      <c r="H62" s="51">
        <v>1981</v>
      </c>
      <c r="I62" s="45">
        <v>3353</v>
      </c>
      <c r="J62" s="52">
        <v>30</v>
      </c>
      <c r="K62" s="53">
        <f t="shared" si="0"/>
        <v>199.26879000000002</v>
      </c>
      <c r="L62" s="54" t="s">
        <v>3540</v>
      </c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3541</v>
      </c>
      <c r="B64" s="45" t="s">
        <v>3542</v>
      </c>
      <c r="C64" s="46">
        <v>28</v>
      </c>
      <c r="D64" s="47" t="s">
        <v>3543</v>
      </c>
      <c r="E64" s="48">
        <v>76</v>
      </c>
      <c r="F64" s="49">
        <v>113.14</v>
      </c>
      <c r="G64" s="50" t="s">
        <v>3545</v>
      </c>
      <c r="H64" s="51">
        <v>1829</v>
      </c>
      <c r="I64" s="45">
        <v>3353</v>
      </c>
      <c r="J64" s="52">
        <v>50</v>
      </c>
      <c r="K64" s="53">
        <f t="shared" si="0"/>
        <v>306.63184999999999</v>
      </c>
      <c r="L64" s="54" t="s">
        <v>100</v>
      </c>
    </row>
    <row r="65" spans="1:12" s="55" customFormat="1" ht="19.5" customHeight="1" x14ac:dyDescent="0.3">
      <c r="A65" s="44"/>
      <c r="B65" s="45"/>
      <c r="C65" s="46">
        <v>28</v>
      </c>
      <c r="D65" s="47" t="s">
        <v>3544</v>
      </c>
      <c r="E65" s="48">
        <v>74</v>
      </c>
      <c r="F65" s="49">
        <v>48.82</v>
      </c>
      <c r="G65" s="50"/>
      <c r="H65" s="51"/>
      <c r="I65" s="45"/>
      <c r="J65" s="52"/>
      <c r="K65" s="53">
        <f t="shared" si="0"/>
        <v>0</v>
      </c>
      <c r="L65" s="54" t="s">
        <v>100</v>
      </c>
    </row>
    <row r="66" spans="1:12" s="55" customFormat="1" ht="19.5" customHeight="1" x14ac:dyDescent="0.3">
      <c r="A66" s="44"/>
      <c r="B66" s="45"/>
      <c r="C66" s="46">
        <v>28</v>
      </c>
      <c r="D66" s="47" t="s">
        <v>3543</v>
      </c>
      <c r="E66" s="48">
        <v>51</v>
      </c>
      <c r="F66" s="49">
        <v>130.5</v>
      </c>
      <c r="G66" s="50"/>
      <c r="H66" s="51"/>
      <c r="I66" s="45"/>
      <c r="J66" s="52"/>
      <c r="K66" s="53">
        <f t="shared" si="0"/>
        <v>0</v>
      </c>
      <c r="L66" s="54" t="s">
        <v>100</v>
      </c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76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76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9" customFormat="1" ht="20.100000000000001" customHeight="1" x14ac:dyDescent="0.3">
      <c r="A71" s="44"/>
      <c r="B71" s="45"/>
      <c r="C71" s="46"/>
      <c r="D71" s="47"/>
      <c r="E71" s="56"/>
      <c r="F71" s="57"/>
      <c r="G71" s="50"/>
      <c r="H71" s="51"/>
      <c r="I71" s="45"/>
      <c r="J71" s="52"/>
      <c r="K71" s="53">
        <f t="shared" si="0"/>
        <v>0</v>
      </c>
      <c r="L71" s="58">
        <f>SUM(J39:J72)</f>
        <v>190</v>
      </c>
    </row>
    <row r="72" spans="1:12" s="59" customFormat="1" ht="20.100000000000001" customHeight="1" x14ac:dyDescent="0.3">
      <c r="A72" s="44"/>
      <c r="B72" s="45"/>
      <c r="C72" s="46"/>
      <c r="D72" s="47"/>
      <c r="E72" s="60"/>
      <c r="F72" s="61"/>
      <c r="G72" s="62"/>
      <c r="H72" s="51"/>
      <c r="I72" s="45"/>
      <c r="J72" s="63"/>
      <c r="K72" s="53">
        <f t="shared" si="0"/>
        <v>0</v>
      </c>
      <c r="L72" s="64">
        <f>SUM(K39:K72)</f>
        <v>1247.9315110000002</v>
      </c>
    </row>
    <row r="73" spans="1:12" s="59" customFormat="1" ht="20.100000000000001" customHeight="1" thickBot="1" x14ac:dyDescent="0.35">
      <c r="A73" s="114"/>
      <c r="B73" s="115"/>
      <c r="C73" s="115"/>
      <c r="D73" s="115"/>
      <c r="E73" s="115"/>
      <c r="F73" s="115"/>
      <c r="G73" s="115"/>
      <c r="H73" s="115"/>
      <c r="I73" s="115"/>
      <c r="J73" s="65">
        <f>SUM(J7:J72)</f>
        <v>412</v>
      </c>
      <c r="K73" s="66">
        <f>SUM(K7:K72)</f>
        <v>2685.5902299999998</v>
      </c>
      <c r="L73" s="67"/>
    </row>
    <row r="74" spans="1:12" s="59" customFormat="1" ht="20.100000000000001" customHeight="1" thickTop="1" thickBot="1" x14ac:dyDescent="0.35">
      <c r="A74" s="116" t="s">
        <v>52</v>
      </c>
      <c r="B74" s="117"/>
      <c r="C74" s="68"/>
      <c r="D74" s="118">
        <f>J73</f>
        <v>412</v>
      </c>
      <c r="E74" s="119"/>
      <c r="F74" s="119"/>
      <c r="G74" s="120"/>
      <c r="H74" s="121"/>
      <c r="I74" s="121"/>
      <c r="J74" s="122"/>
      <c r="K74" s="119"/>
      <c r="L74" s="123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71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72"/>
      <c r="F80" s="5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5"/>
      <c r="G81" s="73"/>
      <c r="H81" s="5"/>
      <c r="I81" s="74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70"/>
      <c r="G85" s="5"/>
      <c r="H85" s="72"/>
      <c r="I85" s="72"/>
      <c r="J85" s="5"/>
      <c r="K85" s="5"/>
      <c r="L85" s="5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A89" s="113"/>
      <c r="B89" s="113"/>
      <c r="H89" s="72"/>
      <c r="I89" s="72"/>
    </row>
    <row r="90" spans="1:12" ht="20.100000000000001" customHeight="1" x14ac:dyDescent="0.3">
      <c r="A90" s="113"/>
      <c r="B90" s="113"/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H93" s="72"/>
      <c r="I93" s="72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5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5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5" customFormat="1" ht="19.5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2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ht="19.5" customHeight="1" x14ac:dyDescent="0.3"/>
    <row r="102" spans="1:12" ht="19.5" customHeight="1" x14ac:dyDescent="0.3"/>
    <row r="103" spans="1:12" ht="19.5" customHeight="1" x14ac:dyDescent="0.3"/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>
        <v>2</v>
      </c>
      <c r="C164" s="5"/>
      <c r="D164" s="5"/>
      <c r="E164" s="5"/>
      <c r="F164" s="70"/>
      <c r="G164" s="5"/>
      <c r="H164" s="5"/>
      <c r="I164" s="5"/>
      <c r="J164" s="5"/>
      <c r="K164" s="5"/>
      <c r="L164" s="5"/>
    </row>
  </sheetData>
  <mergeCells count="30">
    <mergeCell ref="A89:B89"/>
    <mergeCell ref="A90:B90"/>
    <mergeCell ref="A80:B80"/>
    <mergeCell ref="A81:B81"/>
    <mergeCell ref="A82:B82"/>
    <mergeCell ref="A84:B84"/>
    <mergeCell ref="A85:B85"/>
    <mergeCell ref="A86:B86"/>
    <mergeCell ref="A79:B7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3:I73"/>
    <mergeCell ref="A74:B74"/>
    <mergeCell ref="D74:G74"/>
    <mergeCell ref="H74:J74"/>
    <mergeCell ref="K74:L74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L141"/>
  <sheetViews>
    <sheetView view="pageBreakPreview" topLeftCell="F37" zoomScale="85" zoomScaleSheetLayoutView="85" workbookViewId="0">
      <selection activeCell="L48" sqref="L48:L4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46147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49" si="0">(H7/1000*I7/1000)*J7</f>
        <v>0</v>
      </c>
      <c r="L7" s="26">
        <f>SUM(J7:J27)</f>
        <v>211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SUM(K7:K27)</f>
        <v>1373.6361489999999</v>
      </c>
    </row>
    <row r="9" spans="1:12" s="27" customFormat="1" ht="19.5" customHeight="1" x14ac:dyDescent="0.3">
      <c r="A9" s="28" t="s">
        <v>3479</v>
      </c>
      <c r="B9" s="16" t="s">
        <v>3480</v>
      </c>
      <c r="C9" s="17">
        <v>24</v>
      </c>
      <c r="D9" s="18" t="s">
        <v>3481</v>
      </c>
      <c r="E9" s="41">
        <v>2</v>
      </c>
      <c r="F9" s="42">
        <v>1.04</v>
      </c>
      <c r="G9" s="34" t="s">
        <v>3482</v>
      </c>
      <c r="H9" s="35">
        <v>2134</v>
      </c>
      <c r="I9" s="36">
        <v>3048</v>
      </c>
      <c r="J9" s="37">
        <v>1</v>
      </c>
      <c r="K9" s="25">
        <f t="shared" si="0"/>
        <v>6.5044319999999995</v>
      </c>
      <c r="L9" s="39" t="s">
        <v>3484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3493</v>
      </c>
      <c r="H10" s="35"/>
      <c r="I10" s="36"/>
      <c r="J10" s="37"/>
      <c r="K10" s="25">
        <f t="shared" si="0"/>
        <v>0</v>
      </c>
      <c r="L10" s="39" t="s">
        <v>3494</v>
      </c>
    </row>
    <row r="11" spans="1:12" s="27" customFormat="1" ht="19.5" customHeight="1" x14ac:dyDescent="0.3">
      <c r="A11" s="28"/>
      <c r="B11" s="16"/>
      <c r="C11" s="17"/>
      <c r="D11" s="18" t="s">
        <v>320</v>
      </c>
      <c r="E11" s="41">
        <v>4</v>
      </c>
      <c r="F11" s="42">
        <v>6.4</v>
      </c>
      <c r="G11" s="34" t="s">
        <v>3483</v>
      </c>
      <c r="H11" s="35">
        <v>2590</v>
      </c>
      <c r="I11" s="36">
        <v>3048</v>
      </c>
      <c r="J11" s="37">
        <v>1</v>
      </c>
      <c r="K11" s="25">
        <f t="shared" si="0"/>
        <v>7.8943199999999996</v>
      </c>
      <c r="L11" s="39" t="s">
        <v>3485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 t="s">
        <v>3486</v>
      </c>
      <c r="B13" s="16" t="s">
        <v>3487</v>
      </c>
      <c r="C13" s="17">
        <v>22</v>
      </c>
      <c r="D13" s="18" t="s">
        <v>3488</v>
      </c>
      <c r="E13" s="41">
        <v>328</v>
      </c>
      <c r="F13" s="42">
        <v>566.48</v>
      </c>
      <c r="G13" s="34" t="s">
        <v>3482</v>
      </c>
      <c r="H13" s="35">
        <v>1981</v>
      </c>
      <c r="I13" s="36">
        <v>3353</v>
      </c>
      <c r="J13" s="37">
        <v>71</v>
      </c>
      <c r="K13" s="25">
        <f t="shared" si="0"/>
        <v>471.60280300000005</v>
      </c>
      <c r="L13" s="39" t="s">
        <v>3498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3482</v>
      </c>
      <c r="H14" s="35">
        <v>1981</v>
      </c>
      <c r="I14" s="36">
        <v>3048</v>
      </c>
      <c r="J14" s="37">
        <v>24</v>
      </c>
      <c r="K14" s="25">
        <f t="shared" si="0"/>
        <v>144.91411200000002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25">
        <f t="shared" ref="K15" si="1">(H15/1000*I15/1000)*J15</f>
        <v>0</v>
      </c>
      <c r="L15" s="39"/>
    </row>
    <row r="16" spans="1:12" s="27" customFormat="1" ht="19.5" customHeight="1" x14ac:dyDescent="0.3">
      <c r="A16" s="28" t="s">
        <v>3489</v>
      </c>
      <c r="B16" s="16" t="s">
        <v>3409</v>
      </c>
      <c r="C16" s="17">
        <v>22</v>
      </c>
      <c r="D16" s="18" t="s">
        <v>3410</v>
      </c>
      <c r="E16" s="41">
        <v>368</v>
      </c>
      <c r="F16" s="42">
        <v>688.48</v>
      </c>
      <c r="G16" s="34" t="s">
        <v>90</v>
      </c>
      <c r="H16" s="35">
        <v>1981</v>
      </c>
      <c r="I16" s="36">
        <v>3353</v>
      </c>
      <c r="J16" s="37">
        <v>90</v>
      </c>
      <c r="K16" s="25">
        <f t="shared" ref="K16:K24" si="2">(H16/1000*I16/1000)*J16</f>
        <v>597.80637000000002</v>
      </c>
      <c r="L16" s="39" t="s">
        <v>545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 t="s">
        <v>90</v>
      </c>
      <c r="H17" s="35">
        <v>1981</v>
      </c>
      <c r="I17" s="36">
        <v>3048</v>
      </c>
      <c r="J17" s="37">
        <v>24</v>
      </c>
      <c r="K17" s="25">
        <f t="shared" si="2"/>
        <v>144.91411200000002</v>
      </c>
      <c r="L17" s="39" t="s">
        <v>545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2"/>
        <v>0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2"/>
        <v>0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2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2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2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2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2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29"/>
      <c r="C27" s="30"/>
      <c r="D27" s="31"/>
      <c r="E27" s="41"/>
      <c r="F27" s="42"/>
      <c r="G27" s="43"/>
      <c r="H27" s="35"/>
      <c r="I27" s="36"/>
      <c r="J27" s="37"/>
      <c r="K27" s="38">
        <f t="shared" si="0"/>
        <v>0</v>
      </c>
      <c r="L27" s="39"/>
    </row>
    <row r="28" spans="1:12" s="55" customFormat="1" ht="19.5" customHeight="1" x14ac:dyDescent="0.3">
      <c r="A28" s="44"/>
      <c r="B28" s="45"/>
      <c r="C28" s="46"/>
      <c r="D28" s="47"/>
      <c r="E28" s="48"/>
      <c r="F28" s="49"/>
      <c r="G28" s="50"/>
      <c r="H28" s="51"/>
      <c r="I28" s="45"/>
      <c r="J28" s="52"/>
      <c r="K28" s="53">
        <f t="shared" si="0"/>
        <v>0</v>
      </c>
      <c r="L28" s="54"/>
    </row>
    <row r="29" spans="1:12" s="55" customFormat="1" ht="19.5" customHeight="1" x14ac:dyDescent="0.3">
      <c r="A29" s="44" t="s">
        <v>3490</v>
      </c>
      <c r="B29" s="45" t="s">
        <v>3491</v>
      </c>
      <c r="C29" s="46">
        <v>22</v>
      </c>
      <c r="D29" s="47" t="s">
        <v>369</v>
      </c>
      <c r="E29" s="48">
        <v>84</v>
      </c>
      <c r="F29" s="49">
        <v>76.16</v>
      </c>
      <c r="G29" s="50" t="s">
        <v>90</v>
      </c>
      <c r="H29" s="51">
        <v>1981</v>
      </c>
      <c r="I29" s="45">
        <v>3353</v>
      </c>
      <c r="J29" s="52">
        <v>13</v>
      </c>
      <c r="K29" s="53">
        <f t="shared" si="0"/>
        <v>86.349809000000008</v>
      </c>
      <c r="L29" s="54"/>
    </row>
    <row r="30" spans="1:12" s="55" customFormat="1" ht="19.5" customHeight="1" x14ac:dyDescent="0.3">
      <c r="A30" s="44"/>
      <c r="B30" s="45"/>
      <c r="C30" s="46"/>
      <c r="D30" s="47"/>
      <c r="E30" s="48"/>
      <c r="F30" s="49"/>
      <c r="G30" s="50" t="s">
        <v>3492</v>
      </c>
      <c r="H30" s="51">
        <v>1981</v>
      </c>
      <c r="I30" s="45">
        <v>3353</v>
      </c>
      <c r="J30" s="52">
        <v>13</v>
      </c>
      <c r="K30" s="53">
        <f t="shared" si="0"/>
        <v>86.349809000000008</v>
      </c>
      <c r="L30" s="54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3448</v>
      </c>
      <c r="B32" s="45" t="s">
        <v>3449</v>
      </c>
      <c r="C32" s="46">
        <v>22</v>
      </c>
      <c r="D32" s="47" t="s">
        <v>3450</v>
      </c>
      <c r="E32" s="48">
        <v>312</v>
      </c>
      <c r="F32" s="49">
        <v>461.76</v>
      </c>
      <c r="G32" s="50" t="s">
        <v>3451</v>
      </c>
      <c r="H32" s="51">
        <v>2286</v>
      </c>
      <c r="I32" s="45">
        <v>3048</v>
      </c>
      <c r="J32" s="52">
        <v>79</v>
      </c>
      <c r="K32" s="53">
        <f t="shared" si="0"/>
        <v>550.450512</v>
      </c>
      <c r="L32" s="54"/>
    </row>
    <row r="33" spans="1:12" s="55" customFormat="1" ht="19.5" customHeight="1" x14ac:dyDescent="0.3">
      <c r="A33" s="44"/>
      <c r="B33" s="76"/>
      <c r="C33" s="46"/>
      <c r="D33" s="47"/>
      <c r="E33" s="48"/>
      <c r="F33" s="49"/>
      <c r="G33" s="50" t="s">
        <v>3477</v>
      </c>
      <c r="H33" s="51">
        <v>2286</v>
      </c>
      <c r="I33" s="45">
        <v>3048</v>
      </c>
      <c r="J33" s="52">
        <v>78</v>
      </c>
      <c r="K33" s="53">
        <f t="shared" si="0"/>
        <v>543.48278400000004</v>
      </c>
      <c r="L33" s="54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/>
      <c r="B45" s="76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76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9" customFormat="1" ht="20.100000000000001" customHeight="1" x14ac:dyDescent="0.3">
      <c r="A48" s="44"/>
      <c r="B48" s="45"/>
      <c r="C48" s="46"/>
      <c r="D48" s="47"/>
      <c r="E48" s="56"/>
      <c r="F48" s="57"/>
      <c r="G48" s="50"/>
      <c r="H48" s="51"/>
      <c r="I48" s="45"/>
      <c r="J48" s="52"/>
      <c r="K48" s="53">
        <f t="shared" si="0"/>
        <v>0</v>
      </c>
      <c r="L48" s="58">
        <f>SUM(J28:J49)</f>
        <v>183</v>
      </c>
    </row>
    <row r="49" spans="1:12" s="59" customFormat="1" ht="20.100000000000001" customHeight="1" x14ac:dyDescent="0.3">
      <c r="A49" s="44"/>
      <c r="B49" s="45"/>
      <c r="C49" s="46"/>
      <c r="D49" s="47"/>
      <c r="E49" s="60"/>
      <c r="F49" s="61"/>
      <c r="G49" s="62"/>
      <c r="H49" s="51"/>
      <c r="I49" s="45"/>
      <c r="J49" s="63"/>
      <c r="K49" s="53">
        <f t="shared" si="0"/>
        <v>0</v>
      </c>
      <c r="L49" s="64">
        <f>SUM(K28:K49)</f>
        <v>1266.632914</v>
      </c>
    </row>
    <row r="50" spans="1:12" s="59" customFormat="1" ht="20.100000000000001" customHeight="1" thickBot="1" x14ac:dyDescent="0.35">
      <c r="A50" s="114"/>
      <c r="B50" s="115"/>
      <c r="C50" s="115"/>
      <c r="D50" s="115"/>
      <c r="E50" s="115"/>
      <c r="F50" s="115"/>
      <c r="G50" s="115"/>
      <c r="H50" s="115"/>
      <c r="I50" s="115"/>
      <c r="J50" s="65">
        <f>SUM(J7:J49)</f>
        <v>394</v>
      </c>
      <c r="K50" s="66">
        <f>SUM(K7:K49)</f>
        <v>2640.2690629999997</v>
      </c>
      <c r="L50" s="67"/>
    </row>
    <row r="51" spans="1:12" s="59" customFormat="1" ht="20.100000000000001" customHeight="1" thickTop="1" thickBot="1" x14ac:dyDescent="0.35">
      <c r="A51" s="116" t="s">
        <v>52</v>
      </c>
      <c r="B51" s="117"/>
      <c r="C51" s="68"/>
      <c r="D51" s="118">
        <f>J50</f>
        <v>394</v>
      </c>
      <c r="E51" s="119"/>
      <c r="F51" s="119"/>
      <c r="G51" s="120"/>
      <c r="H51" s="121"/>
      <c r="I51" s="121"/>
      <c r="J51" s="122"/>
      <c r="K51" s="119"/>
      <c r="L51" s="123"/>
    </row>
    <row r="52" spans="1:12" s="59" customFormat="1" ht="20.100000000000001" customHeight="1" x14ac:dyDescent="0.3">
      <c r="A52" s="69"/>
      <c r="B52" s="5"/>
      <c r="C52" s="5"/>
      <c r="D52" s="5"/>
      <c r="E52" s="5"/>
      <c r="F52" s="70"/>
      <c r="G52" s="5"/>
      <c r="H52" s="5"/>
      <c r="I52" s="5"/>
      <c r="J52" s="5"/>
      <c r="K52" s="5"/>
      <c r="L52" s="71"/>
    </row>
    <row r="53" spans="1:12" s="59" customFormat="1" ht="20.100000000000001" customHeight="1" x14ac:dyDescent="0.3">
      <c r="A53" s="69"/>
      <c r="B53" s="5"/>
      <c r="C53" s="5"/>
      <c r="D53" s="5"/>
      <c r="E53" s="5"/>
      <c r="F53" s="70"/>
      <c r="G53" s="5"/>
      <c r="H53" s="5"/>
      <c r="I53" s="5"/>
      <c r="J53" s="5"/>
      <c r="K53" s="5"/>
      <c r="L53" s="5"/>
    </row>
    <row r="54" spans="1:12" s="59" customFormat="1" ht="20.100000000000001" customHeight="1" x14ac:dyDescent="0.3">
      <c r="A54" s="69"/>
      <c r="B54" s="5"/>
      <c r="C54" s="5"/>
      <c r="D54" s="5"/>
      <c r="E54" s="5"/>
      <c r="F54" s="70"/>
      <c r="G54" s="5"/>
      <c r="H54" s="5"/>
      <c r="I54" s="5"/>
      <c r="J54" s="5"/>
      <c r="K54" s="5"/>
      <c r="L54" s="5"/>
    </row>
    <row r="55" spans="1:12" s="59" customFormat="1" ht="20.100000000000001" customHeight="1" x14ac:dyDescent="0.3">
      <c r="A55" s="69"/>
      <c r="B55" s="5"/>
      <c r="C55" s="5"/>
      <c r="D55" s="5"/>
      <c r="E55" s="5"/>
      <c r="F55" s="70"/>
      <c r="G55" s="5"/>
      <c r="H55" s="5"/>
      <c r="I55" s="5"/>
      <c r="J55" s="5"/>
      <c r="K55" s="5"/>
      <c r="L55" s="5"/>
    </row>
    <row r="56" spans="1:12" s="59" customFormat="1" ht="20.100000000000001" customHeight="1" x14ac:dyDescent="0.3">
      <c r="A56" s="113"/>
      <c r="B56" s="113"/>
      <c r="C56" s="5"/>
      <c r="D56" s="5"/>
      <c r="E56" s="5"/>
      <c r="F56" s="70"/>
      <c r="G56" s="5"/>
      <c r="H56" s="5"/>
      <c r="I56" s="5"/>
      <c r="J56" s="5"/>
      <c r="K56" s="5"/>
      <c r="L56" s="5"/>
    </row>
    <row r="57" spans="1:12" s="59" customFormat="1" ht="20.100000000000001" customHeight="1" x14ac:dyDescent="0.3">
      <c r="A57" s="113"/>
      <c r="B57" s="113"/>
      <c r="C57" s="5"/>
      <c r="D57" s="5"/>
      <c r="E57" s="72"/>
      <c r="F57" s="5"/>
      <c r="G57" s="5"/>
      <c r="H57" s="5"/>
      <c r="I57" s="5"/>
      <c r="J57" s="5"/>
      <c r="K57" s="5"/>
      <c r="L57" s="5"/>
    </row>
    <row r="58" spans="1:12" s="59" customFormat="1" ht="20.100000000000001" customHeight="1" x14ac:dyDescent="0.3">
      <c r="A58" s="113"/>
      <c r="B58" s="113"/>
      <c r="C58" s="5"/>
      <c r="D58" s="5"/>
      <c r="E58" s="5"/>
      <c r="F58" s="5"/>
      <c r="G58" s="73"/>
      <c r="H58" s="5"/>
      <c r="I58" s="74"/>
      <c r="J58" s="5"/>
      <c r="K58" s="5"/>
      <c r="L58" s="5"/>
    </row>
    <row r="59" spans="1:12" s="59" customFormat="1" ht="20.100000000000001" customHeight="1" x14ac:dyDescent="0.3">
      <c r="A59" s="113"/>
      <c r="B59" s="113"/>
      <c r="C59" s="5"/>
      <c r="D59" s="5"/>
      <c r="E59" s="5"/>
      <c r="F59" s="70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113"/>
      <c r="B62" s="113"/>
      <c r="C62" s="5"/>
      <c r="D62" s="5"/>
      <c r="E62" s="5"/>
      <c r="F62" s="70"/>
      <c r="G62" s="5"/>
      <c r="H62" s="72"/>
      <c r="I62" s="72"/>
      <c r="J62" s="5"/>
      <c r="K62" s="5"/>
      <c r="L62" s="5"/>
    </row>
    <row r="63" spans="1:12" ht="20.100000000000001" customHeight="1" x14ac:dyDescent="0.3">
      <c r="A63" s="113"/>
      <c r="B63" s="113"/>
      <c r="H63" s="72"/>
      <c r="I63" s="72"/>
    </row>
    <row r="64" spans="1:12" ht="20.100000000000001" customHeight="1" x14ac:dyDescent="0.3">
      <c r="H64" s="72"/>
      <c r="I64" s="72"/>
    </row>
    <row r="65" spans="1:12" ht="20.100000000000001" customHeight="1" x14ac:dyDescent="0.3">
      <c r="H65" s="72"/>
      <c r="I65" s="72"/>
    </row>
    <row r="66" spans="1:12" ht="20.100000000000001" customHeight="1" x14ac:dyDescent="0.3">
      <c r="A66" s="113"/>
      <c r="B66" s="113"/>
      <c r="H66" s="72"/>
      <c r="I66" s="72"/>
    </row>
    <row r="67" spans="1:12" ht="20.100000000000001" customHeight="1" x14ac:dyDescent="0.3">
      <c r="A67" s="113"/>
      <c r="B67" s="113"/>
      <c r="H67" s="72"/>
      <c r="I67" s="72"/>
    </row>
    <row r="68" spans="1:12" ht="20.100000000000001" customHeight="1" x14ac:dyDescent="0.3">
      <c r="H68" s="72"/>
      <c r="I68" s="72"/>
    </row>
    <row r="69" spans="1:12" ht="20.100000000000001" customHeight="1" x14ac:dyDescent="0.3">
      <c r="H69" s="72"/>
      <c r="I69" s="72"/>
    </row>
    <row r="70" spans="1:12" ht="20.100000000000001" customHeight="1" x14ac:dyDescent="0.3">
      <c r="H70" s="72"/>
      <c r="I70" s="72"/>
    </row>
    <row r="71" spans="1:12" s="72" customFormat="1" ht="20.100000000000001" customHeight="1" x14ac:dyDescent="0.3">
      <c r="A71" s="69"/>
      <c r="B71" s="5"/>
      <c r="C71" s="5"/>
      <c r="D71" s="5"/>
      <c r="E71" s="5"/>
      <c r="F71" s="70"/>
      <c r="G71" s="5"/>
      <c r="J71" s="5"/>
      <c r="K71" s="5"/>
      <c r="L71" s="5"/>
    </row>
    <row r="72" spans="1:12" s="72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75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75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75" customFormat="1" ht="19.5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72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72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ht="19.5" customHeight="1" x14ac:dyDescent="0.3"/>
    <row r="79" spans="1:12" ht="19.5" customHeight="1" x14ac:dyDescent="0.3"/>
    <row r="80" spans="1:12" ht="19.5" customHeight="1" x14ac:dyDescent="0.3"/>
    <row r="81" spans="2:12" s="69" customFormat="1" ht="19.5" customHeight="1" x14ac:dyDescent="0.3"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2:12" s="69" customFormat="1" ht="19.5" customHeight="1" x14ac:dyDescent="0.3"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2:12" s="69" customFormat="1" ht="19.5" customHeight="1" x14ac:dyDescent="0.3"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2:12" s="69" customFormat="1" ht="19.5" customHeight="1" x14ac:dyDescent="0.3"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2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2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2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2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2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2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2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2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2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2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2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2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ht="19.5" customHeight="1" x14ac:dyDescent="0.3"/>
    <row r="98" spans="2:12" ht="19.5" customHeight="1" x14ac:dyDescent="0.3"/>
    <row r="99" spans="2:12" ht="19.5" customHeight="1" x14ac:dyDescent="0.3"/>
    <row r="100" spans="2:12" ht="19.5" customHeight="1" x14ac:dyDescent="0.3"/>
    <row r="101" spans="2:12" ht="19.5" customHeight="1" x14ac:dyDescent="0.3"/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>
        <v>2</v>
      </c>
      <c r="C141" s="5"/>
      <c r="D141" s="5"/>
      <c r="E141" s="5"/>
      <c r="F141" s="70"/>
      <c r="G141" s="5"/>
      <c r="H141" s="5"/>
      <c r="I141" s="5"/>
      <c r="J141" s="5"/>
      <c r="K141" s="5"/>
      <c r="L141" s="5"/>
    </row>
  </sheetData>
  <mergeCells count="30">
    <mergeCell ref="A66:B66"/>
    <mergeCell ref="A67:B67"/>
    <mergeCell ref="A57:B57"/>
    <mergeCell ref="A58:B58"/>
    <mergeCell ref="A59:B59"/>
    <mergeCell ref="A61:B61"/>
    <mergeCell ref="A62:B62"/>
    <mergeCell ref="A63:B63"/>
    <mergeCell ref="A56:B5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0:I50"/>
    <mergeCell ref="A51:B51"/>
    <mergeCell ref="D51:G51"/>
    <mergeCell ref="H51:J51"/>
    <mergeCell ref="K51:L51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L174"/>
  <sheetViews>
    <sheetView view="pageBreakPreview" topLeftCell="F61" zoomScale="85" zoomScaleSheetLayoutView="85" workbookViewId="0">
      <selection activeCell="L81" sqref="L81:L82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46146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2" si="0">(H7/1000*I7/1000)*J7</f>
        <v>0</v>
      </c>
      <c r="L7" s="26">
        <f>SUM(J7:J50)</f>
        <v>205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SUM(K7:K50)</f>
        <v>1387.491685</v>
      </c>
    </row>
    <row r="9" spans="1:12" s="27" customFormat="1" ht="19.5" customHeight="1" x14ac:dyDescent="0.3">
      <c r="A9" s="28" t="s">
        <v>3408</v>
      </c>
      <c r="B9" s="16" t="s">
        <v>3409</v>
      </c>
      <c r="C9" s="17">
        <v>22</v>
      </c>
      <c r="D9" s="18" t="s">
        <v>3410</v>
      </c>
      <c r="E9" s="41">
        <v>88</v>
      </c>
      <c r="F9" s="42">
        <v>268.39999999999998</v>
      </c>
      <c r="G9" s="34" t="s">
        <v>460</v>
      </c>
      <c r="H9" s="35">
        <v>1981</v>
      </c>
      <c r="I9" s="36">
        <v>3353</v>
      </c>
      <c r="J9" s="37">
        <v>44</v>
      </c>
      <c r="K9" s="25">
        <f t="shared" si="0"/>
        <v>292.26089200000001</v>
      </c>
      <c r="L9" s="39" t="s">
        <v>3495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/>
      <c r="L10" s="39"/>
    </row>
    <row r="11" spans="1:12" s="27" customFormat="1" ht="19.5" customHeight="1" x14ac:dyDescent="0.3">
      <c r="A11" s="28" t="s">
        <v>3411</v>
      </c>
      <c r="B11" s="16" t="s">
        <v>3412</v>
      </c>
      <c r="C11" s="17">
        <v>22</v>
      </c>
      <c r="D11" s="18" t="s">
        <v>3413</v>
      </c>
      <c r="E11" s="41">
        <v>3</v>
      </c>
      <c r="F11" s="42">
        <v>0.84</v>
      </c>
      <c r="G11" s="34" t="s">
        <v>460</v>
      </c>
      <c r="H11" s="35"/>
      <c r="I11" s="36"/>
      <c r="J11" s="37"/>
      <c r="K11" s="25"/>
      <c r="L11" s="39" t="s">
        <v>3414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3415</v>
      </c>
      <c r="H12" s="35">
        <v>1981</v>
      </c>
      <c r="I12" s="36">
        <v>3353</v>
      </c>
      <c r="J12" s="37">
        <v>1</v>
      </c>
      <c r="K12" s="25">
        <f t="shared" si="0"/>
        <v>6.6422930000000004</v>
      </c>
      <c r="L12" s="39" t="s">
        <v>3416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/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3413</v>
      </c>
      <c r="E14" s="41">
        <v>8</v>
      </c>
      <c r="F14" s="42">
        <v>2.2400000000000002</v>
      </c>
      <c r="G14" s="34" t="s">
        <v>460</v>
      </c>
      <c r="H14" s="35"/>
      <c r="I14" s="36"/>
      <c r="J14" s="37"/>
      <c r="K14" s="25"/>
      <c r="L14" s="39" t="s">
        <v>3414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3415</v>
      </c>
      <c r="H15" s="35"/>
      <c r="I15" s="36"/>
      <c r="J15" s="37"/>
      <c r="K15" s="25"/>
      <c r="L15" s="39" t="s">
        <v>3416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/>
      <c r="L16" s="39"/>
    </row>
    <row r="17" spans="1:12" s="27" customFormat="1" ht="19.5" customHeight="1" x14ac:dyDescent="0.3">
      <c r="A17" s="28"/>
      <c r="B17" s="16"/>
      <c r="C17" s="17">
        <v>8</v>
      </c>
      <c r="D17" s="18" t="s">
        <v>3417</v>
      </c>
      <c r="E17" s="41">
        <v>12</v>
      </c>
      <c r="F17" s="42">
        <v>10.94</v>
      </c>
      <c r="G17" s="34" t="s">
        <v>3418</v>
      </c>
      <c r="H17" s="35">
        <v>2438</v>
      </c>
      <c r="I17" s="36">
        <v>3353</v>
      </c>
      <c r="J17" s="37">
        <v>2</v>
      </c>
      <c r="K17" s="25">
        <f t="shared" si="0"/>
        <v>16.349228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/>
      <c r="L18" s="39"/>
    </row>
    <row r="19" spans="1:12" s="27" customFormat="1" ht="19.5" customHeight="1" x14ac:dyDescent="0.3">
      <c r="A19" s="28"/>
      <c r="B19" s="16"/>
      <c r="C19" s="17">
        <v>10</v>
      </c>
      <c r="D19" s="18" t="s">
        <v>3419</v>
      </c>
      <c r="E19" s="41">
        <v>12</v>
      </c>
      <c r="F19" s="42">
        <v>10.94</v>
      </c>
      <c r="G19" s="34" t="s">
        <v>3420</v>
      </c>
      <c r="H19" s="35">
        <v>2438</v>
      </c>
      <c r="I19" s="36">
        <v>3353</v>
      </c>
      <c r="J19" s="37">
        <v>2</v>
      </c>
      <c r="K19" s="25">
        <f t="shared" si="0"/>
        <v>16.349228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/>
      <c r="L20" s="39"/>
    </row>
    <row r="21" spans="1:12" s="27" customFormat="1" ht="19.5" customHeight="1" x14ac:dyDescent="0.3">
      <c r="A21" s="28"/>
      <c r="B21" s="16"/>
      <c r="C21" s="17">
        <v>12</v>
      </c>
      <c r="D21" s="18" t="s">
        <v>3421</v>
      </c>
      <c r="E21" s="41">
        <v>12</v>
      </c>
      <c r="F21" s="42">
        <v>10.94</v>
      </c>
      <c r="G21" s="34" t="s">
        <v>3422</v>
      </c>
      <c r="H21" s="35">
        <v>2743</v>
      </c>
      <c r="I21" s="36">
        <v>3048</v>
      </c>
      <c r="J21" s="37">
        <v>1</v>
      </c>
      <c r="K21" s="25">
        <f t="shared" ref="K21:K22" si="1">(H21/1000*I21/1000)*J21</f>
        <v>8.3606639999999981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 t="s">
        <v>3422</v>
      </c>
      <c r="H22" s="35">
        <v>2134</v>
      </c>
      <c r="I22" s="36">
        <v>3050</v>
      </c>
      <c r="J22" s="37">
        <v>1</v>
      </c>
      <c r="K22" s="25">
        <f t="shared" si="1"/>
        <v>6.5087000000000002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/>
      <c r="L23" s="39"/>
    </row>
    <row r="24" spans="1:12" s="27" customFormat="1" ht="19.5" customHeight="1" x14ac:dyDescent="0.3">
      <c r="A24" s="28"/>
      <c r="B24" s="16"/>
      <c r="C24" s="17">
        <v>5</v>
      </c>
      <c r="D24" s="18" t="s">
        <v>3423</v>
      </c>
      <c r="E24" s="41">
        <v>2</v>
      </c>
      <c r="F24" s="42">
        <v>1.04</v>
      </c>
      <c r="G24" s="34"/>
      <c r="H24" s="35"/>
      <c r="I24" s="36"/>
      <c r="J24" s="37"/>
      <c r="K24" s="25"/>
      <c r="L24" s="39" t="s">
        <v>3424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/>
      <c r="L25" s="39"/>
    </row>
    <row r="26" spans="1:12" s="27" customFormat="1" ht="19.5" customHeight="1" x14ac:dyDescent="0.3">
      <c r="A26" s="28"/>
      <c r="B26" s="16"/>
      <c r="C26" s="17">
        <v>6</v>
      </c>
      <c r="D26" s="18" t="s">
        <v>3425</v>
      </c>
      <c r="E26" s="41">
        <v>2</v>
      </c>
      <c r="F26" s="42">
        <v>1.04</v>
      </c>
      <c r="G26" s="34"/>
      <c r="H26" s="35"/>
      <c r="I26" s="36"/>
      <c r="J26" s="37"/>
      <c r="K26" s="25"/>
      <c r="L26" s="39" t="s">
        <v>3424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/>
      <c r="L27" s="39"/>
    </row>
    <row r="28" spans="1:12" s="27" customFormat="1" ht="19.5" customHeight="1" x14ac:dyDescent="0.3">
      <c r="A28" s="28" t="s">
        <v>3426</v>
      </c>
      <c r="B28" s="16" t="s">
        <v>3427</v>
      </c>
      <c r="C28" s="17">
        <v>8</v>
      </c>
      <c r="D28" s="18" t="s">
        <v>3428</v>
      </c>
      <c r="E28" s="41">
        <v>48</v>
      </c>
      <c r="F28" s="42">
        <v>43.76</v>
      </c>
      <c r="G28" s="34" t="s">
        <v>3429</v>
      </c>
      <c r="H28" s="35">
        <v>2438</v>
      </c>
      <c r="I28" s="36">
        <v>3353</v>
      </c>
      <c r="J28" s="37">
        <v>6</v>
      </c>
      <c r="K28" s="25">
        <f t="shared" ref="K28" si="2">(H28/1000*I28/1000)*J28</f>
        <v>49.047684000000004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/>
      <c r="L29" s="39"/>
    </row>
    <row r="30" spans="1:12" s="27" customFormat="1" ht="19.5" customHeight="1" x14ac:dyDescent="0.3">
      <c r="A30" s="28" t="s">
        <v>3430</v>
      </c>
      <c r="B30" s="16" t="s">
        <v>3431</v>
      </c>
      <c r="C30" s="17">
        <v>5</v>
      </c>
      <c r="D30" s="18" t="s">
        <v>3432</v>
      </c>
      <c r="E30" s="41">
        <v>1</v>
      </c>
      <c r="F30" s="42">
        <v>1.83</v>
      </c>
      <c r="G30" s="34" t="s">
        <v>460</v>
      </c>
      <c r="H30" s="35">
        <v>1981</v>
      </c>
      <c r="I30" s="36">
        <v>3353</v>
      </c>
      <c r="J30" s="37">
        <v>2</v>
      </c>
      <c r="K30" s="25">
        <f t="shared" ref="K30" si="3">(H30/1000*I30/1000)*J30</f>
        <v>13.284586000000001</v>
      </c>
      <c r="L30" s="39" t="s">
        <v>3437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 t="s">
        <v>460</v>
      </c>
      <c r="H31" s="35">
        <v>2438</v>
      </c>
      <c r="I31" s="36">
        <v>3353</v>
      </c>
      <c r="J31" s="37">
        <v>1</v>
      </c>
      <c r="K31" s="25">
        <f t="shared" ref="K31:K33" si="4">(H31/1000*I31/1000)*J31</f>
        <v>8.174614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/>
      <c r="L32" s="39"/>
    </row>
    <row r="33" spans="1:12" s="27" customFormat="1" ht="19.5" customHeight="1" x14ac:dyDescent="0.3">
      <c r="A33" s="28" t="s">
        <v>3433</v>
      </c>
      <c r="B33" s="16" t="s">
        <v>3434</v>
      </c>
      <c r="C33" s="17">
        <v>22</v>
      </c>
      <c r="D33" s="18" t="s">
        <v>3435</v>
      </c>
      <c r="E33" s="41">
        <v>5</v>
      </c>
      <c r="F33" s="42">
        <v>10.69</v>
      </c>
      <c r="G33" s="34" t="s">
        <v>3436</v>
      </c>
      <c r="H33" s="35">
        <v>1981</v>
      </c>
      <c r="I33" s="36">
        <v>3048</v>
      </c>
      <c r="J33" s="37">
        <v>3</v>
      </c>
      <c r="K33" s="25">
        <f t="shared" si="4"/>
        <v>18.114264000000002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 t="s">
        <v>460</v>
      </c>
      <c r="H34" s="35"/>
      <c r="I34" s="36"/>
      <c r="J34" s="37"/>
      <c r="K34" s="25"/>
      <c r="L34" s="39" t="s">
        <v>3438</v>
      </c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/>
      <c r="L35" s="39"/>
    </row>
    <row r="36" spans="1:12" s="27" customFormat="1" ht="19.5" customHeight="1" x14ac:dyDescent="0.3">
      <c r="A36" s="28" t="s">
        <v>3379</v>
      </c>
      <c r="B36" s="16" t="s">
        <v>3439</v>
      </c>
      <c r="C36" s="17">
        <v>24</v>
      </c>
      <c r="D36" s="18" t="s">
        <v>3440</v>
      </c>
      <c r="E36" s="41">
        <v>30</v>
      </c>
      <c r="F36" s="42">
        <v>21.4</v>
      </c>
      <c r="G36" s="34" t="s">
        <v>654</v>
      </c>
      <c r="H36" s="35">
        <v>2438</v>
      </c>
      <c r="I36" s="36">
        <v>3353</v>
      </c>
      <c r="J36" s="37">
        <v>3</v>
      </c>
      <c r="K36" s="25">
        <f t="shared" ref="K36:K37" si="5">(H36/1000*I36/1000)*J36</f>
        <v>24.523842000000002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 t="s">
        <v>461</v>
      </c>
      <c r="H37" s="35">
        <v>1981</v>
      </c>
      <c r="I37" s="36">
        <v>3353</v>
      </c>
      <c r="J37" s="37">
        <v>4</v>
      </c>
      <c r="K37" s="25">
        <f t="shared" si="5"/>
        <v>26.569172000000002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/>
      <c r="L38" s="39"/>
    </row>
    <row r="39" spans="1:12" s="27" customFormat="1" ht="19.5" customHeight="1" x14ac:dyDescent="0.3">
      <c r="A39" s="28" t="s">
        <v>3441</v>
      </c>
      <c r="B39" s="16" t="s">
        <v>3439</v>
      </c>
      <c r="C39" s="17">
        <v>22</v>
      </c>
      <c r="D39" s="18" t="s">
        <v>3442</v>
      </c>
      <c r="E39" s="41">
        <v>260</v>
      </c>
      <c r="F39" s="42">
        <v>249.6</v>
      </c>
      <c r="G39" s="34" t="s">
        <v>3444</v>
      </c>
      <c r="H39" s="35">
        <v>1981</v>
      </c>
      <c r="I39" s="36">
        <v>3353</v>
      </c>
      <c r="J39" s="37">
        <v>40</v>
      </c>
      <c r="K39" s="25">
        <f t="shared" ref="K39" si="6">(H39/1000*I39/1000)*J39</f>
        <v>265.69172000000003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/>
      <c r="L40" s="39"/>
    </row>
    <row r="41" spans="1:12" s="27" customFormat="1" ht="19.5" customHeight="1" x14ac:dyDescent="0.3">
      <c r="A41" s="28"/>
      <c r="B41" s="16"/>
      <c r="C41" s="17">
        <v>24</v>
      </c>
      <c r="D41" s="18" t="s">
        <v>3445</v>
      </c>
      <c r="E41" s="41">
        <v>30</v>
      </c>
      <c r="F41" s="42">
        <v>21.4</v>
      </c>
      <c r="G41" s="34" t="s">
        <v>3446</v>
      </c>
      <c r="H41" s="35">
        <v>1981</v>
      </c>
      <c r="I41" s="36">
        <v>3353</v>
      </c>
      <c r="J41" s="37">
        <v>3</v>
      </c>
      <c r="K41" s="25">
        <f t="shared" ref="K41:K42" si="7">(H41/1000*I41/1000)*J41</f>
        <v>19.926879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 t="s">
        <v>654</v>
      </c>
      <c r="H42" s="35">
        <v>2438</v>
      </c>
      <c r="I42" s="36">
        <v>3353</v>
      </c>
      <c r="J42" s="37">
        <v>3</v>
      </c>
      <c r="K42" s="25">
        <f t="shared" si="7"/>
        <v>24.523842000000002</v>
      </c>
      <c r="L42" s="39"/>
    </row>
    <row r="43" spans="1:12" s="27" customFormat="1" ht="19.5" customHeight="1" x14ac:dyDescent="0.3">
      <c r="A43" s="28" t="s">
        <v>57</v>
      </c>
      <c r="B43" s="16"/>
      <c r="C43" s="17"/>
      <c r="D43" s="18"/>
      <c r="E43" s="41"/>
      <c r="F43" s="42"/>
      <c r="G43" s="34"/>
      <c r="H43" s="35"/>
      <c r="I43" s="36"/>
      <c r="J43" s="37"/>
      <c r="K43" s="25"/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/>
      <c r="L44" s="39"/>
    </row>
    <row r="45" spans="1:12" s="27" customFormat="1" ht="19.5" customHeight="1" x14ac:dyDescent="0.3">
      <c r="A45" s="28" t="s">
        <v>3470</v>
      </c>
      <c r="B45" s="16" t="s">
        <v>3471</v>
      </c>
      <c r="C45" s="17">
        <v>22</v>
      </c>
      <c r="D45" s="18" t="s">
        <v>3472</v>
      </c>
      <c r="E45" s="41">
        <v>280</v>
      </c>
      <c r="F45" s="42">
        <v>420.08000000000004</v>
      </c>
      <c r="G45" s="34" t="s">
        <v>3473</v>
      </c>
      <c r="H45" s="35">
        <v>1981</v>
      </c>
      <c r="I45" s="36">
        <v>3353</v>
      </c>
      <c r="J45" s="37">
        <v>70</v>
      </c>
      <c r="K45" s="25">
        <f t="shared" si="0"/>
        <v>464.96051000000006</v>
      </c>
      <c r="L45" s="39" t="s">
        <v>3496</v>
      </c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/>
      <c r="H46" s="35"/>
      <c r="I46" s="36"/>
      <c r="J46" s="37"/>
      <c r="K46" s="25">
        <f t="shared" si="0"/>
        <v>0</v>
      </c>
      <c r="L46" s="39"/>
    </row>
    <row r="47" spans="1:12" s="27" customFormat="1" ht="19.5" customHeight="1" x14ac:dyDescent="0.3">
      <c r="A47" s="28" t="s">
        <v>3408</v>
      </c>
      <c r="B47" s="16" t="s">
        <v>3409</v>
      </c>
      <c r="C47" s="17">
        <v>22</v>
      </c>
      <c r="D47" s="18" t="s">
        <v>17</v>
      </c>
      <c r="E47" s="41">
        <v>40</v>
      </c>
      <c r="F47" s="42">
        <v>122</v>
      </c>
      <c r="G47" s="34" t="s">
        <v>19</v>
      </c>
      <c r="H47" s="35">
        <v>1981</v>
      </c>
      <c r="I47" s="36">
        <v>3353</v>
      </c>
      <c r="J47" s="37">
        <v>19</v>
      </c>
      <c r="K47" s="25">
        <f t="shared" si="0"/>
        <v>126.20356700000001</v>
      </c>
      <c r="L47" s="39" t="s">
        <v>3497</v>
      </c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25">
        <f t="shared" si="0"/>
        <v>0</v>
      </c>
      <c r="L48" s="39"/>
    </row>
    <row r="49" spans="1:12" s="27" customFormat="1" ht="19.5" customHeight="1" x14ac:dyDescent="0.3">
      <c r="A49" s="28"/>
      <c r="B49" s="16"/>
      <c r="C49" s="17"/>
      <c r="D49" s="18"/>
      <c r="E49" s="41"/>
      <c r="F49" s="42"/>
      <c r="G49" s="34"/>
      <c r="H49" s="35"/>
      <c r="I49" s="36"/>
      <c r="J49" s="37"/>
      <c r="K49" s="25">
        <f t="shared" si="0"/>
        <v>0</v>
      </c>
      <c r="L49" s="39"/>
    </row>
    <row r="50" spans="1:12" s="27" customFormat="1" ht="19.5" customHeight="1" x14ac:dyDescent="0.3">
      <c r="A50" s="28"/>
      <c r="B50" s="29"/>
      <c r="C50" s="30"/>
      <c r="D50" s="31"/>
      <c r="E50" s="41"/>
      <c r="F50" s="42"/>
      <c r="G50" s="43"/>
      <c r="H50" s="35"/>
      <c r="I50" s="36"/>
      <c r="J50" s="37"/>
      <c r="K50" s="38">
        <f t="shared" si="0"/>
        <v>0</v>
      </c>
      <c r="L50" s="39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3448</v>
      </c>
      <c r="B52" s="45" t="s">
        <v>3449</v>
      </c>
      <c r="C52" s="46">
        <v>22</v>
      </c>
      <c r="D52" s="47" t="s">
        <v>3450</v>
      </c>
      <c r="E52" s="48">
        <v>312</v>
      </c>
      <c r="F52" s="49">
        <v>461.76</v>
      </c>
      <c r="G52" s="50" t="s">
        <v>3451</v>
      </c>
      <c r="H52" s="51">
        <v>2743</v>
      </c>
      <c r="I52" s="45">
        <v>3048</v>
      </c>
      <c r="J52" s="52">
        <v>43</v>
      </c>
      <c r="K52" s="53">
        <f t="shared" si="0"/>
        <v>359.5085519999999</v>
      </c>
      <c r="L52" s="54" t="s">
        <v>3452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 t="s">
        <v>18</v>
      </c>
      <c r="H53" s="51">
        <v>2286</v>
      </c>
      <c r="I53" s="45">
        <v>3048</v>
      </c>
      <c r="J53" s="52">
        <v>25</v>
      </c>
      <c r="K53" s="53">
        <f t="shared" si="0"/>
        <v>174.19319999999999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/>
      <c r="L54" s="54"/>
    </row>
    <row r="55" spans="1:12" s="55" customFormat="1" ht="19.5" customHeight="1" x14ac:dyDescent="0.3">
      <c r="A55" s="44" t="s">
        <v>3453</v>
      </c>
      <c r="B55" s="45" t="s">
        <v>1213</v>
      </c>
      <c r="C55" s="46">
        <v>28</v>
      </c>
      <c r="D55" s="47" t="s">
        <v>3454</v>
      </c>
      <c r="E55" s="48">
        <v>1</v>
      </c>
      <c r="F55" s="49">
        <v>0.28000000000000003</v>
      </c>
      <c r="G55" s="50"/>
      <c r="H55" s="51"/>
      <c r="I55" s="45"/>
      <c r="J55" s="52"/>
      <c r="K55" s="53"/>
      <c r="L55" s="54" t="s">
        <v>3455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/>
      <c r="L56" s="54"/>
    </row>
    <row r="57" spans="1:12" s="55" customFormat="1" ht="19.5" customHeight="1" x14ac:dyDescent="0.3">
      <c r="A57" s="44" t="s">
        <v>3456</v>
      </c>
      <c r="B57" s="45" t="s">
        <v>3457</v>
      </c>
      <c r="C57" s="46">
        <v>24</v>
      </c>
      <c r="D57" s="47" t="s">
        <v>3458</v>
      </c>
      <c r="E57" s="48">
        <v>4</v>
      </c>
      <c r="F57" s="49">
        <v>11.04</v>
      </c>
      <c r="G57" s="50" t="s">
        <v>3459</v>
      </c>
      <c r="H57" s="51">
        <v>2438</v>
      </c>
      <c r="I57" s="45">
        <v>3353</v>
      </c>
      <c r="J57" s="52">
        <v>2</v>
      </c>
      <c r="K57" s="53">
        <f t="shared" si="0"/>
        <v>16.349228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 t="s">
        <v>654</v>
      </c>
      <c r="H58" s="51">
        <v>2438</v>
      </c>
      <c r="I58" s="45">
        <v>3048</v>
      </c>
      <c r="J58" s="52">
        <v>2</v>
      </c>
      <c r="K58" s="53">
        <f t="shared" si="0"/>
        <v>14.862048000000001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/>
      <c r="L59" s="54"/>
    </row>
    <row r="60" spans="1:12" s="55" customFormat="1" ht="19.5" customHeight="1" x14ac:dyDescent="0.3">
      <c r="A60" s="44" t="s">
        <v>3460</v>
      </c>
      <c r="B60" s="45" t="s">
        <v>847</v>
      </c>
      <c r="C60" s="46">
        <v>7</v>
      </c>
      <c r="D60" s="47" t="s">
        <v>3461</v>
      </c>
      <c r="E60" s="48">
        <v>2</v>
      </c>
      <c r="F60" s="49">
        <v>1.62</v>
      </c>
      <c r="G60" s="50" t="s">
        <v>4383</v>
      </c>
      <c r="H60" s="51">
        <v>2134</v>
      </c>
      <c r="I60" s="45">
        <v>3302</v>
      </c>
      <c r="J60" s="52">
        <v>1</v>
      </c>
      <c r="K60" s="53">
        <f t="shared" si="0"/>
        <v>7.046468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/>
      <c r="L61" s="54"/>
    </row>
    <row r="62" spans="1:12" s="55" customFormat="1" ht="19.5" customHeight="1" x14ac:dyDescent="0.3">
      <c r="A62" s="44"/>
      <c r="B62" s="45"/>
      <c r="C62" s="46">
        <v>24</v>
      </c>
      <c r="D62" s="47" t="s">
        <v>906</v>
      </c>
      <c r="E62" s="48">
        <v>1</v>
      </c>
      <c r="F62" s="49">
        <v>2.37</v>
      </c>
      <c r="G62" s="50" t="s">
        <v>3462</v>
      </c>
      <c r="H62" s="51">
        <v>2438</v>
      </c>
      <c r="I62" s="45">
        <v>3353</v>
      </c>
      <c r="J62" s="52">
        <v>1</v>
      </c>
      <c r="K62" s="53"/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 t="s">
        <v>3443</v>
      </c>
      <c r="H63" s="51"/>
      <c r="I63" s="45"/>
      <c r="J63" s="52"/>
      <c r="K63" s="53"/>
      <c r="L63" s="54" t="s">
        <v>3464</v>
      </c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/>
      <c r="L64" s="54"/>
    </row>
    <row r="65" spans="1:12" s="55" customFormat="1" ht="19.5" customHeight="1" x14ac:dyDescent="0.3">
      <c r="A65" s="44"/>
      <c r="B65" s="45"/>
      <c r="C65" s="46">
        <v>5</v>
      </c>
      <c r="D65" s="47" t="s">
        <v>3463</v>
      </c>
      <c r="E65" s="48">
        <v>1</v>
      </c>
      <c r="F65" s="49">
        <v>1.1299999999999999</v>
      </c>
      <c r="G65" s="50" t="s">
        <v>3443</v>
      </c>
      <c r="H65" s="51"/>
      <c r="I65" s="45"/>
      <c r="J65" s="52"/>
      <c r="K65" s="53"/>
      <c r="L65" s="54" t="s">
        <v>3464</v>
      </c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/>
      <c r="L66" s="54"/>
    </row>
    <row r="67" spans="1:12" s="55" customFormat="1" ht="19.5" customHeight="1" x14ac:dyDescent="0.3">
      <c r="A67" s="44" t="s">
        <v>3465</v>
      </c>
      <c r="B67" s="45" t="s">
        <v>3466</v>
      </c>
      <c r="C67" s="46">
        <v>43</v>
      </c>
      <c r="D67" s="47" t="s">
        <v>3467</v>
      </c>
      <c r="E67" s="48">
        <v>21</v>
      </c>
      <c r="F67" s="49">
        <v>24.99</v>
      </c>
      <c r="G67" s="50" t="s">
        <v>3468</v>
      </c>
      <c r="H67" s="51">
        <v>2438</v>
      </c>
      <c r="I67" s="45">
        <v>3353</v>
      </c>
      <c r="J67" s="52">
        <v>3</v>
      </c>
      <c r="K67" s="53">
        <f t="shared" si="0"/>
        <v>24.523842000000002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 t="s">
        <v>3451</v>
      </c>
      <c r="H68" s="51">
        <v>2590</v>
      </c>
      <c r="I68" s="45">
        <v>3353</v>
      </c>
      <c r="J68" s="52">
        <v>3</v>
      </c>
      <c r="K68" s="53">
        <f t="shared" si="0"/>
        <v>26.052809999999994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 t="s">
        <v>3468</v>
      </c>
      <c r="H69" s="51">
        <v>2438</v>
      </c>
      <c r="I69" s="45">
        <v>3353</v>
      </c>
      <c r="J69" s="52">
        <v>4</v>
      </c>
      <c r="K69" s="53">
        <f t="shared" si="0"/>
        <v>32.698456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/>
      <c r="L70" s="54"/>
    </row>
    <row r="71" spans="1:12" s="55" customFormat="1" ht="19.5" customHeight="1" x14ac:dyDescent="0.3">
      <c r="A71" s="44" t="s">
        <v>3469</v>
      </c>
      <c r="B71" s="45" t="s">
        <v>3466</v>
      </c>
      <c r="C71" s="46">
        <v>43</v>
      </c>
      <c r="D71" s="47" t="s">
        <v>3467</v>
      </c>
      <c r="E71" s="48">
        <v>25</v>
      </c>
      <c r="F71" s="49">
        <v>34.6</v>
      </c>
      <c r="G71" s="50" t="s">
        <v>3468</v>
      </c>
      <c r="H71" s="51">
        <v>2438</v>
      </c>
      <c r="I71" s="45">
        <v>3353</v>
      </c>
      <c r="J71" s="52">
        <v>5</v>
      </c>
      <c r="K71" s="53">
        <f t="shared" ref="K71:K73" si="8">(H71/1000*I71/1000)*J71</f>
        <v>40.873069999999998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 t="s">
        <v>3451</v>
      </c>
      <c r="H72" s="51">
        <v>1981</v>
      </c>
      <c r="I72" s="45">
        <v>3353</v>
      </c>
      <c r="J72" s="52">
        <v>6</v>
      </c>
      <c r="K72" s="53">
        <f t="shared" si="8"/>
        <v>39.853757999999999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 t="s">
        <v>3468</v>
      </c>
      <c r="H73" s="51">
        <v>2438</v>
      </c>
      <c r="I73" s="45">
        <v>3353</v>
      </c>
      <c r="J73" s="52">
        <v>5</v>
      </c>
      <c r="K73" s="53">
        <f t="shared" si="8"/>
        <v>40.873069999999998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/>
      <c r="L74" s="54"/>
    </row>
    <row r="75" spans="1:12" s="55" customFormat="1" ht="19.5" customHeight="1" x14ac:dyDescent="0.3">
      <c r="A75" s="44" t="s">
        <v>57</v>
      </c>
      <c r="B75" s="76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76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 t="s">
        <v>3474</v>
      </c>
      <c r="B77" s="76" t="s">
        <v>3475</v>
      </c>
      <c r="C77" s="46">
        <v>22</v>
      </c>
      <c r="D77" s="47" t="s">
        <v>3476</v>
      </c>
      <c r="E77" s="48">
        <v>312</v>
      </c>
      <c r="F77" s="49">
        <v>461.76</v>
      </c>
      <c r="G77" s="50" t="s">
        <v>3477</v>
      </c>
      <c r="H77" s="51">
        <v>2286</v>
      </c>
      <c r="I77" s="45">
        <v>3048</v>
      </c>
      <c r="J77" s="52">
        <v>78</v>
      </c>
      <c r="K77" s="53">
        <f t="shared" si="0"/>
        <v>543.48278400000004</v>
      </c>
      <c r="L77" s="54" t="s">
        <v>3478</v>
      </c>
    </row>
    <row r="78" spans="1:12" s="55" customFormat="1" ht="19.5" customHeight="1" x14ac:dyDescent="0.3">
      <c r="A78" s="44"/>
      <c r="B78" s="76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76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/>
      <c r="B80" s="45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9" customFormat="1" ht="20.100000000000001" customHeight="1" x14ac:dyDescent="0.3">
      <c r="A81" s="44"/>
      <c r="B81" s="45"/>
      <c r="C81" s="46"/>
      <c r="D81" s="47"/>
      <c r="E81" s="56"/>
      <c r="F81" s="57"/>
      <c r="G81" s="50"/>
      <c r="H81" s="51"/>
      <c r="I81" s="45"/>
      <c r="J81" s="52"/>
      <c r="K81" s="53">
        <f t="shared" si="0"/>
        <v>0</v>
      </c>
      <c r="L81" s="58">
        <f>SUM(J51:J82)</f>
        <v>178</v>
      </c>
    </row>
    <row r="82" spans="1:12" s="59" customFormat="1" ht="20.100000000000001" customHeight="1" x14ac:dyDescent="0.3">
      <c r="A82" s="44"/>
      <c r="B82" s="45"/>
      <c r="C82" s="46"/>
      <c r="D82" s="47"/>
      <c r="E82" s="60"/>
      <c r="F82" s="61"/>
      <c r="G82" s="62"/>
      <c r="H82" s="51"/>
      <c r="I82" s="45"/>
      <c r="J82" s="63"/>
      <c r="K82" s="53">
        <f t="shared" si="0"/>
        <v>0</v>
      </c>
      <c r="L82" s="64">
        <f>SUM(K51:K82)</f>
        <v>1320.317286</v>
      </c>
    </row>
    <row r="83" spans="1:12" s="59" customFormat="1" ht="20.100000000000001" customHeight="1" thickBot="1" x14ac:dyDescent="0.35">
      <c r="A83" s="114"/>
      <c r="B83" s="115"/>
      <c r="C83" s="115"/>
      <c r="D83" s="115"/>
      <c r="E83" s="115"/>
      <c r="F83" s="115"/>
      <c r="G83" s="115"/>
      <c r="H83" s="115"/>
      <c r="I83" s="115"/>
      <c r="J83" s="65">
        <f>SUM(J7:J82)</f>
        <v>383</v>
      </c>
      <c r="K83" s="66">
        <f>SUM(K7:K82)</f>
        <v>2707.8089710000004</v>
      </c>
      <c r="L83" s="67"/>
    </row>
    <row r="84" spans="1:12" s="59" customFormat="1" ht="20.100000000000001" customHeight="1" thickTop="1" thickBot="1" x14ac:dyDescent="0.35">
      <c r="A84" s="116" t="s">
        <v>52</v>
      </c>
      <c r="B84" s="117"/>
      <c r="C84" s="68"/>
      <c r="D84" s="118">
        <f>J83</f>
        <v>383</v>
      </c>
      <c r="E84" s="119"/>
      <c r="F84" s="119"/>
      <c r="G84" s="120"/>
      <c r="H84" s="121"/>
      <c r="I84" s="121"/>
      <c r="J84" s="122"/>
      <c r="K84" s="119"/>
      <c r="L84" s="123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71"/>
    </row>
    <row r="86" spans="1:12" s="59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72"/>
      <c r="F90" s="5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5"/>
      <c r="G91" s="73"/>
      <c r="H91" s="5"/>
      <c r="I91" s="74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113"/>
      <c r="B95" s="113"/>
      <c r="C95" s="5"/>
      <c r="D95" s="5"/>
      <c r="E95" s="5"/>
      <c r="F95" s="70"/>
      <c r="G95" s="5"/>
      <c r="H95" s="72"/>
      <c r="I95" s="72"/>
      <c r="J95" s="5"/>
      <c r="K95" s="5"/>
      <c r="L95" s="5"/>
    </row>
    <row r="96" spans="1:12" ht="20.100000000000001" customHeight="1" x14ac:dyDescent="0.3">
      <c r="A96" s="113"/>
      <c r="B96" s="113"/>
      <c r="H96" s="72"/>
      <c r="I96" s="72"/>
    </row>
    <row r="97" spans="1:12" ht="20.100000000000001" customHeight="1" x14ac:dyDescent="0.3">
      <c r="H97" s="72"/>
      <c r="I97" s="72"/>
    </row>
    <row r="98" spans="1:12" ht="20.100000000000001" customHeight="1" x14ac:dyDescent="0.3">
      <c r="H98" s="72"/>
      <c r="I98" s="72"/>
    </row>
    <row r="99" spans="1:12" ht="20.100000000000001" customHeight="1" x14ac:dyDescent="0.3">
      <c r="A99" s="113"/>
      <c r="B99" s="113"/>
      <c r="H99" s="72"/>
      <c r="I99" s="72"/>
    </row>
    <row r="100" spans="1:12" ht="20.100000000000001" customHeight="1" x14ac:dyDescent="0.3">
      <c r="A100" s="113"/>
      <c r="B100" s="113"/>
      <c r="H100" s="72"/>
      <c r="I100" s="72"/>
    </row>
    <row r="101" spans="1:12" ht="20.100000000000001" customHeight="1" x14ac:dyDescent="0.3">
      <c r="H101" s="72"/>
      <c r="I101" s="72"/>
    </row>
    <row r="102" spans="1:12" ht="20.100000000000001" customHeight="1" x14ac:dyDescent="0.3">
      <c r="H102" s="72"/>
      <c r="I102" s="72"/>
    </row>
    <row r="103" spans="1:12" ht="20.100000000000001" customHeight="1" x14ac:dyDescent="0.3">
      <c r="H103" s="72"/>
      <c r="I103" s="72"/>
    </row>
    <row r="104" spans="1:12" s="72" customFormat="1" ht="20.100000000000001" customHeight="1" x14ac:dyDescent="0.3">
      <c r="A104" s="69"/>
      <c r="B104" s="5"/>
      <c r="C104" s="5"/>
      <c r="D104" s="5"/>
      <c r="E104" s="5"/>
      <c r="F104" s="70"/>
      <c r="G104" s="5"/>
      <c r="J104" s="5"/>
      <c r="K104" s="5"/>
      <c r="L104" s="5"/>
    </row>
    <row r="105" spans="1:12" s="72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75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5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5" customFormat="1" ht="19.5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2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2" customFormat="1" ht="20.100000000000001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ht="19.5" customHeight="1" x14ac:dyDescent="0.3"/>
    <row r="112" spans="1:12" ht="19.5" customHeight="1" x14ac:dyDescent="0.3"/>
    <row r="113" spans="2:12" ht="19.5" customHeight="1" x14ac:dyDescent="0.3"/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>
        <v>2</v>
      </c>
      <c r="C174" s="5"/>
      <c r="D174" s="5"/>
      <c r="E174" s="5"/>
      <c r="F174" s="70"/>
      <c r="G174" s="5"/>
      <c r="H174" s="5"/>
      <c r="I174" s="5"/>
      <c r="J174" s="5"/>
      <c r="K174" s="5"/>
      <c r="L174" s="5"/>
    </row>
  </sheetData>
  <mergeCells count="30">
    <mergeCell ref="A99:B99"/>
    <mergeCell ref="A100:B100"/>
    <mergeCell ref="A90:B90"/>
    <mergeCell ref="A91:B91"/>
    <mergeCell ref="A92:B92"/>
    <mergeCell ref="A94:B94"/>
    <mergeCell ref="A95:B95"/>
    <mergeCell ref="A96:B96"/>
    <mergeCell ref="A89:B8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3:I83"/>
    <mergeCell ref="A84:B84"/>
    <mergeCell ref="D84:G84"/>
    <mergeCell ref="H84:J84"/>
    <mergeCell ref="K84:L84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L193"/>
  <sheetViews>
    <sheetView view="pageBreakPreview" topLeftCell="F91" zoomScale="85" zoomScaleSheetLayoutView="85" workbookViewId="0">
      <selection activeCell="L100" sqref="L100:L10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46142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101" si="0">(H7/1000*I7/1000)*J7</f>
        <v>0</v>
      </c>
      <c r="L7" s="26">
        <f>SUM(J7:J49)</f>
        <v>236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SUM(K7:K49)</f>
        <v>1575.8295560000001</v>
      </c>
    </row>
    <row r="9" spans="1:12" s="27" customFormat="1" ht="19.5" customHeight="1" x14ac:dyDescent="0.3">
      <c r="A9" s="28" t="s">
        <v>3320</v>
      </c>
      <c r="B9" s="16" t="s">
        <v>2941</v>
      </c>
      <c r="C9" s="17">
        <v>24</v>
      </c>
      <c r="D9" s="18" t="s">
        <v>2647</v>
      </c>
      <c r="E9" s="41">
        <v>10</v>
      </c>
      <c r="F9" s="42">
        <v>28.7</v>
      </c>
      <c r="G9" s="34" t="s">
        <v>62</v>
      </c>
      <c r="H9" s="35">
        <v>1981</v>
      </c>
      <c r="I9" s="36">
        <v>3048</v>
      </c>
      <c r="J9" s="37">
        <v>5</v>
      </c>
      <c r="K9" s="25">
        <f t="shared" si="0"/>
        <v>30.190440000000006</v>
      </c>
      <c r="L9" s="39" t="s">
        <v>3384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>
        <f t="shared" si="0"/>
        <v>0</v>
      </c>
      <c r="L10" s="39"/>
    </row>
    <row r="11" spans="1:12" s="27" customFormat="1" ht="19.5" customHeight="1" x14ac:dyDescent="0.3">
      <c r="A11" s="28" t="s">
        <v>3385</v>
      </c>
      <c r="B11" s="16" t="s">
        <v>1483</v>
      </c>
      <c r="C11" s="17">
        <v>22</v>
      </c>
      <c r="D11" s="18" t="s">
        <v>17</v>
      </c>
      <c r="E11" s="41">
        <v>150</v>
      </c>
      <c r="F11" s="42">
        <v>183.2</v>
      </c>
      <c r="G11" s="34" t="s">
        <v>18</v>
      </c>
      <c r="H11" s="35">
        <v>1981</v>
      </c>
      <c r="I11" s="36">
        <v>3353</v>
      </c>
      <c r="J11" s="37">
        <v>27</v>
      </c>
      <c r="K11" s="25">
        <f t="shared" si="0"/>
        <v>179.34191100000001</v>
      </c>
      <c r="L11" s="39"/>
    </row>
    <row r="12" spans="1:12" s="27" customFormat="1" ht="19.5" customHeight="1" x14ac:dyDescent="0.3">
      <c r="A12" s="28"/>
      <c r="B12" s="16"/>
      <c r="C12" s="17">
        <v>24</v>
      </c>
      <c r="D12" s="18" t="s">
        <v>539</v>
      </c>
      <c r="E12" s="41">
        <v>20</v>
      </c>
      <c r="F12" s="42">
        <v>19.899999999999999</v>
      </c>
      <c r="G12" s="34" t="s">
        <v>18</v>
      </c>
      <c r="H12" s="35">
        <v>2590</v>
      </c>
      <c r="I12" s="36">
        <v>3353</v>
      </c>
      <c r="J12" s="37">
        <v>1</v>
      </c>
      <c r="K12" s="25">
        <f t="shared" si="0"/>
        <v>8.6842699999999979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18</v>
      </c>
      <c r="H13" s="35">
        <v>2438</v>
      </c>
      <c r="I13" s="36">
        <v>3048</v>
      </c>
      <c r="J13" s="37">
        <v>1</v>
      </c>
      <c r="K13" s="25">
        <f t="shared" si="0"/>
        <v>7.4310240000000007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19</v>
      </c>
      <c r="H14" s="35">
        <v>1981</v>
      </c>
      <c r="I14" s="36">
        <v>3353</v>
      </c>
      <c r="J14" s="37">
        <v>27</v>
      </c>
      <c r="K14" s="25">
        <f t="shared" si="0"/>
        <v>179.34191100000001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19</v>
      </c>
      <c r="H15" s="35">
        <v>2134</v>
      </c>
      <c r="I15" s="36">
        <v>3048</v>
      </c>
      <c r="J15" s="37">
        <v>2</v>
      </c>
      <c r="K15" s="25">
        <f t="shared" si="0"/>
        <v>13.008863999999999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189</v>
      </c>
      <c r="H16" s="35">
        <v>2134</v>
      </c>
      <c r="I16" s="36">
        <v>3353</v>
      </c>
      <c r="J16" s="37">
        <v>2</v>
      </c>
      <c r="K16" s="25">
        <f t="shared" si="0"/>
        <v>14.310604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 t="s">
        <v>189</v>
      </c>
      <c r="H17" s="35">
        <v>2438</v>
      </c>
      <c r="I17" s="36">
        <v>3353</v>
      </c>
      <c r="J17" s="37">
        <v>1</v>
      </c>
      <c r="K17" s="25">
        <f t="shared" si="0"/>
        <v>8.174614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1594</v>
      </c>
      <c r="H18" s="35">
        <v>1981</v>
      </c>
      <c r="I18" s="36">
        <v>3353</v>
      </c>
      <c r="J18" s="37">
        <v>3</v>
      </c>
      <c r="K18" s="25">
        <f t="shared" ref="K18:K29" si="1">(H18/1000*I18/1000)*J18</f>
        <v>19.926879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1"/>
        <v>0</v>
      </c>
      <c r="L19" s="39"/>
    </row>
    <row r="20" spans="1:12" s="27" customFormat="1" ht="19.5" customHeight="1" x14ac:dyDescent="0.3">
      <c r="A20" s="28" t="s">
        <v>3319</v>
      </c>
      <c r="B20" s="16" t="s">
        <v>1483</v>
      </c>
      <c r="C20" s="17">
        <v>24</v>
      </c>
      <c r="D20" s="18" t="s">
        <v>539</v>
      </c>
      <c r="E20" s="41">
        <v>20</v>
      </c>
      <c r="F20" s="42">
        <v>19.899999999999999</v>
      </c>
      <c r="G20" s="34" t="s">
        <v>189</v>
      </c>
      <c r="H20" s="35">
        <v>2134</v>
      </c>
      <c r="I20" s="36">
        <v>3353</v>
      </c>
      <c r="J20" s="37">
        <v>4</v>
      </c>
      <c r="K20" s="25">
        <f t="shared" si="1"/>
        <v>28.621207999999999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 t="s">
        <v>1594</v>
      </c>
      <c r="H21" s="35">
        <v>1981</v>
      </c>
      <c r="I21" s="36">
        <v>3353</v>
      </c>
      <c r="J21" s="37">
        <v>3</v>
      </c>
      <c r="K21" s="25">
        <f t="shared" si="1"/>
        <v>19.926879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1"/>
        <v>0</v>
      </c>
      <c r="L22" s="39"/>
    </row>
    <row r="23" spans="1:12" s="27" customFormat="1" ht="19.5" customHeight="1" x14ac:dyDescent="0.3">
      <c r="A23" s="28" t="s">
        <v>3355</v>
      </c>
      <c r="B23" s="16" t="s">
        <v>1483</v>
      </c>
      <c r="C23" s="17">
        <v>24</v>
      </c>
      <c r="D23" s="18" t="s">
        <v>539</v>
      </c>
      <c r="E23" s="41">
        <v>30</v>
      </c>
      <c r="F23" s="42">
        <v>23.5</v>
      </c>
      <c r="G23" s="34" t="s">
        <v>189</v>
      </c>
      <c r="H23" s="35">
        <v>2134</v>
      </c>
      <c r="I23" s="36">
        <v>3353</v>
      </c>
      <c r="J23" s="37">
        <v>4</v>
      </c>
      <c r="K23" s="25">
        <f t="shared" si="1"/>
        <v>28.621207999999999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1594</v>
      </c>
      <c r="H24" s="35">
        <v>1981</v>
      </c>
      <c r="I24" s="36">
        <v>3353</v>
      </c>
      <c r="J24" s="37">
        <v>4</v>
      </c>
      <c r="K24" s="25">
        <f t="shared" si="1"/>
        <v>26.569172000000002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1"/>
        <v>0</v>
      </c>
      <c r="L25" s="39"/>
    </row>
    <row r="26" spans="1:12" s="27" customFormat="1" ht="19.5" customHeight="1" x14ac:dyDescent="0.3">
      <c r="A26" s="28" t="s">
        <v>3386</v>
      </c>
      <c r="B26" s="16" t="s">
        <v>1483</v>
      </c>
      <c r="C26" s="17">
        <v>22</v>
      </c>
      <c r="D26" s="18" t="s">
        <v>17</v>
      </c>
      <c r="E26" s="41">
        <v>220</v>
      </c>
      <c r="F26" s="42">
        <v>316.2</v>
      </c>
      <c r="G26" s="34" t="s">
        <v>18</v>
      </c>
      <c r="H26" s="35">
        <v>1981</v>
      </c>
      <c r="I26" s="36">
        <v>3353</v>
      </c>
      <c r="J26" s="37">
        <v>52</v>
      </c>
      <c r="K26" s="25">
        <f t="shared" si="1"/>
        <v>345.39923600000003</v>
      </c>
      <c r="L26" s="39" t="s">
        <v>100</v>
      </c>
    </row>
    <row r="27" spans="1:12" s="27" customFormat="1" ht="19.5" customHeight="1" x14ac:dyDescent="0.3">
      <c r="A27" s="28"/>
      <c r="B27" s="16"/>
      <c r="C27" s="17">
        <v>24</v>
      </c>
      <c r="D27" s="18" t="s">
        <v>539</v>
      </c>
      <c r="E27" s="41">
        <v>30</v>
      </c>
      <c r="F27" s="42">
        <v>23.5</v>
      </c>
      <c r="G27" s="34" t="s">
        <v>189</v>
      </c>
      <c r="H27" s="35">
        <v>2134</v>
      </c>
      <c r="I27" s="36">
        <v>3353</v>
      </c>
      <c r="J27" s="37">
        <v>4</v>
      </c>
      <c r="K27" s="25">
        <f t="shared" si="1"/>
        <v>28.621207999999999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 t="s">
        <v>1594</v>
      </c>
      <c r="H28" s="35">
        <v>1981</v>
      </c>
      <c r="I28" s="36">
        <v>3353</v>
      </c>
      <c r="J28" s="37">
        <v>4</v>
      </c>
      <c r="K28" s="25">
        <f t="shared" si="1"/>
        <v>26.569172000000002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1"/>
        <v>0</v>
      </c>
      <c r="L29" s="39"/>
    </row>
    <row r="30" spans="1:12" s="27" customFormat="1" ht="19.5" customHeight="1" x14ac:dyDescent="0.3">
      <c r="A30" s="28" t="s">
        <v>57</v>
      </c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 t="s">
        <v>3388</v>
      </c>
      <c r="B31" s="16" t="s">
        <v>1483</v>
      </c>
      <c r="C31" s="17">
        <v>22</v>
      </c>
      <c r="D31" s="18" t="s">
        <v>17</v>
      </c>
      <c r="E31" s="41">
        <v>220</v>
      </c>
      <c r="F31" s="42">
        <v>316.2</v>
      </c>
      <c r="G31" s="34" t="s">
        <v>19</v>
      </c>
      <c r="H31" s="35">
        <v>1981</v>
      </c>
      <c r="I31" s="36">
        <v>3353</v>
      </c>
      <c r="J31" s="37">
        <v>52</v>
      </c>
      <c r="K31" s="25">
        <f t="shared" si="0"/>
        <v>345.39923600000003</v>
      </c>
      <c r="L31" s="39" t="s">
        <v>3389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ref="K32:K40" si="2">(H32/1000*I32/1000)*J32</f>
        <v>0</v>
      </c>
      <c r="L32" s="39"/>
    </row>
    <row r="33" spans="1:12" s="27" customFormat="1" ht="19.5" customHeight="1" x14ac:dyDescent="0.3">
      <c r="A33" s="28"/>
      <c r="B33" s="16" t="s">
        <v>1483</v>
      </c>
      <c r="C33" s="17">
        <v>22</v>
      </c>
      <c r="D33" s="18" t="s">
        <v>17</v>
      </c>
      <c r="E33" s="41">
        <v>260</v>
      </c>
      <c r="F33" s="42">
        <v>249.6</v>
      </c>
      <c r="G33" s="34" t="s">
        <v>3443</v>
      </c>
      <c r="H33" s="35">
        <v>1981</v>
      </c>
      <c r="I33" s="36">
        <v>3353</v>
      </c>
      <c r="J33" s="37">
        <v>40</v>
      </c>
      <c r="K33" s="25">
        <f t="shared" si="2"/>
        <v>265.69172000000003</v>
      </c>
      <c r="L33" s="39" t="s">
        <v>3447</v>
      </c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2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2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2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2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2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2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2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0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0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0"/>
        <v>0</v>
      </c>
      <c r="L44" s="39"/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25">
        <f t="shared" si="0"/>
        <v>0</v>
      </c>
      <c r="L45" s="39"/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/>
      <c r="H46" s="35"/>
      <c r="I46" s="36"/>
      <c r="J46" s="37"/>
      <c r="K46" s="25">
        <f t="shared" si="0"/>
        <v>0</v>
      </c>
      <c r="L46" s="39"/>
    </row>
    <row r="47" spans="1:12" s="27" customFormat="1" ht="19.5" customHeight="1" x14ac:dyDescent="0.3">
      <c r="A47" s="28"/>
      <c r="B47" s="16"/>
      <c r="C47" s="17"/>
      <c r="D47" s="18"/>
      <c r="E47" s="41"/>
      <c r="F47" s="42"/>
      <c r="G47" s="34"/>
      <c r="H47" s="35"/>
      <c r="I47" s="36"/>
      <c r="J47" s="37"/>
      <c r="K47" s="25">
        <f t="shared" si="0"/>
        <v>0</v>
      </c>
      <c r="L47" s="39"/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25">
        <f t="shared" si="0"/>
        <v>0</v>
      </c>
      <c r="L48" s="39"/>
    </row>
    <row r="49" spans="1:12" s="27" customFormat="1" ht="19.5" customHeight="1" x14ac:dyDescent="0.3">
      <c r="A49" s="28"/>
      <c r="B49" s="29"/>
      <c r="C49" s="30"/>
      <c r="D49" s="31"/>
      <c r="E49" s="41"/>
      <c r="F49" s="42"/>
      <c r="G49" s="43"/>
      <c r="H49" s="35"/>
      <c r="I49" s="36"/>
      <c r="J49" s="37"/>
      <c r="K49" s="38">
        <f t="shared" si="0"/>
        <v>0</v>
      </c>
      <c r="L49" s="39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3387</v>
      </c>
      <c r="B51" s="45" t="s">
        <v>2909</v>
      </c>
      <c r="C51" s="46">
        <v>24</v>
      </c>
      <c r="D51" s="47" t="s">
        <v>55</v>
      </c>
      <c r="E51" s="48">
        <v>44</v>
      </c>
      <c r="F51" s="49">
        <v>19.88</v>
      </c>
      <c r="G51" s="50" t="s">
        <v>18</v>
      </c>
      <c r="H51" s="51">
        <v>2438</v>
      </c>
      <c r="I51" s="45">
        <v>3353</v>
      </c>
      <c r="J51" s="52">
        <v>3</v>
      </c>
      <c r="K51" s="53">
        <f t="shared" si="0"/>
        <v>24.523842000000002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 t="s">
        <v>56</v>
      </c>
      <c r="H52" s="51">
        <v>2438</v>
      </c>
      <c r="I52" s="45">
        <v>3353</v>
      </c>
      <c r="J52" s="52">
        <v>3</v>
      </c>
      <c r="K52" s="53">
        <f t="shared" si="0"/>
        <v>24.523842000000002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3330</v>
      </c>
      <c r="B54" s="45" t="s">
        <v>21</v>
      </c>
      <c r="C54" s="46">
        <v>22</v>
      </c>
      <c r="D54" s="47" t="s">
        <v>17</v>
      </c>
      <c r="E54" s="48">
        <v>208</v>
      </c>
      <c r="F54" s="49">
        <v>170.12</v>
      </c>
      <c r="G54" s="50" t="s">
        <v>18</v>
      </c>
      <c r="H54" s="51">
        <v>1981</v>
      </c>
      <c r="I54" s="45">
        <v>3353</v>
      </c>
      <c r="J54" s="52">
        <v>29</v>
      </c>
      <c r="K54" s="53">
        <f t="shared" si="0"/>
        <v>192.626497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 t="s">
        <v>19</v>
      </c>
      <c r="H55" s="51">
        <v>1981</v>
      </c>
      <c r="I55" s="45">
        <v>3353</v>
      </c>
      <c r="J55" s="52">
        <v>28</v>
      </c>
      <c r="K55" s="53">
        <f t="shared" si="0"/>
        <v>185.98420400000001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3329</v>
      </c>
      <c r="B57" s="45" t="s">
        <v>21</v>
      </c>
      <c r="C57" s="46">
        <v>22</v>
      </c>
      <c r="D57" s="47" t="s">
        <v>17</v>
      </c>
      <c r="E57" s="48">
        <v>160</v>
      </c>
      <c r="F57" s="49">
        <v>134.32</v>
      </c>
      <c r="G57" s="50" t="s">
        <v>19</v>
      </c>
      <c r="H57" s="51">
        <v>1981</v>
      </c>
      <c r="I57" s="45">
        <v>3353</v>
      </c>
      <c r="J57" s="52">
        <v>22</v>
      </c>
      <c r="K57" s="53">
        <f t="shared" si="0"/>
        <v>146.13044600000001</v>
      </c>
      <c r="L57" s="54" t="s">
        <v>106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3377</v>
      </c>
      <c r="B59" s="76" t="s">
        <v>145</v>
      </c>
      <c r="C59" s="46">
        <v>22</v>
      </c>
      <c r="D59" s="47" t="s">
        <v>17</v>
      </c>
      <c r="E59" s="48">
        <v>140</v>
      </c>
      <c r="F59" s="49">
        <v>155.1</v>
      </c>
      <c r="G59" s="50" t="s">
        <v>18</v>
      </c>
      <c r="H59" s="51">
        <v>1981</v>
      </c>
      <c r="I59" s="45">
        <v>3353</v>
      </c>
      <c r="J59" s="52">
        <v>25</v>
      </c>
      <c r="K59" s="53">
        <f t="shared" si="0"/>
        <v>166.05732500000002</v>
      </c>
      <c r="L59" s="54" t="s">
        <v>100</v>
      </c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57</v>
      </c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3390</v>
      </c>
      <c r="B62" s="45" t="s">
        <v>3391</v>
      </c>
      <c r="C62" s="46">
        <v>25.76</v>
      </c>
      <c r="D62" s="47" t="s">
        <v>3392</v>
      </c>
      <c r="E62" s="48">
        <v>36</v>
      </c>
      <c r="F62" s="49">
        <v>20.88</v>
      </c>
      <c r="G62" s="50" t="s">
        <v>19</v>
      </c>
      <c r="H62" s="51">
        <v>2134</v>
      </c>
      <c r="I62" s="45">
        <v>3048</v>
      </c>
      <c r="J62" s="52">
        <v>4</v>
      </c>
      <c r="K62" s="53">
        <f t="shared" ref="K62" si="3">(H62/1000*I62/1000)*J62</f>
        <v>26.017727999999998</v>
      </c>
      <c r="L62" s="54" t="s">
        <v>106</v>
      </c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3393</v>
      </c>
      <c r="B64" s="45" t="s">
        <v>3391</v>
      </c>
      <c r="C64" s="46">
        <v>25.76</v>
      </c>
      <c r="D64" s="47" t="s">
        <v>3392</v>
      </c>
      <c r="E64" s="48">
        <v>36</v>
      </c>
      <c r="F64" s="49">
        <v>18.48</v>
      </c>
      <c r="G64" s="50" t="s">
        <v>19</v>
      </c>
      <c r="H64" s="51">
        <v>2134</v>
      </c>
      <c r="I64" s="45">
        <v>3048</v>
      </c>
      <c r="J64" s="52">
        <v>3</v>
      </c>
      <c r="K64" s="53">
        <f t="shared" si="0"/>
        <v>19.513295999999997</v>
      </c>
      <c r="L64" s="54" t="s">
        <v>106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3394</v>
      </c>
      <c r="B66" s="45" t="s">
        <v>3391</v>
      </c>
      <c r="C66" s="46">
        <v>25.76</v>
      </c>
      <c r="D66" s="47" t="s">
        <v>3392</v>
      </c>
      <c r="E66" s="48">
        <v>28</v>
      </c>
      <c r="F66" s="49">
        <v>13.36</v>
      </c>
      <c r="G66" s="50" t="s">
        <v>19</v>
      </c>
      <c r="H66" s="51">
        <v>2134</v>
      </c>
      <c r="I66" s="45">
        <v>3048</v>
      </c>
      <c r="J66" s="52">
        <v>2</v>
      </c>
      <c r="K66" s="53">
        <f t="shared" ref="K66" si="4">(H66/1000*I66/1000)*J66</f>
        <v>13.008863999999999</v>
      </c>
      <c r="L66" s="54" t="s">
        <v>106</v>
      </c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 t="s">
        <v>3395</v>
      </c>
      <c r="B68" s="45" t="s">
        <v>3391</v>
      </c>
      <c r="C68" s="46">
        <v>25.76</v>
      </c>
      <c r="D68" s="47" t="s">
        <v>3392</v>
      </c>
      <c r="E68" s="48">
        <v>56</v>
      </c>
      <c r="F68" s="49">
        <v>33.28</v>
      </c>
      <c r="G68" s="50" t="s">
        <v>19</v>
      </c>
      <c r="H68" s="51">
        <v>2134</v>
      </c>
      <c r="I68" s="45">
        <v>3048</v>
      </c>
      <c r="J68" s="52">
        <v>5</v>
      </c>
      <c r="K68" s="53">
        <f t="shared" si="0"/>
        <v>32.52216</v>
      </c>
      <c r="L68" s="54" t="s">
        <v>106</v>
      </c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 t="s">
        <v>3396</v>
      </c>
      <c r="B70" s="45" t="s">
        <v>3397</v>
      </c>
      <c r="C70" s="46">
        <v>22</v>
      </c>
      <c r="D70" s="47" t="s">
        <v>3398</v>
      </c>
      <c r="E70" s="48">
        <v>12</v>
      </c>
      <c r="F70" s="49">
        <v>13.2</v>
      </c>
      <c r="G70" s="50" t="s">
        <v>19</v>
      </c>
      <c r="H70" s="51">
        <v>1981</v>
      </c>
      <c r="I70" s="45">
        <v>3353</v>
      </c>
      <c r="J70" s="52">
        <v>12</v>
      </c>
      <c r="K70" s="53">
        <f t="shared" si="0"/>
        <v>79.707515999999998</v>
      </c>
      <c r="L70" s="54" t="s">
        <v>3404</v>
      </c>
    </row>
    <row r="71" spans="1:12" s="55" customFormat="1" ht="19.5" customHeight="1" x14ac:dyDescent="0.3">
      <c r="A71" s="44"/>
      <c r="B71" s="45"/>
      <c r="C71" s="46">
        <v>46.78</v>
      </c>
      <c r="D71" s="47" t="s">
        <v>3399</v>
      </c>
      <c r="E71" s="48">
        <v>4</v>
      </c>
      <c r="F71" s="49">
        <v>1.8</v>
      </c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 t="s">
        <v>3400</v>
      </c>
      <c r="B72" s="45" t="s">
        <v>3397</v>
      </c>
      <c r="C72" s="46">
        <v>22</v>
      </c>
      <c r="D72" s="47" t="s">
        <v>3398</v>
      </c>
      <c r="E72" s="48">
        <v>8</v>
      </c>
      <c r="F72" s="49">
        <v>12.8</v>
      </c>
      <c r="G72" s="50"/>
      <c r="H72" s="51"/>
      <c r="I72" s="45"/>
      <c r="J72" s="52"/>
      <c r="K72" s="53"/>
      <c r="L72" s="54"/>
    </row>
    <row r="73" spans="1:12" s="55" customFormat="1" ht="19.5" customHeight="1" x14ac:dyDescent="0.3">
      <c r="A73" s="44"/>
      <c r="B73" s="45"/>
      <c r="C73" s="46">
        <v>46.78</v>
      </c>
      <c r="D73" s="47" t="s">
        <v>3399</v>
      </c>
      <c r="E73" s="48">
        <v>4</v>
      </c>
      <c r="F73" s="49">
        <v>1.6</v>
      </c>
      <c r="G73" s="50"/>
      <c r="H73" s="51"/>
      <c r="I73" s="45"/>
      <c r="J73" s="52"/>
      <c r="K73" s="53"/>
      <c r="L73" s="54"/>
    </row>
    <row r="74" spans="1:12" s="55" customFormat="1" ht="19.5" customHeight="1" x14ac:dyDescent="0.3">
      <c r="A74" s="44" t="s">
        <v>3401</v>
      </c>
      <c r="B74" s="45" t="s">
        <v>3397</v>
      </c>
      <c r="C74" s="46">
        <v>22</v>
      </c>
      <c r="D74" s="47" t="s">
        <v>3398</v>
      </c>
      <c r="E74" s="48">
        <v>8</v>
      </c>
      <c r="F74" s="49">
        <v>11.28</v>
      </c>
      <c r="G74" s="50"/>
      <c r="H74" s="51"/>
      <c r="I74" s="45"/>
      <c r="J74" s="52"/>
      <c r="K74" s="53"/>
      <c r="L74" s="54"/>
    </row>
    <row r="75" spans="1:12" s="55" customFormat="1" ht="19.5" customHeight="1" x14ac:dyDescent="0.3">
      <c r="A75" s="44"/>
      <c r="B75" s="45"/>
      <c r="C75" s="46">
        <v>46.78</v>
      </c>
      <c r="D75" s="47" t="s">
        <v>3399</v>
      </c>
      <c r="E75" s="48">
        <v>4</v>
      </c>
      <c r="F75" s="49">
        <v>1.6</v>
      </c>
      <c r="G75" s="50"/>
      <c r="H75" s="51"/>
      <c r="I75" s="45"/>
      <c r="J75" s="52"/>
      <c r="K75" s="53"/>
      <c r="L75" s="54"/>
    </row>
    <row r="76" spans="1:12" s="55" customFormat="1" ht="19.5" customHeight="1" x14ac:dyDescent="0.3">
      <c r="A76" s="44" t="s">
        <v>3402</v>
      </c>
      <c r="B76" s="45" t="s">
        <v>3397</v>
      </c>
      <c r="C76" s="46">
        <v>22</v>
      </c>
      <c r="D76" s="47" t="s">
        <v>3398</v>
      </c>
      <c r="E76" s="48">
        <v>24</v>
      </c>
      <c r="F76" s="49">
        <v>26.4</v>
      </c>
      <c r="G76" s="50"/>
      <c r="H76" s="51"/>
      <c r="I76" s="45"/>
      <c r="J76" s="52"/>
      <c r="K76" s="53"/>
      <c r="L76" s="54"/>
    </row>
    <row r="77" spans="1:12" s="55" customFormat="1" ht="19.5" customHeight="1" x14ac:dyDescent="0.3">
      <c r="A77" s="44"/>
      <c r="B77" s="45"/>
      <c r="C77" s="46">
        <v>46.78</v>
      </c>
      <c r="D77" s="47" t="s">
        <v>3399</v>
      </c>
      <c r="E77" s="48">
        <v>8</v>
      </c>
      <c r="F77" s="49">
        <v>3.6</v>
      </c>
      <c r="G77" s="50"/>
      <c r="H77" s="51"/>
      <c r="I77" s="45"/>
      <c r="J77" s="52"/>
      <c r="K77" s="53">
        <f t="shared" ref="K77" si="5">(H77/1000*I77/1000)*J77</f>
        <v>0</v>
      </c>
      <c r="L77" s="54"/>
    </row>
    <row r="78" spans="1:12" s="55" customFormat="1" ht="19.5" customHeight="1" x14ac:dyDescent="0.3">
      <c r="A78" s="44"/>
      <c r="B78" s="76"/>
      <c r="C78" s="46"/>
      <c r="D78" s="47"/>
      <c r="E78" s="48"/>
      <c r="F78" s="49"/>
      <c r="G78" s="50"/>
      <c r="H78" s="51"/>
      <c r="I78" s="45"/>
      <c r="J78" s="52"/>
      <c r="K78" s="53"/>
      <c r="L78" s="54"/>
    </row>
    <row r="79" spans="1:12" s="55" customFormat="1" ht="19.5" customHeight="1" x14ac:dyDescent="0.3">
      <c r="A79" s="44" t="s">
        <v>3396</v>
      </c>
      <c r="B79" s="45" t="s">
        <v>3397</v>
      </c>
      <c r="C79" s="46">
        <v>46.78</v>
      </c>
      <c r="D79" s="47" t="s">
        <v>3399</v>
      </c>
      <c r="E79" s="48">
        <v>4</v>
      </c>
      <c r="F79" s="49">
        <v>1.8</v>
      </c>
      <c r="G79" s="50" t="s">
        <v>3403</v>
      </c>
      <c r="H79" s="51">
        <v>1981</v>
      </c>
      <c r="I79" s="45">
        <v>3353</v>
      </c>
      <c r="J79" s="52">
        <v>2</v>
      </c>
      <c r="K79" s="53">
        <f t="shared" ref="K79" si="6">(H79/1000*I79/1000)*J79</f>
        <v>13.284586000000001</v>
      </c>
      <c r="L79" s="54" t="s">
        <v>3405</v>
      </c>
    </row>
    <row r="80" spans="1:12" s="55" customFormat="1" ht="19.5" customHeight="1" x14ac:dyDescent="0.3">
      <c r="A80" s="44" t="s">
        <v>3400</v>
      </c>
      <c r="B80" s="45" t="s">
        <v>3397</v>
      </c>
      <c r="C80" s="46">
        <v>46.78</v>
      </c>
      <c r="D80" s="47" t="s">
        <v>3399</v>
      </c>
      <c r="E80" s="48">
        <v>4</v>
      </c>
      <c r="F80" s="49">
        <v>1.6</v>
      </c>
      <c r="G80" s="50"/>
      <c r="H80" s="51"/>
      <c r="I80" s="45"/>
      <c r="J80" s="52"/>
      <c r="K80" s="53"/>
      <c r="L80" s="54"/>
    </row>
    <row r="81" spans="1:12" s="55" customFormat="1" ht="19.5" customHeight="1" x14ac:dyDescent="0.3">
      <c r="A81" s="44" t="s">
        <v>3401</v>
      </c>
      <c r="B81" s="45" t="s">
        <v>3397</v>
      </c>
      <c r="C81" s="46">
        <v>46.78</v>
      </c>
      <c r="D81" s="47" t="s">
        <v>3399</v>
      </c>
      <c r="E81" s="48">
        <v>4</v>
      </c>
      <c r="F81" s="49">
        <v>1.6</v>
      </c>
      <c r="G81" s="50"/>
      <c r="H81" s="51"/>
      <c r="I81" s="45"/>
      <c r="J81" s="52"/>
      <c r="K81" s="53"/>
      <c r="L81" s="54"/>
    </row>
    <row r="82" spans="1:12" s="55" customFormat="1" ht="19.5" customHeight="1" x14ac:dyDescent="0.3">
      <c r="A82" s="44" t="s">
        <v>3402</v>
      </c>
      <c r="B82" s="45" t="s">
        <v>3397</v>
      </c>
      <c r="C82" s="46">
        <v>46.78</v>
      </c>
      <c r="D82" s="47" t="s">
        <v>3399</v>
      </c>
      <c r="E82" s="48">
        <v>8</v>
      </c>
      <c r="F82" s="49">
        <v>3.6</v>
      </c>
      <c r="G82" s="50"/>
      <c r="H82" s="51"/>
      <c r="I82" s="45"/>
      <c r="J82" s="52"/>
      <c r="K82" s="53"/>
      <c r="L82" s="54"/>
    </row>
    <row r="83" spans="1:12" s="55" customFormat="1" ht="19.5" customHeight="1" x14ac:dyDescent="0.3">
      <c r="A83" s="44"/>
      <c r="B83" s="76"/>
      <c r="C83" s="46"/>
      <c r="D83" s="47"/>
      <c r="E83" s="48"/>
      <c r="F83" s="49"/>
      <c r="G83" s="50"/>
      <c r="H83" s="51"/>
      <c r="I83" s="45"/>
      <c r="J83" s="52"/>
      <c r="K83" s="53"/>
      <c r="L83" s="54"/>
    </row>
    <row r="84" spans="1:12" s="55" customFormat="1" ht="19.5" customHeight="1" x14ac:dyDescent="0.3">
      <c r="A84" s="44" t="s">
        <v>3396</v>
      </c>
      <c r="B84" s="45" t="s">
        <v>3397</v>
      </c>
      <c r="C84" s="46">
        <v>22</v>
      </c>
      <c r="D84" s="47" t="s">
        <v>3398</v>
      </c>
      <c r="E84" s="48">
        <v>12</v>
      </c>
      <c r="F84" s="49">
        <v>13.2</v>
      </c>
      <c r="G84" s="50" t="s">
        <v>3406</v>
      </c>
      <c r="H84" s="51">
        <v>2590</v>
      </c>
      <c r="I84" s="45">
        <v>3353</v>
      </c>
      <c r="J84" s="52">
        <v>6</v>
      </c>
      <c r="K84" s="53">
        <f t="shared" ref="K84:K85" si="7">(H84/1000*I84/1000)*J84</f>
        <v>52.105619999999988</v>
      </c>
      <c r="L84" s="54" t="s">
        <v>3407</v>
      </c>
    </row>
    <row r="85" spans="1:12" s="55" customFormat="1" ht="19.5" customHeight="1" x14ac:dyDescent="0.3">
      <c r="A85" s="44" t="s">
        <v>3400</v>
      </c>
      <c r="B85" s="45" t="s">
        <v>3397</v>
      </c>
      <c r="C85" s="46">
        <v>22</v>
      </c>
      <c r="D85" s="47" t="s">
        <v>3398</v>
      </c>
      <c r="E85" s="48">
        <v>8</v>
      </c>
      <c r="F85" s="49">
        <v>12.8</v>
      </c>
      <c r="G85" s="50" t="s">
        <v>3406</v>
      </c>
      <c r="H85" s="51">
        <v>2590</v>
      </c>
      <c r="I85" s="45">
        <v>3048</v>
      </c>
      <c r="J85" s="52">
        <v>2</v>
      </c>
      <c r="K85" s="53">
        <f t="shared" si="7"/>
        <v>15.788639999999999</v>
      </c>
      <c r="L85" s="54"/>
    </row>
    <row r="86" spans="1:12" s="55" customFormat="1" ht="19.5" customHeight="1" x14ac:dyDescent="0.3">
      <c r="A86" s="44" t="s">
        <v>3401</v>
      </c>
      <c r="B86" s="45" t="s">
        <v>3397</v>
      </c>
      <c r="C86" s="46">
        <v>22</v>
      </c>
      <c r="D86" s="47" t="s">
        <v>3398</v>
      </c>
      <c r="E86" s="48">
        <v>8</v>
      </c>
      <c r="F86" s="49">
        <v>11.28</v>
      </c>
      <c r="G86" s="50"/>
      <c r="H86" s="51"/>
      <c r="I86" s="45"/>
      <c r="J86" s="52"/>
      <c r="K86" s="53"/>
      <c r="L86" s="54"/>
    </row>
    <row r="87" spans="1:12" s="55" customFormat="1" ht="19.5" customHeight="1" x14ac:dyDescent="0.3">
      <c r="A87" s="44" t="s">
        <v>3402</v>
      </c>
      <c r="B87" s="45" t="s">
        <v>3397</v>
      </c>
      <c r="C87" s="46">
        <v>22</v>
      </c>
      <c r="D87" s="47" t="s">
        <v>3398</v>
      </c>
      <c r="E87" s="48">
        <v>24</v>
      </c>
      <c r="F87" s="49">
        <v>26.4</v>
      </c>
      <c r="G87" s="50"/>
      <c r="H87" s="51"/>
      <c r="I87" s="45"/>
      <c r="J87" s="52"/>
      <c r="K87" s="53"/>
      <c r="L87" s="54"/>
    </row>
    <row r="88" spans="1:12" s="55" customFormat="1" ht="19.5" customHeight="1" x14ac:dyDescent="0.3">
      <c r="A88" s="44"/>
      <c r="B88" s="76"/>
      <c r="C88" s="46"/>
      <c r="D88" s="47"/>
      <c r="E88" s="48"/>
      <c r="F88" s="49"/>
      <c r="G88" s="50"/>
      <c r="H88" s="51"/>
      <c r="I88" s="45"/>
      <c r="J88" s="52"/>
      <c r="K88" s="53"/>
      <c r="L88" s="54"/>
    </row>
    <row r="89" spans="1:12" s="55" customFormat="1" ht="19.5" customHeight="1" x14ac:dyDescent="0.3">
      <c r="A89" s="44"/>
      <c r="B89" s="76"/>
      <c r="C89" s="46"/>
      <c r="D89" s="47"/>
      <c r="E89" s="48"/>
      <c r="F89" s="49"/>
      <c r="G89" s="50"/>
      <c r="H89" s="51"/>
      <c r="I89" s="45"/>
      <c r="J89" s="52"/>
      <c r="K89" s="53"/>
      <c r="L89" s="54"/>
    </row>
    <row r="90" spans="1:12" s="55" customFormat="1" ht="19.5" customHeight="1" x14ac:dyDescent="0.3">
      <c r="A90" s="44"/>
      <c r="B90" s="45"/>
      <c r="C90" s="46"/>
      <c r="D90" s="47"/>
      <c r="E90" s="48"/>
      <c r="F90" s="49"/>
      <c r="G90" s="50"/>
      <c r="H90" s="51"/>
      <c r="I90" s="45"/>
      <c r="J90" s="52"/>
      <c r="K90" s="53">
        <f t="shared" si="0"/>
        <v>0</v>
      </c>
      <c r="L90" s="54"/>
    </row>
    <row r="91" spans="1:12" s="55" customFormat="1" ht="19.5" customHeight="1" x14ac:dyDescent="0.3">
      <c r="A91" s="44"/>
      <c r="B91" s="76"/>
      <c r="C91" s="46"/>
      <c r="D91" s="47"/>
      <c r="E91" s="48"/>
      <c r="F91" s="49"/>
      <c r="G91" s="50"/>
      <c r="H91" s="51"/>
      <c r="I91" s="45"/>
      <c r="J91" s="52"/>
      <c r="K91" s="53">
        <f t="shared" si="0"/>
        <v>0</v>
      </c>
      <c r="L91" s="54"/>
    </row>
    <row r="92" spans="1:12" s="55" customFormat="1" ht="19.5" customHeight="1" x14ac:dyDescent="0.3">
      <c r="A92" s="44"/>
      <c r="B92" s="76"/>
      <c r="C92" s="46"/>
      <c r="D92" s="47"/>
      <c r="E92" s="48"/>
      <c r="F92" s="49"/>
      <c r="G92" s="50"/>
      <c r="H92" s="51"/>
      <c r="I92" s="45"/>
      <c r="J92" s="52"/>
      <c r="K92" s="53">
        <f t="shared" si="0"/>
        <v>0</v>
      </c>
      <c r="L92" s="54"/>
    </row>
    <row r="93" spans="1:12" s="55" customFormat="1" ht="19.5" customHeight="1" x14ac:dyDescent="0.3">
      <c r="A93" s="44"/>
      <c r="B93" s="76"/>
      <c r="C93" s="46"/>
      <c r="D93" s="47"/>
      <c r="E93" s="48"/>
      <c r="F93" s="49"/>
      <c r="G93" s="50"/>
      <c r="H93" s="51"/>
      <c r="I93" s="45"/>
      <c r="J93" s="52"/>
      <c r="K93" s="53">
        <f t="shared" si="0"/>
        <v>0</v>
      </c>
      <c r="L93" s="54"/>
    </row>
    <row r="94" spans="1:12" s="55" customFormat="1" ht="19.5" customHeight="1" x14ac:dyDescent="0.3">
      <c r="A94" s="44"/>
      <c r="B94" s="76"/>
      <c r="C94" s="46"/>
      <c r="D94" s="47"/>
      <c r="E94" s="48"/>
      <c r="F94" s="49"/>
      <c r="G94" s="50"/>
      <c r="H94" s="51"/>
      <c r="I94" s="45"/>
      <c r="J94" s="52"/>
      <c r="K94" s="53">
        <f t="shared" si="0"/>
        <v>0</v>
      </c>
      <c r="L94" s="54"/>
    </row>
    <row r="95" spans="1:12" s="55" customFormat="1" ht="19.5" customHeight="1" x14ac:dyDescent="0.3">
      <c r="A95" s="44"/>
      <c r="B95" s="76"/>
      <c r="C95" s="46"/>
      <c r="D95" s="47"/>
      <c r="E95" s="48"/>
      <c r="F95" s="49"/>
      <c r="G95" s="50"/>
      <c r="H95" s="51"/>
      <c r="I95" s="45"/>
      <c r="J95" s="52"/>
      <c r="K95" s="53">
        <f t="shared" si="0"/>
        <v>0</v>
      </c>
      <c r="L95" s="54"/>
    </row>
    <row r="96" spans="1:12" s="55" customFormat="1" ht="19.5" customHeight="1" x14ac:dyDescent="0.3">
      <c r="A96" s="44"/>
      <c r="B96" s="76"/>
      <c r="C96" s="46"/>
      <c r="D96" s="47"/>
      <c r="E96" s="48"/>
      <c r="F96" s="49"/>
      <c r="G96" s="50"/>
      <c r="H96" s="51"/>
      <c r="I96" s="45"/>
      <c r="J96" s="52"/>
      <c r="K96" s="53">
        <f t="shared" si="0"/>
        <v>0</v>
      </c>
      <c r="L96" s="54"/>
    </row>
    <row r="97" spans="1:12" s="55" customFormat="1" ht="19.5" customHeight="1" x14ac:dyDescent="0.3">
      <c r="A97" s="44"/>
      <c r="B97" s="76"/>
      <c r="C97" s="46"/>
      <c r="D97" s="47"/>
      <c r="E97" s="48"/>
      <c r="F97" s="49"/>
      <c r="G97" s="50"/>
      <c r="H97" s="51"/>
      <c r="I97" s="45"/>
      <c r="J97" s="52"/>
      <c r="K97" s="53">
        <f t="shared" si="0"/>
        <v>0</v>
      </c>
      <c r="L97" s="54"/>
    </row>
    <row r="98" spans="1:12" s="55" customFormat="1" ht="19.5" customHeight="1" x14ac:dyDescent="0.3">
      <c r="A98" s="44"/>
      <c r="B98" s="76"/>
      <c r="C98" s="46"/>
      <c r="D98" s="47"/>
      <c r="E98" s="48"/>
      <c r="F98" s="49"/>
      <c r="G98" s="50"/>
      <c r="H98" s="51"/>
      <c r="I98" s="45"/>
      <c r="J98" s="52"/>
      <c r="K98" s="53">
        <f t="shared" si="0"/>
        <v>0</v>
      </c>
      <c r="L98" s="54"/>
    </row>
    <row r="99" spans="1:12" s="55" customFormat="1" ht="19.5" customHeight="1" x14ac:dyDescent="0.3">
      <c r="A99" s="44"/>
      <c r="B99" s="45"/>
      <c r="C99" s="46"/>
      <c r="D99" s="47"/>
      <c r="E99" s="48"/>
      <c r="F99" s="49"/>
      <c r="G99" s="50"/>
      <c r="H99" s="51"/>
      <c r="I99" s="45"/>
      <c r="J99" s="52"/>
      <c r="K99" s="53">
        <f t="shared" si="0"/>
        <v>0</v>
      </c>
      <c r="L99" s="54"/>
    </row>
    <row r="100" spans="1:12" s="59" customFormat="1" ht="20.100000000000001" customHeight="1" x14ac:dyDescent="0.3">
      <c r="A100" s="44"/>
      <c r="B100" s="45"/>
      <c r="C100" s="46"/>
      <c r="D100" s="47"/>
      <c r="E100" s="56"/>
      <c r="F100" s="57"/>
      <c r="G100" s="50"/>
      <c r="H100" s="51"/>
      <c r="I100" s="45"/>
      <c r="J100" s="52"/>
      <c r="K100" s="53">
        <f t="shared" si="0"/>
        <v>0</v>
      </c>
      <c r="L100" s="58">
        <f>SUM(J50:J101)</f>
        <v>146</v>
      </c>
    </row>
    <row r="101" spans="1:12" s="59" customFormat="1" ht="20.100000000000001" customHeight="1" x14ac:dyDescent="0.3">
      <c r="A101" s="44"/>
      <c r="B101" s="45"/>
      <c r="C101" s="46"/>
      <c r="D101" s="47"/>
      <c r="E101" s="60"/>
      <c r="F101" s="61"/>
      <c r="G101" s="62"/>
      <c r="H101" s="51"/>
      <c r="I101" s="45"/>
      <c r="J101" s="63"/>
      <c r="K101" s="53">
        <f t="shared" si="0"/>
        <v>0</v>
      </c>
      <c r="L101" s="64">
        <f>SUM(K50:K101)</f>
        <v>991.79456600000003</v>
      </c>
    </row>
    <row r="102" spans="1:12" s="59" customFormat="1" ht="20.100000000000001" customHeight="1" thickBot="1" x14ac:dyDescent="0.35">
      <c r="A102" s="114"/>
      <c r="B102" s="115"/>
      <c r="C102" s="115"/>
      <c r="D102" s="115"/>
      <c r="E102" s="115"/>
      <c r="F102" s="115"/>
      <c r="G102" s="115"/>
      <c r="H102" s="115"/>
      <c r="I102" s="115"/>
      <c r="J102" s="65">
        <f>SUM(J7:J101)</f>
        <v>382</v>
      </c>
      <c r="K102" s="66">
        <f>SUM(K7:K101)</f>
        <v>2567.6241220000006</v>
      </c>
      <c r="L102" s="67"/>
    </row>
    <row r="103" spans="1:12" s="59" customFormat="1" ht="20.100000000000001" customHeight="1" thickTop="1" thickBot="1" x14ac:dyDescent="0.35">
      <c r="A103" s="116" t="s">
        <v>52</v>
      </c>
      <c r="B103" s="117"/>
      <c r="C103" s="68"/>
      <c r="D103" s="118">
        <f>J102</f>
        <v>382</v>
      </c>
      <c r="E103" s="119"/>
      <c r="F103" s="119"/>
      <c r="G103" s="120"/>
      <c r="H103" s="121"/>
      <c r="I103" s="121"/>
      <c r="J103" s="122"/>
      <c r="K103" s="119"/>
      <c r="L103" s="123"/>
    </row>
    <row r="104" spans="1:12" s="59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71"/>
    </row>
    <row r="105" spans="1:12" s="59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59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59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59" customFormat="1" ht="20.100000000000001" customHeight="1" x14ac:dyDescent="0.3">
      <c r="A108" s="113"/>
      <c r="B108" s="113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59" customFormat="1" ht="20.100000000000001" customHeight="1" x14ac:dyDescent="0.3">
      <c r="A109" s="113"/>
      <c r="B109" s="113"/>
      <c r="C109" s="5"/>
      <c r="D109" s="5"/>
      <c r="E109" s="72"/>
      <c r="F109" s="5"/>
      <c r="G109" s="5"/>
      <c r="H109" s="5"/>
      <c r="I109" s="5"/>
      <c r="J109" s="5"/>
      <c r="K109" s="5"/>
      <c r="L109" s="5"/>
    </row>
    <row r="110" spans="1:12" s="59" customFormat="1" ht="20.100000000000001" customHeight="1" x14ac:dyDescent="0.3">
      <c r="A110" s="113"/>
      <c r="B110" s="113"/>
      <c r="C110" s="5"/>
      <c r="D110" s="5"/>
      <c r="E110" s="5"/>
      <c r="F110" s="5"/>
      <c r="G110" s="73"/>
      <c r="H110" s="5"/>
      <c r="I110" s="74"/>
      <c r="J110" s="5"/>
      <c r="K110" s="5"/>
      <c r="L110" s="5"/>
    </row>
    <row r="111" spans="1:12" s="59" customFormat="1" ht="20.100000000000001" customHeight="1" x14ac:dyDescent="0.3">
      <c r="A111" s="113"/>
      <c r="B111" s="113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59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59" customFormat="1" ht="20.100000000000001" customHeight="1" x14ac:dyDescent="0.3">
      <c r="A113" s="113"/>
      <c r="B113" s="113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59" customFormat="1" ht="20.100000000000001" customHeight="1" x14ac:dyDescent="0.3">
      <c r="A114" s="113"/>
      <c r="B114" s="113"/>
      <c r="C114" s="5"/>
      <c r="D114" s="5"/>
      <c r="E114" s="5"/>
      <c r="F114" s="70"/>
      <c r="G114" s="5"/>
      <c r="H114" s="72"/>
      <c r="I114" s="72"/>
      <c r="J114" s="5"/>
      <c r="K114" s="5"/>
      <c r="L114" s="5"/>
    </row>
    <row r="115" spans="1:12" ht="20.100000000000001" customHeight="1" x14ac:dyDescent="0.3">
      <c r="A115" s="113"/>
      <c r="B115" s="113"/>
      <c r="H115" s="72"/>
      <c r="I115" s="72"/>
    </row>
    <row r="116" spans="1:12" ht="20.100000000000001" customHeight="1" x14ac:dyDescent="0.3">
      <c r="H116" s="72"/>
      <c r="I116" s="72"/>
    </row>
    <row r="117" spans="1:12" ht="20.100000000000001" customHeight="1" x14ac:dyDescent="0.3">
      <c r="H117" s="72"/>
      <c r="I117" s="72"/>
    </row>
    <row r="118" spans="1:12" ht="20.100000000000001" customHeight="1" x14ac:dyDescent="0.3">
      <c r="A118" s="113"/>
      <c r="B118" s="113"/>
      <c r="H118" s="72"/>
      <c r="I118" s="72"/>
    </row>
    <row r="119" spans="1:12" ht="20.100000000000001" customHeight="1" x14ac:dyDescent="0.3">
      <c r="A119" s="113"/>
      <c r="B119" s="113"/>
      <c r="H119" s="72"/>
      <c r="I119" s="72"/>
    </row>
    <row r="120" spans="1:12" ht="20.100000000000001" customHeight="1" x14ac:dyDescent="0.3">
      <c r="H120" s="72"/>
      <c r="I120" s="72"/>
    </row>
    <row r="121" spans="1:12" ht="20.100000000000001" customHeight="1" x14ac:dyDescent="0.3">
      <c r="H121" s="72"/>
      <c r="I121" s="72"/>
    </row>
    <row r="122" spans="1:12" ht="20.100000000000001" customHeight="1" x14ac:dyDescent="0.3">
      <c r="H122" s="72"/>
      <c r="I122" s="72"/>
    </row>
    <row r="123" spans="1:12" s="72" customFormat="1" ht="20.100000000000001" customHeight="1" x14ac:dyDescent="0.3">
      <c r="A123" s="69"/>
      <c r="B123" s="5"/>
      <c r="C123" s="5"/>
      <c r="D123" s="5"/>
      <c r="E123" s="5"/>
      <c r="F123" s="70"/>
      <c r="G123" s="5"/>
      <c r="J123" s="5"/>
      <c r="K123" s="5"/>
      <c r="L123" s="5"/>
    </row>
    <row r="124" spans="1:12" s="72" customFormat="1" ht="20.100000000000001" customHeight="1" x14ac:dyDescent="0.3">
      <c r="A124" s="69"/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75" customFormat="1" ht="20.100000000000001" customHeight="1" x14ac:dyDescent="0.3">
      <c r="A125" s="69"/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75" customFormat="1" ht="20.100000000000001" customHeight="1" x14ac:dyDescent="0.3">
      <c r="A126" s="69"/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75" customFormat="1" ht="19.5" customHeight="1" x14ac:dyDescent="0.3">
      <c r="A127" s="69"/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72" customFormat="1" ht="20.100000000000001" customHeight="1" x14ac:dyDescent="0.3">
      <c r="A128" s="69"/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1:12" s="72" customFormat="1" ht="20.100000000000001" customHeight="1" x14ac:dyDescent="0.3">
      <c r="A129" s="69"/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1:12" ht="19.5" customHeight="1" x14ac:dyDescent="0.3"/>
    <row r="131" spans="1:12" ht="19.5" customHeight="1" x14ac:dyDescent="0.3"/>
    <row r="132" spans="1:12" ht="19.5" customHeight="1" x14ac:dyDescent="0.3"/>
    <row r="133" spans="1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1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1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1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1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1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1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1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1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1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1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1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ht="19.5" customHeight="1" x14ac:dyDescent="0.3"/>
    <row r="150" spans="2:12" ht="19.5" customHeight="1" x14ac:dyDescent="0.3"/>
    <row r="151" spans="2:12" ht="19.5" customHeight="1" x14ac:dyDescent="0.3"/>
    <row r="152" spans="2:12" ht="19.5" customHeight="1" x14ac:dyDescent="0.3"/>
    <row r="153" spans="2:12" ht="19.5" customHeight="1" x14ac:dyDescent="0.3"/>
    <row r="154" spans="2:12" ht="19.5" customHeight="1" x14ac:dyDescent="0.3"/>
    <row r="155" spans="2:12" ht="19.5" customHeight="1" x14ac:dyDescent="0.3"/>
    <row r="156" spans="2:12" ht="19.5" customHeight="1" x14ac:dyDescent="0.3"/>
    <row r="157" spans="2:12" ht="19.5" customHeight="1" x14ac:dyDescent="0.3"/>
    <row r="158" spans="2:12" ht="19.5" customHeight="1" x14ac:dyDescent="0.3"/>
    <row r="159" spans="2:12" ht="19.5" customHeight="1" x14ac:dyDescent="0.3"/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  <row r="185" spans="2:12" s="69" customFormat="1" ht="19.5" customHeight="1" x14ac:dyDescent="0.3">
      <c r="B185" s="5"/>
      <c r="C185" s="5"/>
      <c r="D185" s="5"/>
      <c r="E185" s="5"/>
      <c r="F185" s="70"/>
      <c r="G185" s="5"/>
      <c r="H185" s="5"/>
      <c r="I185" s="5"/>
      <c r="J185" s="5"/>
      <c r="K185" s="5"/>
      <c r="L185" s="5"/>
    </row>
    <row r="186" spans="2:12" s="69" customFormat="1" ht="19.5" customHeight="1" x14ac:dyDescent="0.3">
      <c r="B186" s="5"/>
      <c r="C186" s="5"/>
      <c r="D186" s="5"/>
      <c r="E186" s="5"/>
      <c r="F186" s="70"/>
      <c r="G186" s="5"/>
      <c r="H186" s="5"/>
      <c r="I186" s="5"/>
      <c r="J186" s="5"/>
      <c r="K186" s="5"/>
      <c r="L186" s="5"/>
    </row>
    <row r="187" spans="2:12" s="69" customFormat="1" ht="19.5" customHeight="1" x14ac:dyDescent="0.3">
      <c r="B187" s="5"/>
      <c r="C187" s="5"/>
      <c r="D187" s="5"/>
      <c r="E187" s="5"/>
      <c r="F187" s="70"/>
      <c r="G187" s="5"/>
      <c r="H187" s="5"/>
      <c r="I187" s="5"/>
      <c r="J187" s="5"/>
      <c r="K187" s="5"/>
      <c r="L187" s="5"/>
    </row>
    <row r="188" spans="2:12" s="69" customFormat="1" ht="19.5" customHeight="1" x14ac:dyDescent="0.3">
      <c r="B188" s="5"/>
      <c r="C188" s="5"/>
      <c r="D188" s="5"/>
      <c r="E188" s="5"/>
      <c r="F188" s="70"/>
      <c r="G188" s="5"/>
      <c r="H188" s="5"/>
      <c r="I188" s="5"/>
      <c r="J188" s="5"/>
      <c r="K188" s="5"/>
      <c r="L188" s="5"/>
    </row>
    <row r="189" spans="2:12" s="69" customFormat="1" ht="19.5" customHeight="1" x14ac:dyDescent="0.3">
      <c r="B189" s="5"/>
      <c r="C189" s="5"/>
      <c r="D189" s="5"/>
      <c r="E189" s="5"/>
      <c r="F189" s="70"/>
      <c r="G189" s="5"/>
      <c r="H189" s="5"/>
      <c r="I189" s="5"/>
      <c r="J189" s="5"/>
      <c r="K189" s="5"/>
      <c r="L189" s="5"/>
    </row>
    <row r="190" spans="2:12" s="69" customFormat="1" ht="19.5" customHeight="1" x14ac:dyDescent="0.3">
      <c r="B190" s="5"/>
      <c r="C190" s="5"/>
      <c r="D190" s="5"/>
      <c r="E190" s="5"/>
      <c r="F190" s="70"/>
      <c r="G190" s="5"/>
      <c r="H190" s="5"/>
      <c r="I190" s="5"/>
      <c r="J190" s="5"/>
      <c r="K190" s="5"/>
      <c r="L190" s="5"/>
    </row>
    <row r="191" spans="2:12" s="69" customFormat="1" ht="19.5" customHeight="1" x14ac:dyDescent="0.3">
      <c r="B191" s="5"/>
      <c r="C191" s="5"/>
      <c r="D191" s="5"/>
      <c r="E191" s="5"/>
      <c r="F191" s="70"/>
      <c r="G191" s="5"/>
      <c r="H191" s="5"/>
      <c r="I191" s="5"/>
      <c r="J191" s="5"/>
      <c r="K191" s="5"/>
      <c r="L191" s="5"/>
    </row>
    <row r="192" spans="2:12" s="69" customFormat="1" ht="19.5" customHeight="1" x14ac:dyDescent="0.3">
      <c r="B192" s="5"/>
      <c r="C192" s="5"/>
      <c r="D192" s="5"/>
      <c r="E192" s="5"/>
      <c r="F192" s="70"/>
      <c r="G192" s="5"/>
      <c r="H192" s="5"/>
      <c r="I192" s="5"/>
      <c r="J192" s="5"/>
      <c r="K192" s="5"/>
      <c r="L192" s="5"/>
    </row>
    <row r="193" spans="2:12" s="69" customFormat="1" ht="19.5" customHeight="1" x14ac:dyDescent="0.3">
      <c r="B193" s="5">
        <v>2</v>
      </c>
      <c r="C193" s="5"/>
      <c r="D193" s="5"/>
      <c r="E193" s="5"/>
      <c r="F193" s="70"/>
      <c r="G193" s="5"/>
      <c r="H193" s="5"/>
      <c r="I193" s="5"/>
      <c r="J193" s="5"/>
      <c r="K193" s="5"/>
      <c r="L193" s="5"/>
    </row>
  </sheetData>
  <mergeCells count="30">
    <mergeCell ref="A118:B118"/>
    <mergeCell ref="A119:B119"/>
    <mergeCell ref="A109:B109"/>
    <mergeCell ref="A110:B110"/>
    <mergeCell ref="A111:B111"/>
    <mergeCell ref="A113:B113"/>
    <mergeCell ref="A114:B114"/>
    <mergeCell ref="A115:B115"/>
    <mergeCell ref="A108:B10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102:I102"/>
    <mergeCell ref="A103:B103"/>
    <mergeCell ref="D103:G103"/>
    <mergeCell ref="H103:J103"/>
    <mergeCell ref="K103:L103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38" orientation="portrait" verticalDpi="30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L158"/>
  <sheetViews>
    <sheetView view="pageBreakPreview" topLeftCell="F61" zoomScale="85" zoomScaleSheetLayoutView="85" workbookViewId="0">
      <selection activeCell="L65" sqref="L65:L66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46141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6" si="0">(H7/1000*I7/1000)*J7</f>
        <v>0</v>
      </c>
      <c r="L7" s="26">
        <f>SUM(J7:J30)</f>
        <v>248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SUM(K7:K30)</f>
        <v>1617.6350400000001</v>
      </c>
    </row>
    <row r="9" spans="1:12" s="27" customFormat="1" ht="19.5" customHeight="1" x14ac:dyDescent="0.3">
      <c r="A9" s="28" t="s">
        <v>3342</v>
      </c>
      <c r="B9" s="16" t="s">
        <v>3343</v>
      </c>
      <c r="C9" s="17">
        <v>24</v>
      </c>
      <c r="D9" s="18" t="s">
        <v>3344</v>
      </c>
      <c r="E9" s="41">
        <v>12</v>
      </c>
      <c r="F9" s="42">
        <v>5.44</v>
      </c>
      <c r="G9" s="34" t="s">
        <v>3347</v>
      </c>
      <c r="H9" s="35">
        <v>2134</v>
      </c>
      <c r="I9" s="36">
        <v>3353</v>
      </c>
      <c r="J9" s="37">
        <v>1</v>
      </c>
      <c r="K9" s="25">
        <f t="shared" si="0"/>
        <v>7.1553019999999998</v>
      </c>
      <c r="L9" s="39"/>
    </row>
    <row r="10" spans="1:12" s="27" customFormat="1" ht="19.5" customHeight="1" x14ac:dyDescent="0.3">
      <c r="A10" s="28"/>
      <c r="B10" s="16"/>
      <c r="C10" s="17">
        <v>24</v>
      </c>
      <c r="D10" s="18" t="s">
        <v>3345</v>
      </c>
      <c r="E10" s="41">
        <v>4</v>
      </c>
      <c r="F10" s="42">
        <v>1.1200000000000001</v>
      </c>
      <c r="G10" s="34" t="s">
        <v>3348</v>
      </c>
      <c r="H10" s="35">
        <v>1981</v>
      </c>
      <c r="I10" s="36">
        <v>3353</v>
      </c>
      <c r="J10" s="37">
        <v>2</v>
      </c>
      <c r="K10" s="25">
        <f t="shared" si="0"/>
        <v>13.284586000000001</v>
      </c>
      <c r="L10" s="39"/>
    </row>
    <row r="11" spans="1:12" s="27" customFormat="1" ht="19.5" customHeight="1" x14ac:dyDescent="0.3">
      <c r="A11" s="28"/>
      <c r="B11" s="16"/>
      <c r="C11" s="17">
        <v>24</v>
      </c>
      <c r="D11" s="18" t="s">
        <v>3346</v>
      </c>
      <c r="E11" s="41">
        <v>19</v>
      </c>
      <c r="F11" s="42">
        <v>13.9</v>
      </c>
      <c r="G11" s="34" t="s">
        <v>3349</v>
      </c>
      <c r="H11" s="35">
        <v>1981</v>
      </c>
      <c r="I11" s="36">
        <v>3353</v>
      </c>
      <c r="J11" s="37">
        <v>3</v>
      </c>
      <c r="K11" s="25">
        <f t="shared" si="0"/>
        <v>19.926879</v>
      </c>
      <c r="L11" s="39"/>
    </row>
    <row r="12" spans="1:12" s="27" customFormat="1" ht="19.5" customHeight="1" x14ac:dyDescent="0.3">
      <c r="A12" s="28"/>
      <c r="B12" s="16"/>
      <c r="C12" s="17">
        <v>24</v>
      </c>
      <c r="D12" s="18" t="s">
        <v>3346</v>
      </c>
      <c r="E12" s="41">
        <v>4</v>
      </c>
      <c r="F12" s="42">
        <v>1.1200000000000001</v>
      </c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 t="s">
        <v>3320</v>
      </c>
      <c r="B14" s="16" t="s">
        <v>2941</v>
      </c>
      <c r="C14" s="17">
        <v>24</v>
      </c>
      <c r="D14" s="18" t="s">
        <v>2647</v>
      </c>
      <c r="E14" s="41">
        <v>99</v>
      </c>
      <c r="F14" s="42">
        <v>284.13</v>
      </c>
      <c r="G14" s="34" t="s">
        <v>62</v>
      </c>
      <c r="H14" s="35">
        <v>1981</v>
      </c>
      <c r="I14" s="36">
        <v>3048</v>
      </c>
      <c r="J14" s="37">
        <v>55</v>
      </c>
      <c r="K14" s="25">
        <f t="shared" si="0"/>
        <v>332.09484000000003</v>
      </c>
      <c r="L14" s="39" t="s">
        <v>3350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25">
        <f t="shared" si="0"/>
        <v>0</v>
      </c>
      <c r="L15" s="39"/>
    </row>
    <row r="16" spans="1:12" s="27" customFormat="1" ht="19.5" customHeight="1" x14ac:dyDescent="0.3">
      <c r="A16" s="28" t="s">
        <v>3351</v>
      </c>
      <c r="B16" s="16" t="s">
        <v>3352</v>
      </c>
      <c r="C16" s="17">
        <v>27</v>
      </c>
      <c r="D16" s="18" t="s">
        <v>3353</v>
      </c>
      <c r="E16" s="41">
        <v>19</v>
      </c>
      <c r="F16" s="42">
        <v>9.91</v>
      </c>
      <c r="G16" s="34" t="s">
        <v>3354</v>
      </c>
      <c r="H16" s="35">
        <v>2438</v>
      </c>
      <c r="I16" s="36">
        <v>3353</v>
      </c>
      <c r="J16" s="37">
        <v>2</v>
      </c>
      <c r="K16" s="25">
        <f t="shared" si="0"/>
        <v>16.349228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 t="s">
        <v>3349</v>
      </c>
      <c r="H17" s="35">
        <v>1981</v>
      </c>
      <c r="I17" s="36">
        <v>3353</v>
      </c>
      <c r="J17" s="37">
        <v>1</v>
      </c>
      <c r="K17" s="25">
        <f t="shared" si="0"/>
        <v>6.6422930000000004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 t="s">
        <v>3355</v>
      </c>
      <c r="B19" s="16" t="s">
        <v>3356</v>
      </c>
      <c r="C19" s="17">
        <v>22</v>
      </c>
      <c r="D19" s="18" t="s">
        <v>3357</v>
      </c>
      <c r="E19" s="41">
        <v>220</v>
      </c>
      <c r="F19" s="42">
        <v>316.2</v>
      </c>
      <c r="G19" s="34" t="s">
        <v>3358</v>
      </c>
      <c r="H19" s="35">
        <v>1981</v>
      </c>
      <c r="I19" s="36">
        <v>3353</v>
      </c>
      <c r="J19" s="37">
        <v>52</v>
      </c>
      <c r="K19" s="25">
        <f t="shared" si="0"/>
        <v>345.39923600000003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 t="s">
        <v>3349</v>
      </c>
      <c r="H20" s="35">
        <v>1981</v>
      </c>
      <c r="I20" s="36">
        <v>3353</v>
      </c>
      <c r="J20" s="37">
        <v>52</v>
      </c>
      <c r="K20" s="25">
        <f t="shared" si="0"/>
        <v>345.39923600000003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 t="s">
        <v>3359</v>
      </c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 t="s">
        <v>3379</v>
      </c>
      <c r="B23" s="16" t="s">
        <v>1483</v>
      </c>
      <c r="C23" s="17">
        <v>22</v>
      </c>
      <c r="D23" s="18" t="s">
        <v>17</v>
      </c>
      <c r="E23" s="41">
        <v>260</v>
      </c>
      <c r="F23" s="42">
        <v>249.6</v>
      </c>
      <c r="G23" s="34" t="s">
        <v>18</v>
      </c>
      <c r="H23" s="35">
        <v>1981</v>
      </c>
      <c r="I23" s="36">
        <v>3353</v>
      </c>
      <c r="J23" s="37">
        <v>40</v>
      </c>
      <c r="K23" s="25">
        <f t="shared" si="0"/>
        <v>265.69172000000003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19</v>
      </c>
      <c r="H24" s="35">
        <v>1981</v>
      </c>
      <c r="I24" s="36">
        <v>3353</v>
      </c>
      <c r="J24" s="37">
        <v>40</v>
      </c>
      <c r="K24" s="25">
        <f t="shared" si="0"/>
        <v>265.69172000000003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43"/>
      <c r="H30" s="35"/>
      <c r="I30" s="36"/>
      <c r="J30" s="37"/>
      <c r="K30" s="38">
        <f t="shared" si="0"/>
        <v>0</v>
      </c>
      <c r="L30" s="39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3360</v>
      </c>
      <c r="B32" s="45" t="s">
        <v>3361</v>
      </c>
      <c r="C32" s="46">
        <v>28</v>
      </c>
      <c r="D32" s="47" t="s">
        <v>3362</v>
      </c>
      <c r="E32" s="48">
        <v>4</v>
      </c>
      <c r="F32" s="49">
        <v>14</v>
      </c>
      <c r="G32" s="50" t="s">
        <v>3363</v>
      </c>
      <c r="H32" s="51">
        <v>2438</v>
      </c>
      <c r="I32" s="45">
        <v>3353</v>
      </c>
      <c r="J32" s="52">
        <v>4</v>
      </c>
      <c r="K32" s="53">
        <f t="shared" si="0"/>
        <v>32.698456</v>
      </c>
      <c r="L32" s="54"/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 t="s">
        <v>3364</v>
      </c>
      <c r="H33" s="51">
        <v>2134</v>
      </c>
      <c r="I33" s="45">
        <v>3353</v>
      </c>
      <c r="J33" s="52">
        <v>4</v>
      </c>
      <c r="K33" s="53">
        <f t="shared" si="0"/>
        <v>28.621207999999999</v>
      </c>
      <c r="L33" s="54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3365</v>
      </c>
      <c r="B35" s="45" t="s">
        <v>3378</v>
      </c>
      <c r="C35" s="46">
        <v>24</v>
      </c>
      <c r="D35" s="47" t="s">
        <v>3366</v>
      </c>
      <c r="E35" s="48">
        <v>4</v>
      </c>
      <c r="F35" s="49">
        <v>12.94</v>
      </c>
      <c r="G35" s="50" t="s">
        <v>3348</v>
      </c>
      <c r="H35" s="51">
        <v>1981</v>
      </c>
      <c r="I35" s="45">
        <v>3353</v>
      </c>
      <c r="J35" s="52">
        <v>8</v>
      </c>
      <c r="K35" s="53">
        <f t="shared" si="0"/>
        <v>53.138344000000004</v>
      </c>
      <c r="L35" s="54"/>
    </row>
    <row r="36" spans="1:12" s="55" customFormat="1" ht="19.5" customHeight="1" x14ac:dyDescent="0.3">
      <c r="A36" s="44"/>
      <c r="B36" s="45"/>
      <c r="C36" s="46">
        <v>24</v>
      </c>
      <c r="D36" s="47" t="s">
        <v>3367</v>
      </c>
      <c r="E36" s="48">
        <v>32</v>
      </c>
      <c r="F36" s="49">
        <v>28.52</v>
      </c>
      <c r="G36" s="50" t="s">
        <v>3358</v>
      </c>
      <c r="H36" s="51">
        <v>1981</v>
      </c>
      <c r="I36" s="45">
        <v>3353</v>
      </c>
      <c r="J36" s="52">
        <v>7</v>
      </c>
      <c r="K36" s="53">
        <f t="shared" si="0"/>
        <v>46.496051000000001</v>
      </c>
      <c r="L36" s="54"/>
    </row>
    <row r="37" spans="1:12" s="55" customFormat="1" ht="19.5" customHeight="1" x14ac:dyDescent="0.3">
      <c r="A37" s="44"/>
      <c r="B37" s="45"/>
      <c r="C37" s="46">
        <v>24</v>
      </c>
      <c r="D37" s="47" t="s">
        <v>3357</v>
      </c>
      <c r="E37" s="48">
        <v>36</v>
      </c>
      <c r="F37" s="49">
        <v>41.46</v>
      </c>
      <c r="G37" s="50" t="s">
        <v>3349</v>
      </c>
      <c r="H37" s="51">
        <v>1981</v>
      </c>
      <c r="I37" s="45">
        <v>3353</v>
      </c>
      <c r="J37" s="52">
        <v>12</v>
      </c>
      <c r="K37" s="53">
        <f t="shared" si="0"/>
        <v>79.707515999999998</v>
      </c>
      <c r="L37" s="54"/>
    </row>
    <row r="38" spans="1:12" s="55" customFormat="1" ht="19.5" customHeight="1" x14ac:dyDescent="0.3">
      <c r="A38" s="44"/>
      <c r="B38" s="45"/>
      <c r="C38" s="46">
        <v>22</v>
      </c>
      <c r="D38" s="47" t="s">
        <v>3367</v>
      </c>
      <c r="E38" s="48">
        <v>4</v>
      </c>
      <c r="F38" s="49">
        <v>4.68</v>
      </c>
      <c r="G38" s="50" t="s">
        <v>3368</v>
      </c>
      <c r="H38" s="51">
        <v>1981</v>
      </c>
      <c r="I38" s="45">
        <v>3353</v>
      </c>
      <c r="J38" s="52">
        <v>3</v>
      </c>
      <c r="K38" s="53">
        <f t="shared" si="0"/>
        <v>19.926879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3369</v>
      </c>
      <c r="B40" s="45" t="s">
        <v>3370</v>
      </c>
      <c r="C40" s="46">
        <v>22</v>
      </c>
      <c r="D40" s="47" t="s">
        <v>3366</v>
      </c>
      <c r="E40" s="48">
        <v>1</v>
      </c>
      <c r="F40" s="49">
        <v>2.91</v>
      </c>
      <c r="G40" s="50" t="s">
        <v>3348</v>
      </c>
      <c r="H40" s="51">
        <v>1981</v>
      </c>
      <c r="I40" s="45">
        <v>3353</v>
      </c>
      <c r="J40" s="52">
        <v>2</v>
      </c>
      <c r="K40" s="53">
        <f t="shared" si="0"/>
        <v>13.284586000000001</v>
      </c>
      <c r="L40" s="54"/>
    </row>
    <row r="41" spans="1:12" s="55" customFormat="1" ht="19.5" customHeight="1" x14ac:dyDescent="0.3">
      <c r="A41" s="44"/>
      <c r="B41" s="45"/>
      <c r="C41" s="46">
        <v>22</v>
      </c>
      <c r="D41" s="47" t="s">
        <v>3367</v>
      </c>
      <c r="E41" s="48">
        <v>14</v>
      </c>
      <c r="F41" s="49">
        <v>11.04</v>
      </c>
      <c r="G41" s="50" t="s">
        <v>3358</v>
      </c>
      <c r="H41" s="51">
        <v>1981</v>
      </c>
      <c r="I41" s="45">
        <v>3353</v>
      </c>
      <c r="J41" s="52">
        <v>2</v>
      </c>
      <c r="K41" s="53">
        <f t="shared" si="0"/>
        <v>13.284586000000001</v>
      </c>
      <c r="L41" s="54"/>
    </row>
    <row r="42" spans="1:12" s="55" customFormat="1" ht="19.5" customHeight="1" x14ac:dyDescent="0.3">
      <c r="A42" s="44"/>
      <c r="B42" s="45"/>
      <c r="C42" s="46">
        <v>22</v>
      </c>
      <c r="D42" s="47" t="s">
        <v>3357</v>
      </c>
      <c r="E42" s="48">
        <v>11</v>
      </c>
      <c r="F42" s="49">
        <v>10.95</v>
      </c>
      <c r="G42" s="50" t="s">
        <v>3368</v>
      </c>
      <c r="H42" s="51">
        <v>1981</v>
      </c>
      <c r="I42" s="45">
        <v>3353</v>
      </c>
      <c r="J42" s="52">
        <v>4</v>
      </c>
      <c r="K42" s="53">
        <f t="shared" si="0"/>
        <v>26.569172000000002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3371</v>
      </c>
      <c r="B44" s="45" t="s">
        <v>3370</v>
      </c>
      <c r="C44" s="46">
        <v>22</v>
      </c>
      <c r="D44" s="47" t="s">
        <v>3366</v>
      </c>
      <c r="E44" s="48">
        <v>1</v>
      </c>
      <c r="F44" s="49">
        <v>3.85</v>
      </c>
      <c r="G44" s="50" t="s">
        <v>3348</v>
      </c>
      <c r="H44" s="51">
        <v>1981</v>
      </c>
      <c r="I44" s="45">
        <v>3353</v>
      </c>
      <c r="J44" s="52">
        <v>3</v>
      </c>
      <c r="K44" s="53">
        <f t="shared" si="0"/>
        <v>19.926879</v>
      </c>
      <c r="L44" s="54"/>
    </row>
    <row r="45" spans="1:12" s="55" customFormat="1" ht="19.5" customHeight="1" x14ac:dyDescent="0.3">
      <c r="A45" s="44"/>
      <c r="B45" s="45"/>
      <c r="C45" s="46">
        <v>22</v>
      </c>
      <c r="D45" s="47" t="s">
        <v>3367</v>
      </c>
      <c r="E45" s="48">
        <v>16</v>
      </c>
      <c r="F45" s="49">
        <v>12.58</v>
      </c>
      <c r="G45" s="50" t="s">
        <v>3358</v>
      </c>
      <c r="H45" s="51">
        <v>1981</v>
      </c>
      <c r="I45" s="45">
        <v>3353</v>
      </c>
      <c r="J45" s="52">
        <v>2</v>
      </c>
      <c r="K45" s="53">
        <f t="shared" si="0"/>
        <v>13.284586000000001</v>
      </c>
      <c r="L45" s="54"/>
    </row>
    <row r="46" spans="1:12" s="55" customFormat="1" ht="19.5" customHeight="1" x14ac:dyDescent="0.3">
      <c r="A46" s="44"/>
      <c r="B46" s="45"/>
      <c r="C46" s="46">
        <v>22</v>
      </c>
      <c r="D46" s="47" t="s">
        <v>3357</v>
      </c>
      <c r="E46" s="48">
        <v>13</v>
      </c>
      <c r="F46" s="49">
        <v>12.87</v>
      </c>
      <c r="G46" s="50" t="s">
        <v>3368</v>
      </c>
      <c r="H46" s="51">
        <v>1981</v>
      </c>
      <c r="I46" s="45">
        <v>3353</v>
      </c>
      <c r="J46" s="52">
        <v>5</v>
      </c>
      <c r="K46" s="53">
        <f t="shared" si="0"/>
        <v>33.211465000000004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3374</v>
      </c>
      <c r="B48" s="45" t="s">
        <v>3375</v>
      </c>
      <c r="C48" s="46">
        <v>22</v>
      </c>
      <c r="D48" s="47" t="s">
        <v>3357</v>
      </c>
      <c r="E48" s="48">
        <v>160</v>
      </c>
      <c r="F48" s="49">
        <v>134.32</v>
      </c>
      <c r="G48" s="50" t="s">
        <v>3358</v>
      </c>
      <c r="H48" s="51">
        <v>1981</v>
      </c>
      <c r="I48" s="45">
        <v>3353</v>
      </c>
      <c r="J48" s="52">
        <v>22</v>
      </c>
      <c r="K48" s="53">
        <f t="shared" si="0"/>
        <v>146.13044600000001</v>
      </c>
      <c r="L48" s="54" t="s">
        <v>3376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3377</v>
      </c>
      <c r="B50" s="45" t="s">
        <v>3378</v>
      </c>
      <c r="C50" s="46">
        <v>24</v>
      </c>
      <c r="D50" s="47" t="s">
        <v>3366</v>
      </c>
      <c r="E50" s="48">
        <v>15</v>
      </c>
      <c r="F50" s="49">
        <v>47.1</v>
      </c>
      <c r="G50" s="50" t="s">
        <v>3348</v>
      </c>
      <c r="H50" s="51">
        <v>1981</v>
      </c>
      <c r="I50" s="45">
        <v>3353</v>
      </c>
      <c r="J50" s="52">
        <v>8</v>
      </c>
      <c r="K50" s="53">
        <f t="shared" si="0"/>
        <v>53.138344000000004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 t="s">
        <v>3368</v>
      </c>
      <c r="H51" s="51">
        <v>1981</v>
      </c>
      <c r="I51" s="45">
        <v>3353</v>
      </c>
      <c r="J51" s="52">
        <v>8</v>
      </c>
      <c r="K51" s="53">
        <f t="shared" si="0"/>
        <v>53.138344000000004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3359</v>
      </c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3380</v>
      </c>
      <c r="B54" s="76" t="s">
        <v>3381</v>
      </c>
      <c r="C54" s="46">
        <v>24</v>
      </c>
      <c r="D54" s="47" t="s">
        <v>45</v>
      </c>
      <c r="E54" s="48">
        <v>125</v>
      </c>
      <c r="F54" s="49">
        <v>108</v>
      </c>
      <c r="G54" s="50" t="s">
        <v>49</v>
      </c>
      <c r="H54" s="51">
        <v>1981</v>
      </c>
      <c r="I54" s="45">
        <v>3353</v>
      </c>
      <c r="J54" s="52">
        <v>20</v>
      </c>
      <c r="K54" s="53">
        <f t="shared" si="0"/>
        <v>132.84586000000002</v>
      </c>
      <c r="L54" s="54"/>
    </row>
    <row r="55" spans="1:12" s="55" customFormat="1" ht="19.5" customHeight="1" x14ac:dyDescent="0.3">
      <c r="A55" s="44"/>
      <c r="B55" s="45"/>
      <c r="C55" s="46">
        <v>22</v>
      </c>
      <c r="D55" s="47" t="s">
        <v>45</v>
      </c>
      <c r="E55" s="48">
        <v>20</v>
      </c>
      <c r="F55" s="49">
        <v>23.4</v>
      </c>
      <c r="G55" s="50" t="s">
        <v>3382</v>
      </c>
      <c r="H55" s="51">
        <v>1981</v>
      </c>
      <c r="I55" s="45">
        <v>3353</v>
      </c>
      <c r="J55" s="52">
        <v>20</v>
      </c>
      <c r="K55" s="53">
        <f t="shared" si="0"/>
        <v>132.84586000000002</v>
      </c>
      <c r="L55" s="54"/>
    </row>
    <row r="56" spans="1:12" s="55" customFormat="1" ht="19.5" customHeight="1" x14ac:dyDescent="0.3">
      <c r="A56" s="44"/>
      <c r="B56" s="76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3380</v>
      </c>
      <c r="B57" s="76" t="s">
        <v>3381</v>
      </c>
      <c r="C57" s="46">
        <v>22</v>
      </c>
      <c r="D57" s="47" t="s">
        <v>17</v>
      </c>
      <c r="E57" s="48">
        <v>140</v>
      </c>
      <c r="F57" s="49">
        <v>155.1</v>
      </c>
      <c r="G57" s="50" t="s">
        <v>3382</v>
      </c>
      <c r="H57" s="51">
        <v>1981</v>
      </c>
      <c r="I57" s="45">
        <v>3353</v>
      </c>
      <c r="J57" s="52">
        <v>25</v>
      </c>
      <c r="K57" s="53">
        <f t="shared" si="0"/>
        <v>166.05732500000002</v>
      </c>
      <c r="L57" s="54" t="s">
        <v>3383</v>
      </c>
    </row>
    <row r="58" spans="1:12" s="55" customFormat="1" ht="19.5" customHeight="1" x14ac:dyDescent="0.3">
      <c r="A58" s="44"/>
      <c r="B58" s="76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76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76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76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76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76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9" customFormat="1" ht="20.100000000000001" customHeight="1" x14ac:dyDescent="0.3">
      <c r="A65" s="44"/>
      <c r="B65" s="45"/>
      <c r="C65" s="46"/>
      <c r="D65" s="47"/>
      <c r="E65" s="56"/>
      <c r="F65" s="57"/>
      <c r="G65" s="50"/>
      <c r="H65" s="51"/>
      <c r="I65" s="45"/>
      <c r="J65" s="52"/>
      <c r="K65" s="53">
        <f t="shared" si="0"/>
        <v>0</v>
      </c>
      <c r="L65" s="58">
        <f>SUM(J31:J66)</f>
        <v>159</v>
      </c>
    </row>
    <row r="66" spans="1:12" s="59" customFormat="1" ht="20.100000000000001" customHeight="1" x14ac:dyDescent="0.3">
      <c r="A66" s="44"/>
      <c r="B66" s="45"/>
      <c r="C66" s="46"/>
      <c r="D66" s="47"/>
      <c r="E66" s="60"/>
      <c r="F66" s="61"/>
      <c r="G66" s="62"/>
      <c r="H66" s="51"/>
      <c r="I66" s="45"/>
      <c r="J66" s="63"/>
      <c r="K66" s="53">
        <f t="shared" si="0"/>
        <v>0</v>
      </c>
      <c r="L66" s="64">
        <f>SUM(K31:K66)</f>
        <v>1064.3059069999999</v>
      </c>
    </row>
    <row r="67" spans="1:12" s="59" customFormat="1" ht="20.100000000000001" customHeight="1" thickBot="1" x14ac:dyDescent="0.35">
      <c r="A67" s="114"/>
      <c r="B67" s="115"/>
      <c r="C67" s="115"/>
      <c r="D67" s="115"/>
      <c r="E67" s="115"/>
      <c r="F67" s="115"/>
      <c r="G67" s="115"/>
      <c r="H67" s="115"/>
      <c r="I67" s="115"/>
      <c r="J67" s="65">
        <f>SUM(J7:J66)</f>
        <v>407</v>
      </c>
      <c r="K67" s="66">
        <f>SUM(K7:K66)</f>
        <v>2681.9409470000005</v>
      </c>
      <c r="L67" s="67"/>
    </row>
    <row r="68" spans="1:12" s="59" customFormat="1" ht="20.100000000000001" customHeight="1" thickTop="1" thickBot="1" x14ac:dyDescent="0.35">
      <c r="A68" s="116" t="s">
        <v>52</v>
      </c>
      <c r="B68" s="117"/>
      <c r="C68" s="68"/>
      <c r="D68" s="118">
        <f>J67</f>
        <v>407</v>
      </c>
      <c r="E68" s="119"/>
      <c r="F68" s="119"/>
      <c r="G68" s="120"/>
      <c r="H68" s="121"/>
      <c r="I68" s="121"/>
      <c r="J68" s="122"/>
      <c r="K68" s="119"/>
      <c r="L68" s="123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71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72"/>
      <c r="F74" s="5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5"/>
      <c r="G75" s="73"/>
      <c r="H75" s="5"/>
      <c r="I75" s="74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72"/>
      <c r="I79" s="72"/>
      <c r="J79" s="5"/>
      <c r="K79" s="5"/>
      <c r="L79" s="5"/>
    </row>
    <row r="80" spans="1:12" ht="20.100000000000001" customHeight="1" x14ac:dyDescent="0.3">
      <c r="A80" s="113"/>
      <c r="B80" s="113"/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A83" s="113"/>
      <c r="B83" s="113"/>
      <c r="H83" s="72"/>
      <c r="I83" s="72"/>
    </row>
    <row r="84" spans="1:12" ht="20.100000000000001" customHeight="1" x14ac:dyDescent="0.3">
      <c r="A84" s="113"/>
      <c r="B84" s="113"/>
      <c r="H84" s="72"/>
      <c r="I84" s="72"/>
    </row>
    <row r="85" spans="1:12" ht="20.100000000000001" customHeight="1" x14ac:dyDescent="0.3"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s="72" customFormat="1" ht="20.100000000000001" customHeight="1" x14ac:dyDescent="0.3">
      <c r="A88" s="69"/>
      <c r="B88" s="5"/>
      <c r="C88" s="5"/>
      <c r="D88" s="5"/>
      <c r="E88" s="5"/>
      <c r="F88" s="70"/>
      <c r="G88" s="5"/>
      <c r="J88" s="5"/>
      <c r="K88" s="5"/>
      <c r="L88" s="5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5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5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19.5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ht="19.5" customHeight="1" x14ac:dyDescent="0.3"/>
    <row r="96" spans="1:12" ht="19.5" customHeight="1" x14ac:dyDescent="0.3"/>
    <row r="97" spans="2:12" ht="19.5" customHeight="1" x14ac:dyDescent="0.3"/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>
        <v>2</v>
      </c>
      <c r="C158" s="5"/>
      <c r="D158" s="5"/>
      <c r="E158" s="5"/>
      <c r="F158" s="70"/>
      <c r="G158" s="5"/>
      <c r="H158" s="5"/>
      <c r="I158" s="5"/>
      <c r="J158" s="5"/>
      <c r="K158" s="5"/>
      <c r="L158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3:B73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7:I67"/>
    <mergeCell ref="A68:B68"/>
    <mergeCell ref="D68:G68"/>
    <mergeCell ref="H68:J68"/>
    <mergeCell ref="K68:L68"/>
    <mergeCell ref="A83:B83"/>
    <mergeCell ref="A84:B84"/>
    <mergeCell ref="A74:B74"/>
    <mergeCell ref="A75:B75"/>
    <mergeCell ref="A76:B76"/>
    <mergeCell ref="A78:B78"/>
    <mergeCell ref="A79:B79"/>
    <mergeCell ref="A80:B80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L180"/>
  <sheetViews>
    <sheetView view="pageBreakPreview" topLeftCell="F70" zoomScale="85" zoomScaleSheetLayoutView="85" workbookViewId="0">
      <selection activeCell="L87" sqref="L87:L8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46140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8" si="0">(H7/1000*I7/1000)*J7</f>
        <v>0</v>
      </c>
      <c r="L7" s="26">
        <f>SUM(J7:J43)</f>
        <v>247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SUM(K7:K43)</f>
        <v>1547.0970710000001</v>
      </c>
    </row>
    <row r="9" spans="1:12" s="27" customFormat="1" ht="19.5" customHeight="1" x14ac:dyDescent="0.3">
      <c r="A9" s="28" t="s">
        <v>3317</v>
      </c>
      <c r="B9" s="16" t="s">
        <v>191</v>
      </c>
      <c r="C9" s="17">
        <v>24</v>
      </c>
      <c r="D9" s="18" t="s">
        <v>320</v>
      </c>
      <c r="E9" s="41">
        <v>7</v>
      </c>
      <c r="F9" s="42">
        <v>7.18</v>
      </c>
      <c r="G9" s="34" t="s">
        <v>18</v>
      </c>
      <c r="H9" s="35">
        <v>1981</v>
      </c>
      <c r="I9" s="36">
        <v>3353</v>
      </c>
      <c r="J9" s="37">
        <v>2</v>
      </c>
      <c r="K9" s="25">
        <f t="shared" si="0"/>
        <v>13.284586000000001</v>
      </c>
      <c r="L9" s="39"/>
    </row>
    <row r="10" spans="1:12" s="27" customFormat="1" ht="19.5" customHeight="1" x14ac:dyDescent="0.3">
      <c r="A10" s="28"/>
      <c r="B10" s="16"/>
      <c r="C10" s="17">
        <v>24</v>
      </c>
      <c r="D10" s="18" t="s">
        <v>199</v>
      </c>
      <c r="E10" s="41">
        <v>7</v>
      </c>
      <c r="F10" s="42">
        <v>7.29</v>
      </c>
      <c r="G10" s="34" t="s">
        <v>18</v>
      </c>
      <c r="H10" s="35">
        <v>2134</v>
      </c>
      <c r="I10" s="36">
        <v>3048</v>
      </c>
      <c r="J10" s="37">
        <v>1</v>
      </c>
      <c r="K10" s="25">
        <f t="shared" si="0"/>
        <v>6.5044319999999995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 t="s">
        <v>19</v>
      </c>
      <c r="H11" s="35">
        <v>1981</v>
      </c>
      <c r="I11" s="36">
        <v>3353</v>
      </c>
      <c r="J11" s="37">
        <v>1</v>
      </c>
      <c r="K11" s="25">
        <f t="shared" si="0"/>
        <v>6.6422930000000004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49</v>
      </c>
      <c r="H12" s="35">
        <v>1981</v>
      </c>
      <c r="I12" s="36">
        <v>3353</v>
      </c>
      <c r="J12" s="37">
        <v>1</v>
      </c>
      <c r="K12" s="25">
        <f t="shared" si="0"/>
        <v>6.6422930000000004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 t="s">
        <v>3298</v>
      </c>
      <c r="B14" s="16" t="s">
        <v>16</v>
      </c>
      <c r="C14" s="17">
        <v>5</v>
      </c>
      <c r="D14" s="18" t="s">
        <v>219</v>
      </c>
      <c r="E14" s="41">
        <v>151</v>
      </c>
      <c r="F14" s="42">
        <v>55.59</v>
      </c>
      <c r="G14" s="34" t="s">
        <v>18</v>
      </c>
      <c r="H14" s="35">
        <v>2134</v>
      </c>
      <c r="I14" s="36">
        <v>3048</v>
      </c>
      <c r="J14" s="37">
        <v>9</v>
      </c>
      <c r="K14" s="25">
        <f t="shared" si="0"/>
        <v>58.539887999999998</v>
      </c>
      <c r="L14" s="39" t="s">
        <v>3318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25">
        <f t="shared" si="0"/>
        <v>0</v>
      </c>
      <c r="L15" s="39"/>
    </row>
    <row r="16" spans="1:12" s="27" customFormat="1" ht="19.5" customHeight="1" x14ac:dyDescent="0.3">
      <c r="A16" s="28" t="s">
        <v>3080</v>
      </c>
      <c r="B16" s="16" t="s">
        <v>2941</v>
      </c>
      <c r="C16" s="17">
        <v>24</v>
      </c>
      <c r="D16" s="18" t="s">
        <v>2647</v>
      </c>
      <c r="E16" s="41">
        <v>1</v>
      </c>
      <c r="F16" s="42">
        <v>2.87</v>
      </c>
      <c r="G16" s="34"/>
      <c r="H16" s="35"/>
      <c r="I16" s="36"/>
      <c r="J16" s="37"/>
      <c r="K16" s="25">
        <f t="shared" si="0"/>
        <v>0</v>
      </c>
      <c r="L16" s="39" t="s">
        <v>346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>
        <f t="shared" si="0"/>
        <v>0</v>
      </c>
      <c r="L17" s="39"/>
    </row>
    <row r="18" spans="1:12" s="27" customFormat="1" ht="19.5" customHeight="1" x14ac:dyDescent="0.3">
      <c r="A18" s="28" t="s">
        <v>3286</v>
      </c>
      <c r="B18" s="16" t="s">
        <v>3287</v>
      </c>
      <c r="C18" s="17">
        <v>10</v>
      </c>
      <c r="D18" s="18" t="s">
        <v>926</v>
      </c>
      <c r="E18" s="41">
        <v>30</v>
      </c>
      <c r="F18" s="42">
        <v>51</v>
      </c>
      <c r="G18" s="34" t="s">
        <v>927</v>
      </c>
      <c r="H18" s="35">
        <v>2438</v>
      </c>
      <c r="I18" s="36">
        <v>3048</v>
      </c>
      <c r="J18" s="37">
        <v>8</v>
      </c>
      <c r="K18" s="25">
        <f t="shared" si="0"/>
        <v>59.448192000000006</v>
      </c>
      <c r="L18" s="39"/>
    </row>
    <row r="19" spans="1:12" s="27" customFormat="1" ht="19.5" customHeight="1" x14ac:dyDescent="0.3">
      <c r="A19" s="28"/>
      <c r="B19" s="16"/>
      <c r="C19" s="17">
        <v>5</v>
      </c>
      <c r="D19" s="18" t="s">
        <v>2014</v>
      </c>
      <c r="E19" s="41">
        <v>9</v>
      </c>
      <c r="F19" s="42">
        <v>14.22</v>
      </c>
      <c r="G19" s="34" t="s">
        <v>927</v>
      </c>
      <c r="H19" s="35">
        <v>2438</v>
      </c>
      <c r="I19" s="36">
        <v>3353</v>
      </c>
      <c r="J19" s="37">
        <v>1</v>
      </c>
      <c r="K19" s="25">
        <f t="shared" si="0"/>
        <v>8.174614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 t="s">
        <v>18</v>
      </c>
      <c r="H20" s="35">
        <v>1981</v>
      </c>
      <c r="I20" s="36">
        <v>3353</v>
      </c>
      <c r="J20" s="37">
        <v>2</v>
      </c>
      <c r="K20" s="25">
        <f t="shared" si="0"/>
        <v>13.284586000000001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 t="s">
        <v>3319</v>
      </c>
      <c r="B22" s="16" t="s">
        <v>1483</v>
      </c>
      <c r="C22" s="17">
        <v>22</v>
      </c>
      <c r="D22" s="18" t="s">
        <v>17</v>
      </c>
      <c r="E22" s="41">
        <v>150</v>
      </c>
      <c r="F22" s="42">
        <v>183.2</v>
      </c>
      <c r="G22" s="34" t="s">
        <v>18</v>
      </c>
      <c r="H22" s="35">
        <v>1981</v>
      </c>
      <c r="I22" s="36">
        <v>3353</v>
      </c>
      <c r="J22" s="37">
        <v>27</v>
      </c>
      <c r="K22" s="25">
        <f t="shared" si="0"/>
        <v>179.34191100000001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 t="s">
        <v>18</v>
      </c>
      <c r="H23" s="35">
        <v>1829</v>
      </c>
      <c r="I23" s="36">
        <v>3353</v>
      </c>
      <c r="J23" s="37">
        <v>1</v>
      </c>
      <c r="K23" s="25">
        <f t="shared" si="0"/>
        <v>6.1326369999999999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18</v>
      </c>
      <c r="H24" s="35">
        <v>2134</v>
      </c>
      <c r="I24" s="36">
        <v>3048</v>
      </c>
      <c r="J24" s="37">
        <v>1</v>
      </c>
      <c r="K24" s="25">
        <f t="shared" si="0"/>
        <v>6.5044319999999995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 t="s">
        <v>19</v>
      </c>
      <c r="H25" s="35">
        <v>1981</v>
      </c>
      <c r="I25" s="36">
        <v>3353</v>
      </c>
      <c r="J25" s="37">
        <v>27</v>
      </c>
      <c r="K25" s="25">
        <f t="shared" si="0"/>
        <v>179.34191100000001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 t="s">
        <v>19</v>
      </c>
      <c r="H26" s="35">
        <v>2134</v>
      </c>
      <c r="I26" s="36">
        <v>3048</v>
      </c>
      <c r="J26" s="37">
        <v>2</v>
      </c>
      <c r="K26" s="25">
        <f t="shared" si="0"/>
        <v>13.008863999999999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 t="s">
        <v>3320</v>
      </c>
      <c r="B28" s="16" t="s">
        <v>2941</v>
      </c>
      <c r="C28" s="17">
        <v>24</v>
      </c>
      <c r="D28" s="18" t="s">
        <v>2647</v>
      </c>
      <c r="E28" s="41">
        <v>118</v>
      </c>
      <c r="F28" s="42">
        <v>338.66</v>
      </c>
      <c r="G28" s="34" t="s">
        <v>336</v>
      </c>
      <c r="H28" s="35">
        <v>1981</v>
      </c>
      <c r="I28" s="36">
        <v>3048</v>
      </c>
      <c r="J28" s="37">
        <v>55</v>
      </c>
      <c r="K28" s="25">
        <f t="shared" si="0"/>
        <v>332.09484000000003</v>
      </c>
      <c r="L28" s="39" t="s">
        <v>3321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 t="s">
        <v>57</v>
      </c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 t="s">
        <v>3320</v>
      </c>
      <c r="B32" s="16" t="s">
        <v>2941</v>
      </c>
      <c r="C32" s="17">
        <v>24</v>
      </c>
      <c r="D32" s="18" t="s">
        <v>2647</v>
      </c>
      <c r="E32" s="41">
        <v>118</v>
      </c>
      <c r="F32" s="42">
        <v>338.66</v>
      </c>
      <c r="G32" s="34" t="s">
        <v>3339</v>
      </c>
      <c r="H32" s="35">
        <v>1981</v>
      </c>
      <c r="I32" s="36">
        <v>3048</v>
      </c>
      <c r="J32" s="37">
        <v>55</v>
      </c>
      <c r="K32" s="25">
        <f t="shared" ref="K32" si="1">(H32/1000*I32/1000)*J32</f>
        <v>332.09484000000003</v>
      </c>
      <c r="L32" s="39" t="s">
        <v>3340</v>
      </c>
    </row>
    <row r="33" spans="1:12" s="27" customFormat="1" ht="19.5" customHeight="1" x14ac:dyDescent="0.3">
      <c r="A33" s="28"/>
      <c r="B33" s="16"/>
      <c r="C33" s="17"/>
      <c r="D33" s="18"/>
      <c r="E33" s="41">
        <v>99</v>
      </c>
      <c r="F33" s="42">
        <v>284.13</v>
      </c>
      <c r="G33" s="34" t="s">
        <v>336</v>
      </c>
      <c r="H33" s="35">
        <v>1981</v>
      </c>
      <c r="I33" s="36">
        <v>3048</v>
      </c>
      <c r="J33" s="37">
        <v>54</v>
      </c>
      <c r="K33" s="25">
        <f t="shared" ref="K33:K37" si="2">(H33/1000*I33/1000)*J33</f>
        <v>326.05675200000007</v>
      </c>
      <c r="L33" s="39" t="s">
        <v>3341</v>
      </c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2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2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2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2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98"/>
      <c r="K38" s="25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0"/>
        <v>0</v>
      </c>
      <c r="L42" s="39"/>
    </row>
    <row r="43" spans="1:12" s="27" customFormat="1" ht="19.5" customHeight="1" x14ac:dyDescent="0.3">
      <c r="A43" s="28"/>
      <c r="B43" s="29"/>
      <c r="C43" s="30"/>
      <c r="D43" s="31"/>
      <c r="E43" s="41"/>
      <c r="F43" s="42"/>
      <c r="G43" s="43"/>
      <c r="H43" s="35"/>
      <c r="I43" s="36"/>
      <c r="J43" s="37"/>
      <c r="K43" s="38">
        <f t="shared" si="0"/>
        <v>0</v>
      </c>
      <c r="L43" s="39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3322</v>
      </c>
      <c r="B45" s="45" t="s">
        <v>2505</v>
      </c>
      <c r="C45" s="46">
        <v>24</v>
      </c>
      <c r="D45" s="47" t="s">
        <v>89</v>
      </c>
      <c r="E45" s="48">
        <v>32</v>
      </c>
      <c r="F45" s="49">
        <v>56.46</v>
      </c>
      <c r="G45" s="50" t="s">
        <v>18</v>
      </c>
      <c r="H45" s="51">
        <v>2438</v>
      </c>
      <c r="I45" s="45">
        <v>3048</v>
      </c>
      <c r="J45" s="52">
        <v>8</v>
      </c>
      <c r="K45" s="53">
        <f t="shared" si="0"/>
        <v>59.448192000000006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 t="s">
        <v>18</v>
      </c>
      <c r="H46" s="51">
        <v>2134</v>
      </c>
      <c r="I46" s="45">
        <v>3048</v>
      </c>
      <c r="J46" s="52">
        <v>1</v>
      </c>
      <c r="K46" s="53">
        <f t="shared" si="0"/>
        <v>6.5044319999999995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 t="s">
        <v>91</v>
      </c>
      <c r="H47" s="51">
        <v>2438</v>
      </c>
      <c r="I47" s="45">
        <v>3048</v>
      </c>
      <c r="J47" s="52">
        <v>9</v>
      </c>
      <c r="K47" s="53">
        <f t="shared" si="0"/>
        <v>66.879216000000014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3323</v>
      </c>
      <c r="B49" s="45" t="s">
        <v>3324</v>
      </c>
      <c r="C49" s="46">
        <v>24</v>
      </c>
      <c r="D49" s="47" t="s">
        <v>89</v>
      </c>
      <c r="E49" s="48">
        <v>2</v>
      </c>
      <c r="F49" s="49">
        <v>1.1200000000000001</v>
      </c>
      <c r="G49" s="50" t="s">
        <v>91</v>
      </c>
      <c r="H49" s="51">
        <v>2134</v>
      </c>
      <c r="I49" s="45">
        <v>3353</v>
      </c>
      <c r="J49" s="52">
        <v>1</v>
      </c>
      <c r="K49" s="53">
        <f t="shared" si="0"/>
        <v>7.1553019999999998</v>
      </c>
      <c r="L49" s="54"/>
    </row>
    <row r="50" spans="1:12" s="55" customFormat="1" ht="19.5" customHeight="1" x14ac:dyDescent="0.3">
      <c r="A50" s="44" t="s">
        <v>3325</v>
      </c>
      <c r="B50" s="45" t="s">
        <v>3324</v>
      </c>
      <c r="C50" s="46">
        <v>24</v>
      </c>
      <c r="D50" s="47" t="s">
        <v>3326</v>
      </c>
      <c r="E50" s="48">
        <v>2</v>
      </c>
      <c r="F50" s="49">
        <v>2.14</v>
      </c>
      <c r="G50" s="50" t="s">
        <v>18</v>
      </c>
      <c r="H50" s="51">
        <v>1981</v>
      </c>
      <c r="I50" s="45">
        <v>3353</v>
      </c>
      <c r="J50" s="52">
        <v>1</v>
      </c>
      <c r="K50" s="53">
        <f t="shared" si="0"/>
        <v>6.6422930000000004</v>
      </c>
      <c r="L50" s="54"/>
    </row>
    <row r="51" spans="1:12" s="55" customFormat="1" ht="19.5" customHeight="1" x14ac:dyDescent="0.3">
      <c r="A51" s="44"/>
      <c r="B51" s="45"/>
      <c r="C51" s="46">
        <v>24</v>
      </c>
      <c r="D51" s="47" t="s">
        <v>89</v>
      </c>
      <c r="E51" s="48">
        <v>1</v>
      </c>
      <c r="F51" s="49">
        <v>2.2599999999999998</v>
      </c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3251</v>
      </c>
      <c r="B53" s="45" t="s">
        <v>1890</v>
      </c>
      <c r="C53" s="46">
        <v>28</v>
      </c>
      <c r="D53" s="47" t="s">
        <v>3007</v>
      </c>
      <c r="E53" s="48">
        <v>1</v>
      </c>
      <c r="F53" s="49">
        <v>1.01</v>
      </c>
      <c r="G53" s="50" t="s">
        <v>3002</v>
      </c>
      <c r="H53" s="51">
        <v>2438</v>
      </c>
      <c r="I53" s="45">
        <v>3048</v>
      </c>
      <c r="J53" s="52">
        <v>1</v>
      </c>
      <c r="K53" s="53">
        <f t="shared" si="0"/>
        <v>7.4310240000000007</v>
      </c>
      <c r="L53" s="54" t="s">
        <v>831</v>
      </c>
    </row>
    <row r="54" spans="1:12" s="55" customFormat="1" ht="19.5" customHeight="1" x14ac:dyDescent="0.3">
      <c r="A54" s="44"/>
      <c r="B54" s="45"/>
      <c r="C54" s="46">
        <v>28</v>
      </c>
      <c r="D54" s="47" t="s">
        <v>3001</v>
      </c>
      <c r="E54" s="48">
        <v>1</v>
      </c>
      <c r="F54" s="49">
        <v>2.39</v>
      </c>
      <c r="G54" s="50"/>
      <c r="H54" s="51"/>
      <c r="I54" s="45"/>
      <c r="J54" s="52"/>
      <c r="K54" s="53">
        <f t="shared" si="0"/>
        <v>0</v>
      </c>
      <c r="L54" s="54" t="s">
        <v>3327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3328</v>
      </c>
      <c r="B56" s="45" t="s">
        <v>21</v>
      </c>
      <c r="C56" s="46">
        <v>25.76</v>
      </c>
      <c r="D56" s="47" t="s">
        <v>227</v>
      </c>
      <c r="E56" s="48">
        <v>36</v>
      </c>
      <c r="F56" s="49">
        <v>20.88</v>
      </c>
      <c r="G56" s="50" t="s">
        <v>19</v>
      </c>
      <c r="H56" s="51">
        <v>2134</v>
      </c>
      <c r="I56" s="45">
        <v>3048</v>
      </c>
      <c r="J56" s="52">
        <v>4</v>
      </c>
      <c r="K56" s="53">
        <f t="shared" si="0"/>
        <v>26.017727999999998</v>
      </c>
      <c r="L56" s="54"/>
    </row>
    <row r="57" spans="1:12" s="55" customFormat="1" ht="19.5" customHeight="1" x14ac:dyDescent="0.3">
      <c r="A57" s="44"/>
      <c r="B57" s="45"/>
      <c r="C57" s="46">
        <v>22</v>
      </c>
      <c r="D57" s="47" t="s">
        <v>17</v>
      </c>
      <c r="E57" s="48">
        <v>84</v>
      </c>
      <c r="F57" s="49">
        <v>76.16</v>
      </c>
      <c r="G57" s="50" t="s">
        <v>18</v>
      </c>
      <c r="H57" s="51">
        <v>1981</v>
      </c>
      <c r="I57" s="45">
        <v>3353</v>
      </c>
      <c r="J57" s="52">
        <v>14</v>
      </c>
      <c r="K57" s="53">
        <f t="shared" si="0"/>
        <v>92.992102000000003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 t="s">
        <v>19</v>
      </c>
      <c r="H58" s="51">
        <v>1981</v>
      </c>
      <c r="I58" s="45">
        <v>3353</v>
      </c>
      <c r="J58" s="52">
        <v>13</v>
      </c>
      <c r="K58" s="53">
        <f t="shared" si="0"/>
        <v>86.349809000000008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3328</v>
      </c>
      <c r="B60" s="45" t="s">
        <v>21</v>
      </c>
      <c r="C60" s="46">
        <v>22</v>
      </c>
      <c r="D60" s="47" t="s">
        <v>228</v>
      </c>
      <c r="E60" s="48">
        <v>12</v>
      </c>
      <c r="F60" s="49">
        <v>13.2</v>
      </c>
      <c r="G60" s="50" t="s">
        <v>18</v>
      </c>
      <c r="H60" s="51">
        <v>1981</v>
      </c>
      <c r="I60" s="45">
        <v>3353</v>
      </c>
      <c r="J60" s="52">
        <v>11</v>
      </c>
      <c r="K60" s="53">
        <f t="shared" si="0"/>
        <v>73.065223000000003</v>
      </c>
      <c r="L60" s="54" t="s">
        <v>3331</v>
      </c>
    </row>
    <row r="61" spans="1:12" s="55" customFormat="1" ht="19.5" customHeight="1" x14ac:dyDescent="0.3">
      <c r="A61" s="44" t="s">
        <v>3329</v>
      </c>
      <c r="B61" s="45" t="s">
        <v>21</v>
      </c>
      <c r="C61" s="46">
        <v>22</v>
      </c>
      <c r="D61" s="47" t="s">
        <v>228</v>
      </c>
      <c r="E61" s="48">
        <v>16</v>
      </c>
      <c r="F61" s="49">
        <v>22.56</v>
      </c>
      <c r="G61" s="50" t="s">
        <v>19</v>
      </c>
      <c r="H61" s="51">
        <v>1981</v>
      </c>
      <c r="I61" s="45">
        <v>3353</v>
      </c>
      <c r="J61" s="52">
        <v>11</v>
      </c>
      <c r="K61" s="53">
        <f t="shared" si="0"/>
        <v>73.065223000000003</v>
      </c>
      <c r="L61" s="54" t="s">
        <v>3331</v>
      </c>
    </row>
    <row r="62" spans="1:12" s="55" customFormat="1" ht="19.5" customHeight="1" x14ac:dyDescent="0.3">
      <c r="A62" s="44" t="s">
        <v>3330</v>
      </c>
      <c r="B62" s="45" t="s">
        <v>21</v>
      </c>
      <c r="C62" s="46">
        <v>22</v>
      </c>
      <c r="D62" s="47" t="s">
        <v>228</v>
      </c>
      <c r="E62" s="48">
        <v>24</v>
      </c>
      <c r="F62" s="49">
        <v>26.4</v>
      </c>
      <c r="G62" s="50"/>
      <c r="H62" s="51"/>
      <c r="I62" s="45"/>
      <c r="J62" s="52"/>
      <c r="K62" s="53">
        <f t="shared" si="0"/>
        <v>0</v>
      </c>
      <c r="L62" s="54" t="s">
        <v>3331</v>
      </c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3328</v>
      </c>
      <c r="B64" s="45" t="s">
        <v>21</v>
      </c>
      <c r="C64" s="46">
        <v>46.76</v>
      </c>
      <c r="D64" s="47" t="s">
        <v>272</v>
      </c>
      <c r="E64" s="48">
        <v>4</v>
      </c>
      <c r="F64" s="49">
        <v>1.8</v>
      </c>
      <c r="G64" s="50" t="s">
        <v>62</v>
      </c>
      <c r="H64" s="51">
        <v>1981</v>
      </c>
      <c r="I64" s="45">
        <v>3353</v>
      </c>
      <c r="J64" s="52">
        <v>1</v>
      </c>
      <c r="K64" s="53">
        <f t="shared" si="0"/>
        <v>6.6422930000000004</v>
      </c>
      <c r="L64" s="54" t="s">
        <v>3331</v>
      </c>
    </row>
    <row r="65" spans="1:12" s="55" customFormat="1" ht="19.5" customHeight="1" x14ac:dyDescent="0.3">
      <c r="A65" s="44" t="s">
        <v>3329</v>
      </c>
      <c r="B65" s="45" t="s">
        <v>21</v>
      </c>
      <c r="C65" s="46">
        <v>46.76</v>
      </c>
      <c r="D65" s="47" t="s">
        <v>272</v>
      </c>
      <c r="E65" s="48">
        <v>8</v>
      </c>
      <c r="F65" s="49">
        <v>3.2</v>
      </c>
      <c r="G65" s="50" t="s">
        <v>19</v>
      </c>
      <c r="H65" s="51">
        <v>1981</v>
      </c>
      <c r="I65" s="45">
        <v>3353</v>
      </c>
      <c r="J65" s="52">
        <v>1</v>
      </c>
      <c r="K65" s="53">
        <f t="shared" si="0"/>
        <v>6.6422930000000004</v>
      </c>
      <c r="L65" s="54" t="s">
        <v>3331</v>
      </c>
    </row>
    <row r="66" spans="1:12" s="55" customFormat="1" ht="19.5" customHeight="1" x14ac:dyDescent="0.3">
      <c r="A66" s="44" t="s">
        <v>3330</v>
      </c>
      <c r="B66" s="45" t="s">
        <v>21</v>
      </c>
      <c r="C66" s="46">
        <v>46.76</v>
      </c>
      <c r="D66" s="47" t="s">
        <v>272</v>
      </c>
      <c r="E66" s="48">
        <v>8</v>
      </c>
      <c r="F66" s="49">
        <v>3.6</v>
      </c>
      <c r="G66" s="50"/>
      <c r="H66" s="51"/>
      <c r="I66" s="45"/>
      <c r="J66" s="52"/>
      <c r="K66" s="53">
        <f t="shared" si="0"/>
        <v>0</v>
      </c>
      <c r="L66" s="54" t="s">
        <v>3331</v>
      </c>
    </row>
    <row r="67" spans="1:12" s="55" customFormat="1" ht="19.5" customHeight="1" x14ac:dyDescent="0.3">
      <c r="A67" s="44"/>
      <c r="B67" s="76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 t="s">
        <v>3330</v>
      </c>
      <c r="B68" s="45" t="s">
        <v>21</v>
      </c>
      <c r="C68" s="46">
        <v>25.76</v>
      </c>
      <c r="D68" s="47" t="s">
        <v>227</v>
      </c>
      <c r="E68" s="48">
        <v>48</v>
      </c>
      <c r="F68" s="49">
        <v>29.04</v>
      </c>
      <c r="G68" s="50" t="s">
        <v>19</v>
      </c>
      <c r="H68" s="51">
        <v>2134</v>
      </c>
      <c r="I68" s="45">
        <v>3048</v>
      </c>
      <c r="J68" s="52">
        <v>5</v>
      </c>
      <c r="K68" s="53">
        <f t="shared" si="0"/>
        <v>32.52216</v>
      </c>
      <c r="L68" s="54"/>
    </row>
    <row r="69" spans="1:12" s="55" customFormat="1" ht="19.5" customHeight="1" x14ac:dyDescent="0.3">
      <c r="A69" s="44"/>
      <c r="B69" s="76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 t="s">
        <v>3329</v>
      </c>
      <c r="B70" s="45" t="s">
        <v>21</v>
      </c>
      <c r="C70" s="46">
        <v>25.76</v>
      </c>
      <c r="D70" s="47" t="s">
        <v>227</v>
      </c>
      <c r="E70" s="48">
        <v>72</v>
      </c>
      <c r="F70" s="49">
        <v>35.200000000000003</v>
      </c>
      <c r="G70" s="50" t="s">
        <v>19</v>
      </c>
      <c r="H70" s="51">
        <v>2134</v>
      </c>
      <c r="I70" s="45">
        <v>3048</v>
      </c>
      <c r="J70" s="52">
        <v>6</v>
      </c>
      <c r="K70" s="53">
        <f t="shared" si="0"/>
        <v>39.026591999999994</v>
      </c>
      <c r="L70" s="54"/>
    </row>
    <row r="71" spans="1:12" s="55" customFormat="1" ht="19.5" customHeight="1" x14ac:dyDescent="0.3">
      <c r="A71" s="44"/>
      <c r="B71" s="76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 t="s">
        <v>3332</v>
      </c>
      <c r="B72" s="76" t="s">
        <v>2505</v>
      </c>
      <c r="C72" s="46">
        <v>24</v>
      </c>
      <c r="D72" s="47" t="s">
        <v>89</v>
      </c>
      <c r="E72" s="48">
        <v>56</v>
      </c>
      <c r="F72" s="49">
        <v>95.94</v>
      </c>
      <c r="G72" s="50" t="s">
        <v>18</v>
      </c>
      <c r="H72" s="51">
        <v>2438</v>
      </c>
      <c r="I72" s="45">
        <v>3048</v>
      </c>
      <c r="J72" s="52">
        <v>15</v>
      </c>
      <c r="K72" s="53">
        <f t="shared" si="0"/>
        <v>111.46536</v>
      </c>
      <c r="L72" s="54" t="s">
        <v>100</v>
      </c>
    </row>
    <row r="73" spans="1:12" s="55" customFormat="1" ht="19.5" customHeight="1" x14ac:dyDescent="0.3">
      <c r="A73" s="44"/>
      <c r="B73" s="76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 t="s">
        <v>57</v>
      </c>
      <c r="B74" s="76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76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 t="s">
        <v>3333</v>
      </c>
      <c r="B76" s="76" t="s">
        <v>3334</v>
      </c>
      <c r="C76" s="46">
        <v>24</v>
      </c>
      <c r="D76" s="47" t="s">
        <v>89</v>
      </c>
      <c r="E76" s="48">
        <v>56</v>
      </c>
      <c r="F76" s="49">
        <v>95.94</v>
      </c>
      <c r="G76" s="50" t="s">
        <v>91</v>
      </c>
      <c r="H76" s="51">
        <v>2438</v>
      </c>
      <c r="I76" s="45">
        <v>3048</v>
      </c>
      <c r="J76" s="52">
        <v>15</v>
      </c>
      <c r="K76" s="53">
        <f t="shared" si="0"/>
        <v>111.46536</v>
      </c>
      <c r="L76" s="54" t="s">
        <v>3335</v>
      </c>
    </row>
    <row r="77" spans="1:12" s="55" customFormat="1" ht="19.5" customHeight="1" x14ac:dyDescent="0.3">
      <c r="A77" s="44"/>
      <c r="B77" s="76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 t="s">
        <v>3336</v>
      </c>
      <c r="B78" s="76" t="s">
        <v>3334</v>
      </c>
      <c r="C78" s="46">
        <v>24</v>
      </c>
      <c r="D78" s="47" t="s">
        <v>89</v>
      </c>
      <c r="E78" s="48">
        <v>1</v>
      </c>
      <c r="F78" s="49">
        <v>4.2</v>
      </c>
      <c r="G78" s="50" t="s">
        <v>3337</v>
      </c>
      <c r="H78" s="51">
        <v>1981</v>
      </c>
      <c r="I78" s="45">
        <v>3353</v>
      </c>
      <c r="J78" s="52">
        <v>1</v>
      </c>
      <c r="K78" s="53">
        <f t="shared" si="0"/>
        <v>6.6422930000000004</v>
      </c>
      <c r="L78" s="54" t="s">
        <v>3338</v>
      </c>
    </row>
    <row r="79" spans="1:12" s="55" customFormat="1" ht="19.5" customHeight="1" x14ac:dyDescent="0.3">
      <c r="A79" s="44"/>
      <c r="B79" s="76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 t="s">
        <v>3372</v>
      </c>
      <c r="B80" s="76" t="s">
        <v>2505</v>
      </c>
      <c r="C80" s="46">
        <v>24</v>
      </c>
      <c r="D80" s="47" t="s">
        <v>89</v>
      </c>
      <c r="E80" s="48">
        <v>76</v>
      </c>
      <c r="F80" s="49">
        <v>131.65</v>
      </c>
      <c r="G80" s="50" t="s">
        <v>3358</v>
      </c>
      <c r="H80" s="51">
        <v>2438</v>
      </c>
      <c r="I80" s="45">
        <v>3048</v>
      </c>
      <c r="J80" s="52">
        <v>13</v>
      </c>
      <c r="K80" s="53">
        <f t="shared" si="0"/>
        <v>96.603312000000017</v>
      </c>
      <c r="L80" s="54"/>
    </row>
    <row r="81" spans="1:12" s="55" customFormat="1" ht="19.5" customHeight="1" x14ac:dyDescent="0.3">
      <c r="A81" s="44"/>
      <c r="B81" s="76"/>
      <c r="C81" s="46"/>
      <c r="D81" s="47"/>
      <c r="E81" s="48"/>
      <c r="F81" s="49"/>
      <c r="G81" s="50" t="s">
        <v>3358</v>
      </c>
      <c r="H81" s="51">
        <v>2134</v>
      </c>
      <c r="I81" s="45">
        <v>3353</v>
      </c>
      <c r="J81" s="52">
        <v>5</v>
      </c>
      <c r="K81" s="53">
        <f t="shared" si="0"/>
        <v>35.776510000000002</v>
      </c>
      <c r="L81" s="54"/>
    </row>
    <row r="82" spans="1:12" s="55" customFormat="1" ht="19.5" customHeight="1" x14ac:dyDescent="0.3">
      <c r="A82" s="44"/>
      <c r="B82" s="76"/>
      <c r="C82" s="46"/>
      <c r="D82" s="47"/>
      <c r="E82" s="48"/>
      <c r="F82" s="49"/>
      <c r="G82" s="50" t="s">
        <v>3358</v>
      </c>
      <c r="H82" s="51">
        <v>1829</v>
      </c>
      <c r="I82" s="45">
        <v>3353</v>
      </c>
      <c r="J82" s="52">
        <v>2</v>
      </c>
      <c r="K82" s="53">
        <f t="shared" si="0"/>
        <v>12.265274</v>
      </c>
      <c r="L82" s="54"/>
    </row>
    <row r="83" spans="1:12" s="55" customFormat="1" ht="19.5" customHeight="1" x14ac:dyDescent="0.3">
      <c r="A83" s="44"/>
      <c r="B83" s="76"/>
      <c r="C83" s="46"/>
      <c r="D83" s="47"/>
      <c r="E83" s="48"/>
      <c r="F83" s="49"/>
      <c r="G83" s="50" t="s">
        <v>3358</v>
      </c>
      <c r="H83" s="51">
        <v>1981</v>
      </c>
      <c r="I83" s="45">
        <v>3353</v>
      </c>
      <c r="J83" s="52">
        <v>3</v>
      </c>
      <c r="K83" s="53">
        <f t="shared" si="0"/>
        <v>19.926879</v>
      </c>
      <c r="L83" s="54"/>
    </row>
    <row r="84" spans="1:12" s="55" customFormat="1" ht="19.5" customHeight="1" x14ac:dyDescent="0.3">
      <c r="A84" s="44"/>
      <c r="B84" s="76"/>
      <c r="C84" s="46"/>
      <c r="D84" s="47"/>
      <c r="E84" s="48"/>
      <c r="F84" s="49"/>
      <c r="G84" s="50" t="s">
        <v>3373</v>
      </c>
      <c r="H84" s="51">
        <v>2438</v>
      </c>
      <c r="I84" s="45">
        <v>3048</v>
      </c>
      <c r="J84" s="52">
        <v>23</v>
      </c>
      <c r="K84" s="53">
        <f t="shared" si="0"/>
        <v>170.91355200000001</v>
      </c>
      <c r="L84" s="54"/>
    </row>
    <row r="85" spans="1:12" s="55" customFormat="1" ht="19.5" customHeight="1" x14ac:dyDescent="0.3">
      <c r="A85" s="44"/>
      <c r="B85" s="76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5" customFormat="1" ht="19.5" customHeight="1" x14ac:dyDescent="0.3">
      <c r="A86" s="44"/>
      <c r="B86" s="45"/>
      <c r="C86" s="46"/>
      <c r="D86" s="47"/>
      <c r="E86" s="48"/>
      <c r="F86" s="49"/>
      <c r="G86" s="50"/>
      <c r="H86" s="51"/>
      <c r="I86" s="45"/>
      <c r="J86" s="52"/>
      <c r="K86" s="53">
        <f t="shared" si="0"/>
        <v>0</v>
      </c>
      <c r="L86" s="54"/>
    </row>
    <row r="87" spans="1:12" s="59" customFormat="1" ht="20.100000000000001" customHeight="1" x14ac:dyDescent="0.3">
      <c r="A87" s="44"/>
      <c r="B87" s="45"/>
      <c r="C87" s="46"/>
      <c r="D87" s="47"/>
      <c r="E87" s="56"/>
      <c r="F87" s="57"/>
      <c r="G87" s="50"/>
      <c r="H87" s="51"/>
      <c r="I87" s="45"/>
      <c r="J87" s="52"/>
      <c r="K87" s="53">
        <f t="shared" si="0"/>
        <v>0</v>
      </c>
      <c r="L87" s="58">
        <f>SUM(J44:J88)</f>
        <v>164</v>
      </c>
    </row>
    <row r="88" spans="1:12" s="59" customFormat="1" ht="20.100000000000001" customHeight="1" x14ac:dyDescent="0.3">
      <c r="A88" s="44"/>
      <c r="B88" s="45"/>
      <c r="C88" s="46"/>
      <c r="D88" s="47"/>
      <c r="E88" s="60"/>
      <c r="F88" s="61"/>
      <c r="G88" s="62"/>
      <c r="H88" s="51"/>
      <c r="I88" s="45"/>
      <c r="J88" s="63"/>
      <c r="K88" s="53">
        <f t="shared" si="0"/>
        <v>0</v>
      </c>
      <c r="L88" s="64">
        <f>SUM(K44:K88)</f>
        <v>1155.4424220000003</v>
      </c>
    </row>
    <row r="89" spans="1:12" s="59" customFormat="1" ht="20.100000000000001" customHeight="1" thickBot="1" x14ac:dyDescent="0.35">
      <c r="A89" s="114"/>
      <c r="B89" s="115"/>
      <c r="C89" s="115"/>
      <c r="D89" s="115"/>
      <c r="E89" s="115"/>
      <c r="F89" s="115"/>
      <c r="G89" s="115"/>
      <c r="H89" s="115"/>
      <c r="I89" s="115"/>
      <c r="J89" s="65">
        <f>SUM(J7:J88)</f>
        <v>411</v>
      </c>
      <c r="K89" s="66">
        <f>SUM(K7:K88)</f>
        <v>2702.5394930000007</v>
      </c>
      <c r="L89" s="67"/>
    </row>
    <row r="90" spans="1:12" s="59" customFormat="1" ht="20.100000000000001" customHeight="1" thickTop="1" thickBot="1" x14ac:dyDescent="0.35">
      <c r="A90" s="116" t="s">
        <v>52</v>
      </c>
      <c r="B90" s="117"/>
      <c r="C90" s="68"/>
      <c r="D90" s="118">
        <f>J89</f>
        <v>411</v>
      </c>
      <c r="E90" s="119"/>
      <c r="F90" s="119"/>
      <c r="G90" s="120"/>
      <c r="H90" s="121"/>
      <c r="I90" s="121"/>
      <c r="J90" s="122"/>
      <c r="K90" s="119"/>
      <c r="L90" s="123"/>
    </row>
    <row r="91" spans="1:12" s="59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71"/>
    </row>
    <row r="92" spans="1:12" s="59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113"/>
      <c r="B95" s="113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72"/>
      <c r="F96" s="5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5"/>
      <c r="G97" s="73"/>
      <c r="H97" s="5"/>
      <c r="I97" s="74"/>
      <c r="J97" s="5"/>
      <c r="K97" s="5"/>
      <c r="L97" s="5"/>
    </row>
    <row r="98" spans="1:12" s="59" customFormat="1" ht="20.100000000000001" customHeight="1" x14ac:dyDescent="0.3">
      <c r="A98" s="113"/>
      <c r="B98" s="113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113"/>
      <c r="B100" s="113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113"/>
      <c r="B101" s="113"/>
      <c r="C101" s="5"/>
      <c r="D101" s="5"/>
      <c r="E101" s="5"/>
      <c r="F101" s="70"/>
      <c r="G101" s="5"/>
      <c r="H101" s="72"/>
      <c r="I101" s="72"/>
      <c r="J101" s="5"/>
      <c r="K101" s="5"/>
      <c r="L101" s="5"/>
    </row>
    <row r="102" spans="1:12" ht="20.100000000000001" customHeight="1" x14ac:dyDescent="0.3">
      <c r="A102" s="113"/>
      <c r="B102" s="113"/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A105" s="113"/>
      <c r="B105" s="113"/>
      <c r="H105" s="72"/>
      <c r="I105" s="72"/>
    </row>
    <row r="106" spans="1:12" ht="20.100000000000001" customHeight="1" x14ac:dyDescent="0.3">
      <c r="A106" s="113"/>
      <c r="B106" s="113"/>
      <c r="H106" s="72"/>
      <c r="I106" s="72"/>
    </row>
    <row r="107" spans="1:12" ht="20.100000000000001" customHeight="1" x14ac:dyDescent="0.3">
      <c r="H107" s="72"/>
      <c r="I107" s="72"/>
    </row>
    <row r="108" spans="1:12" ht="20.100000000000001" customHeight="1" x14ac:dyDescent="0.3">
      <c r="H108" s="72"/>
      <c r="I108" s="72"/>
    </row>
    <row r="109" spans="1:12" ht="20.100000000000001" customHeight="1" x14ac:dyDescent="0.3">
      <c r="H109" s="72"/>
      <c r="I109" s="72"/>
    </row>
    <row r="110" spans="1:12" s="72" customFormat="1" ht="20.100000000000001" customHeight="1" x14ac:dyDescent="0.3">
      <c r="A110" s="69"/>
      <c r="B110" s="5"/>
      <c r="C110" s="5"/>
      <c r="D110" s="5"/>
      <c r="E110" s="5"/>
      <c r="F110" s="70"/>
      <c r="G110" s="5"/>
      <c r="J110" s="5"/>
      <c r="K110" s="5"/>
      <c r="L110" s="5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5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75" customFormat="1" ht="20.100000000000001" customHeight="1" x14ac:dyDescent="0.3">
      <c r="A113" s="69"/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75" customFormat="1" ht="19.5" customHeight="1" x14ac:dyDescent="0.3">
      <c r="A114" s="69"/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1:12" s="72" customFormat="1" ht="20.100000000000001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s="72" customFormat="1" ht="20.100000000000001" customHeight="1" x14ac:dyDescent="0.3">
      <c r="A116" s="69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ht="19.5" customHeight="1" x14ac:dyDescent="0.3"/>
    <row r="118" spans="1:12" ht="19.5" customHeight="1" x14ac:dyDescent="0.3"/>
    <row r="119" spans="1:12" ht="19.5" customHeight="1" x14ac:dyDescent="0.3"/>
    <row r="120" spans="1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>
        <v>2</v>
      </c>
      <c r="C180" s="5"/>
      <c r="D180" s="5"/>
      <c r="E180" s="5"/>
      <c r="F180" s="70"/>
      <c r="G180" s="5"/>
      <c r="H180" s="5"/>
      <c r="I180" s="5"/>
      <c r="J180" s="5"/>
      <c r="K180" s="5"/>
      <c r="L180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5:B9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9:I89"/>
    <mergeCell ref="A90:B90"/>
    <mergeCell ref="D90:G90"/>
    <mergeCell ref="H90:J90"/>
    <mergeCell ref="K90:L90"/>
    <mergeCell ref="A105:B105"/>
    <mergeCell ref="A106:B106"/>
    <mergeCell ref="A96:B96"/>
    <mergeCell ref="A97:B97"/>
    <mergeCell ref="A98:B98"/>
    <mergeCell ref="A100:B100"/>
    <mergeCell ref="A101:B101"/>
    <mergeCell ref="A102:B102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L187"/>
  <sheetViews>
    <sheetView view="pageBreakPreview" topLeftCell="F73" zoomScale="85" zoomScaleSheetLayoutView="85" workbookViewId="0">
      <selection activeCell="L94" sqref="L94:L95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46139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95" si="0">(H7/1000*I7/1000)*J7</f>
        <v>0</v>
      </c>
      <c r="L7" s="26">
        <f>SUM(J7:J38)</f>
        <v>181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SUM(K7:K38)</f>
        <v>1171.3789189999998</v>
      </c>
    </row>
    <row r="9" spans="1:12" s="27" customFormat="1" ht="19.5" customHeight="1" x14ac:dyDescent="0.3">
      <c r="A9" s="28" t="s">
        <v>3280</v>
      </c>
      <c r="B9" s="16" t="s">
        <v>2941</v>
      </c>
      <c r="C9" s="17">
        <v>24</v>
      </c>
      <c r="D9" s="18" t="s">
        <v>3281</v>
      </c>
      <c r="E9" s="41">
        <v>33</v>
      </c>
      <c r="F9" s="42">
        <v>63.03</v>
      </c>
      <c r="G9" s="34" t="s">
        <v>336</v>
      </c>
      <c r="H9" s="35">
        <v>1981</v>
      </c>
      <c r="I9" s="36">
        <v>3048</v>
      </c>
      <c r="J9" s="37">
        <v>8</v>
      </c>
      <c r="K9" s="25">
        <f t="shared" si="0"/>
        <v>48.304704000000008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336</v>
      </c>
      <c r="H10" s="35">
        <v>1981</v>
      </c>
      <c r="I10" s="36">
        <v>3353</v>
      </c>
      <c r="J10" s="37">
        <v>3</v>
      </c>
      <c r="K10" s="25">
        <f t="shared" si="0"/>
        <v>19.926879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 t="s">
        <v>62</v>
      </c>
      <c r="H11" s="35">
        <v>1981</v>
      </c>
      <c r="I11" s="36">
        <v>3048</v>
      </c>
      <c r="J11" s="37">
        <v>11</v>
      </c>
      <c r="K11" s="25">
        <f t="shared" si="0"/>
        <v>66.418968000000007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 t="s">
        <v>3282</v>
      </c>
      <c r="B13" s="16" t="s">
        <v>2720</v>
      </c>
      <c r="C13" s="17">
        <v>22</v>
      </c>
      <c r="D13" s="18" t="s">
        <v>45</v>
      </c>
      <c r="E13" s="41">
        <v>65</v>
      </c>
      <c r="F13" s="42">
        <v>56.15</v>
      </c>
      <c r="G13" s="34" t="s">
        <v>49</v>
      </c>
      <c r="H13" s="35">
        <v>1829</v>
      </c>
      <c r="I13" s="36">
        <v>3353</v>
      </c>
      <c r="J13" s="37">
        <v>11</v>
      </c>
      <c r="K13" s="25">
        <f t="shared" si="0"/>
        <v>67.459007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17</v>
      </c>
      <c r="E14" s="41">
        <v>65</v>
      </c>
      <c r="F14" s="42">
        <v>56.15</v>
      </c>
      <c r="G14" s="34" t="s">
        <v>18</v>
      </c>
      <c r="H14" s="35">
        <v>1981</v>
      </c>
      <c r="I14" s="36">
        <v>3353</v>
      </c>
      <c r="J14" s="37">
        <v>9</v>
      </c>
      <c r="K14" s="25">
        <f t="shared" si="0"/>
        <v>59.780637000000006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45</v>
      </c>
      <c r="E15" s="41">
        <v>10</v>
      </c>
      <c r="F15" s="42">
        <v>3.8</v>
      </c>
      <c r="G15" s="34" t="s">
        <v>19</v>
      </c>
      <c r="H15" s="35">
        <v>1981</v>
      </c>
      <c r="I15" s="36">
        <v>3353</v>
      </c>
      <c r="J15" s="37">
        <v>18</v>
      </c>
      <c r="K15" s="25">
        <f t="shared" ref="K15:K21" si="1">(H15/1000*I15/1000)*J15</f>
        <v>119.56127400000001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1"/>
        <v>0</v>
      </c>
      <c r="L16" s="39"/>
    </row>
    <row r="17" spans="1:12" s="27" customFormat="1" ht="19.5" customHeight="1" x14ac:dyDescent="0.3">
      <c r="A17" s="28" t="s">
        <v>3283</v>
      </c>
      <c r="B17" s="16" t="s">
        <v>934</v>
      </c>
      <c r="C17" s="17">
        <v>22</v>
      </c>
      <c r="D17" s="18" t="s">
        <v>17</v>
      </c>
      <c r="E17" s="41">
        <v>1</v>
      </c>
      <c r="F17" s="42">
        <v>1.42</v>
      </c>
      <c r="G17" s="34"/>
      <c r="H17" s="35"/>
      <c r="I17" s="36"/>
      <c r="J17" s="37"/>
      <c r="K17" s="25">
        <f t="shared" si="1"/>
        <v>0</v>
      </c>
      <c r="L17" s="39" t="s">
        <v>31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1"/>
        <v>0</v>
      </c>
      <c r="L18" s="39"/>
    </row>
    <row r="19" spans="1:12" s="27" customFormat="1" ht="19.5" customHeight="1" x14ac:dyDescent="0.3">
      <c r="A19" s="28" t="s">
        <v>3284</v>
      </c>
      <c r="B19" s="16" t="s">
        <v>2720</v>
      </c>
      <c r="C19" s="17">
        <v>22</v>
      </c>
      <c r="D19" s="18" t="s">
        <v>45</v>
      </c>
      <c r="E19" s="41">
        <v>60</v>
      </c>
      <c r="F19" s="42">
        <v>46.12</v>
      </c>
      <c r="G19" s="34" t="s">
        <v>49</v>
      </c>
      <c r="H19" s="35">
        <v>1829</v>
      </c>
      <c r="I19" s="36">
        <v>3353</v>
      </c>
      <c r="J19" s="37">
        <v>10</v>
      </c>
      <c r="K19" s="25">
        <f t="shared" si="1"/>
        <v>61.326369999999997</v>
      </c>
      <c r="L19" s="39"/>
    </row>
    <row r="20" spans="1:12" s="27" customFormat="1" ht="19.5" customHeight="1" x14ac:dyDescent="0.3">
      <c r="A20" s="28"/>
      <c r="B20" s="16"/>
      <c r="C20" s="17">
        <v>22</v>
      </c>
      <c r="D20" s="18" t="s">
        <v>17</v>
      </c>
      <c r="E20" s="41">
        <v>60</v>
      </c>
      <c r="F20" s="42">
        <v>46.12</v>
      </c>
      <c r="G20" s="34" t="s">
        <v>18</v>
      </c>
      <c r="H20" s="35">
        <v>1981</v>
      </c>
      <c r="I20" s="36">
        <v>3353</v>
      </c>
      <c r="J20" s="37">
        <v>8</v>
      </c>
      <c r="K20" s="25">
        <f t="shared" si="1"/>
        <v>53.138344000000004</v>
      </c>
      <c r="L20" s="39"/>
    </row>
    <row r="21" spans="1:12" s="27" customFormat="1" ht="19.5" customHeight="1" x14ac:dyDescent="0.3">
      <c r="A21" s="28"/>
      <c r="B21" s="16"/>
      <c r="C21" s="17">
        <v>22</v>
      </c>
      <c r="D21" s="18" t="s">
        <v>45</v>
      </c>
      <c r="E21" s="41">
        <v>16</v>
      </c>
      <c r="F21" s="42">
        <v>13.28</v>
      </c>
      <c r="G21" s="34" t="s">
        <v>19</v>
      </c>
      <c r="H21" s="35">
        <v>1981</v>
      </c>
      <c r="I21" s="36">
        <v>3353</v>
      </c>
      <c r="J21" s="37">
        <v>18</v>
      </c>
      <c r="K21" s="25">
        <f t="shared" si="1"/>
        <v>119.56127400000001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 t="s">
        <v>3276</v>
      </c>
      <c r="B23" s="16" t="s">
        <v>2720</v>
      </c>
      <c r="C23" s="17">
        <v>22</v>
      </c>
      <c r="D23" s="18" t="s">
        <v>17</v>
      </c>
      <c r="E23" s="41">
        <v>75</v>
      </c>
      <c r="F23" s="42">
        <v>57.65</v>
      </c>
      <c r="G23" s="34" t="s">
        <v>18</v>
      </c>
      <c r="H23" s="35">
        <v>1981</v>
      </c>
      <c r="I23" s="36">
        <v>3353</v>
      </c>
      <c r="J23" s="37">
        <v>9</v>
      </c>
      <c r="K23" s="25">
        <f t="shared" si="0"/>
        <v>59.780637000000006</v>
      </c>
      <c r="L23" s="39" t="s">
        <v>100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 t="s">
        <v>3285</v>
      </c>
      <c r="B25" s="16" t="s">
        <v>2720</v>
      </c>
      <c r="C25" s="17">
        <v>22</v>
      </c>
      <c r="D25" s="18" t="s">
        <v>45</v>
      </c>
      <c r="E25" s="41">
        <v>75</v>
      </c>
      <c r="F25" s="42">
        <v>57.65</v>
      </c>
      <c r="G25" s="34" t="s">
        <v>49</v>
      </c>
      <c r="H25" s="35">
        <v>1829</v>
      </c>
      <c r="I25" s="36">
        <v>3353</v>
      </c>
      <c r="J25" s="37">
        <v>13</v>
      </c>
      <c r="K25" s="25">
        <f t="shared" si="0"/>
        <v>79.724281000000005</v>
      </c>
      <c r="L25" s="39"/>
    </row>
    <row r="26" spans="1:12" s="27" customFormat="1" ht="19.5" customHeight="1" x14ac:dyDescent="0.3">
      <c r="A26" s="28"/>
      <c r="B26" s="16"/>
      <c r="C26" s="17">
        <v>22</v>
      </c>
      <c r="D26" s="18" t="s">
        <v>45</v>
      </c>
      <c r="E26" s="41">
        <v>20</v>
      </c>
      <c r="F26" s="42">
        <v>16.600000000000001</v>
      </c>
      <c r="G26" s="34" t="s">
        <v>19</v>
      </c>
      <c r="H26" s="35">
        <v>1981</v>
      </c>
      <c r="I26" s="36">
        <v>3353</v>
      </c>
      <c r="J26" s="37">
        <v>12</v>
      </c>
      <c r="K26" s="25">
        <f t="shared" si="0"/>
        <v>79.707515999999998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 t="s">
        <v>57</v>
      </c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 t="s">
        <v>3297</v>
      </c>
      <c r="B29" s="16" t="s">
        <v>2720</v>
      </c>
      <c r="C29" s="17">
        <v>22</v>
      </c>
      <c r="D29" s="18" t="s">
        <v>17</v>
      </c>
      <c r="E29" s="41">
        <v>75</v>
      </c>
      <c r="F29" s="42">
        <v>57.65</v>
      </c>
      <c r="G29" s="34" t="s">
        <v>18</v>
      </c>
      <c r="H29" s="35">
        <v>1981</v>
      </c>
      <c r="I29" s="36">
        <v>3353</v>
      </c>
      <c r="J29" s="37">
        <v>9</v>
      </c>
      <c r="K29" s="25">
        <f t="shared" ref="K29:K33" si="2">(H29/1000*I29/1000)*J29</f>
        <v>59.780637000000006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 t="s">
        <v>19</v>
      </c>
      <c r="H30" s="35">
        <v>1981</v>
      </c>
      <c r="I30" s="36">
        <v>3353</v>
      </c>
      <c r="J30" s="37">
        <v>9</v>
      </c>
      <c r="K30" s="25">
        <f t="shared" si="2"/>
        <v>59.780637000000006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2"/>
        <v>0</v>
      </c>
      <c r="L31" s="39"/>
    </row>
    <row r="32" spans="1:12" s="27" customFormat="1" ht="19.5" customHeight="1" x14ac:dyDescent="0.3">
      <c r="A32" s="28" t="s">
        <v>3298</v>
      </c>
      <c r="B32" s="16" t="s">
        <v>3299</v>
      </c>
      <c r="C32" s="17">
        <v>5</v>
      </c>
      <c r="D32" s="18" t="s">
        <v>3300</v>
      </c>
      <c r="E32" s="41">
        <v>263</v>
      </c>
      <c r="F32" s="42">
        <v>192.24</v>
      </c>
      <c r="G32" s="34" t="s">
        <v>3301</v>
      </c>
      <c r="H32" s="35">
        <v>1981</v>
      </c>
      <c r="I32" s="36">
        <v>3353</v>
      </c>
      <c r="J32" s="37">
        <f>18</f>
        <v>18</v>
      </c>
      <c r="K32" s="25">
        <f t="shared" si="2"/>
        <v>119.56127400000001</v>
      </c>
      <c r="L32" s="39" t="s">
        <v>3302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 t="s">
        <v>3301</v>
      </c>
      <c r="H33" s="35">
        <v>2134</v>
      </c>
      <c r="I33" s="36">
        <v>3048</v>
      </c>
      <c r="J33" s="98">
        <f>15</f>
        <v>15</v>
      </c>
      <c r="K33" s="25">
        <f t="shared" si="2"/>
        <v>97.566479999999999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38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3286</v>
      </c>
      <c r="B40" s="45" t="s">
        <v>3287</v>
      </c>
      <c r="C40" s="46">
        <v>24</v>
      </c>
      <c r="D40" s="47" t="s">
        <v>55</v>
      </c>
      <c r="E40" s="48">
        <v>23</v>
      </c>
      <c r="F40" s="49">
        <v>28.39</v>
      </c>
      <c r="G40" s="50" t="s">
        <v>56</v>
      </c>
      <c r="H40" s="51">
        <v>2438</v>
      </c>
      <c r="I40" s="45">
        <v>3353</v>
      </c>
      <c r="J40" s="52">
        <v>4</v>
      </c>
      <c r="K40" s="53">
        <f t="shared" si="0"/>
        <v>32.698456</v>
      </c>
      <c r="L40" s="54"/>
    </row>
    <row r="41" spans="1:12" s="55" customFormat="1" ht="19.5" customHeight="1" x14ac:dyDescent="0.3">
      <c r="A41" s="44"/>
      <c r="B41" s="45"/>
      <c r="C41" s="46">
        <v>28</v>
      </c>
      <c r="D41" s="47" t="s">
        <v>1871</v>
      </c>
      <c r="E41" s="48">
        <v>17</v>
      </c>
      <c r="F41" s="49">
        <v>28.12</v>
      </c>
      <c r="G41" s="50" t="s">
        <v>18</v>
      </c>
      <c r="H41" s="51">
        <v>2438</v>
      </c>
      <c r="I41" s="45">
        <v>3353</v>
      </c>
      <c r="J41" s="52">
        <v>4</v>
      </c>
      <c r="K41" s="53">
        <f t="shared" si="0"/>
        <v>32.698456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 t="s">
        <v>1262</v>
      </c>
      <c r="H42" s="51">
        <v>2438</v>
      </c>
      <c r="I42" s="45">
        <v>3353</v>
      </c>
      <c r="J42" s="52">
        <v>6</v>
      </c>
      <c r="K42" s="53">
        <f t="shared" si="0"/>
        <v>49.047684000000004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 t="s">
        <v>189</v>
      </c>
      <c r="H43" s="51">
        <v>1981</v>
      </c>
      <c r="I43" s="45">
        <v>3353</v>
      </c>
      <c r="J43" s="52">
        <v>4</v>
      </c>
      <c r="K43" s="53">
        <f t="shared" si="0"/>
        <v>26.569172000000002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 t="s">
        <v>189</v>
      </c>
      <c r="H44" s="51">
        <v>2134</v>
      </c>
      <c r="I44" s="45">
        <v>3353</v>
      </c>
      <c r="J44" s="52">
        <v>2</v>
      </c>
      <c r="K44" s="53">
        <f t="shared" si="0"/>
        <v>14.310604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3288</v>
      </c>
      <c r="B46" s="45" t="s">
        <v>2005</v>
      </c>
      <c r="C46" s="46">
        <v>28</v>
      </c>
      <c r="D46" s="47" t="s">
        <v>2006</v>
      </c>
      <c r="E46" s="48">
        <v>15</v>
      </c>
      <c r="F46" s="49">
        <v>4.2</v>
      </c>
      <c r="G46" s="50"/>
      <c r="H46" s="51"/>
      <c r="I46" s="45"/>
      <c r="J46" s="52"/>
      <c r="K46" s="53">
        <f t="shared" si="0"/>
        <v>0</v>
      </c>
      <c r="L46" s="54" t="s">
        <v>31</v>
      </c>
    </row>
    <row r="47" spans="1:12" s="55" customFormat="1" ht="19.5" customHeight="1" x14ac:dyDescent="0.3">
      <c r="A47" s="44"/>
      <c r="B47" s="45"/>
      <c r="C47" s="46">
        <v>35.520000000000003</v>
      </c>
      <c r="D47" s="47" t="s">
        <v>3289</v>
      </c>
      <c r="E47" s="48">
        <v>15</v>
      </c>
      <c r="F47" s="49">
        <v>4.2</v>
      </c>
      <c r="G47" s="50"/>
      <c r="H47" s="51"/>
      <c r="I47" s="45"/>
      <c r="J47" s="52"/>
      <c r="K47" s="53">
        <f t="shared" si="0"/>
        <v>0</v>
      </c>
      <c r="L47" s="54" t="s">
        <v>31</v>
      </c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3290</v>
      </c>
      <c r="B49" s="45" t="s">
        <v>930</v>
      </c>
      <c r="C49" s="46">
        <v>25.76</v>
      </c>
      <c r="D49" s="47" t="s">
        <v>227</v>
      </c>
      <c r="E49" s="48">
        <v>4</v>
      </c>
      <c r="F49" s="49">
        <v>7.99</v>
      </c>
      <c r="G49" s="50" t="s">
        <v>62</v>
      </c>
      <c r="H49" s="51">
        <v>1981</v>
      </c>
      <c r="I49" s="45">
        <v>3353</v>
      </c>
      <c r="J49" s="52">
        <v>6</v>
      </c>
      <c r="K49" s="53">
        <f t="shared" si="0"/>
        <v>39.853757999999999</v>
      </c>
      <c r="L49" s="54"/>
    </row>
    <row r="50" spans="1:12" s="55" customFormat="1" ht="19.5" customHeight="1" x14ac:dyDescent="0.3">
      <c r="A50" s="44"/>
      <c r="B50" s="45"/>
      <c r="C50" s="46">
        <v>47</v>
      </c>
      <c r="D50" s="47" t="s">
        <v>1129</v>
      </c>
      <c r="E50" s="48">
        <v>2</v>
      </c>
      <c r="F50" s="49">
        <v>0.66</v>
      </c>
      <c r="G50" s="50" t="s">
        <v>3291</v>
      </c>
      <c r="H50" s="51">
        <v>2438</v>
      </c>
      <c r="I50" s="45">
        <v>3353</v>
      </c>
      <c r="J50" s="52">
        <v>1</v>
      </c>
      <c r="K50" s="53">
        <f t="shared" si="0"/>
        <v>8.174614</v>
      </c>
      <c r="L50" s="54"/>
    </row>
    <row r="51" spans="1:12" s="55" customFormat="1" ht="19.5" customHeight="1" x14ac:dyDescent="0.3">
      <c r="A51" s="44"/>
      <c r="B51" s="45"/>
      <c r="C51" s="46">
        <v>16</v>
      </c>
      <c r="D51" s="47" t="s">
        <v>78</v>
      </c>
      <c r="E51" s="48">
        <v>1</v>
      </c>
      <c r="F51" s="49">
        <v>1.45</v>
      </c>
      <c r="G51" s="50" t="s">
        <v>18</v>
      </c>
      <c r="H51" s="51">
        <v>1829</v>
      </c>
      <c r="I51" s="45">
        <v>3353</v>
      </c>
      <c r="J51" s="52">
        <v>4</v>
      </c>
      <c r="K51" s="53">
        <f t="shared" si="0"/>
        <v>24.530548</v>
      </c>
      <c r="L51" s="54"/>
    </row>
    <row r="52" spans="1:12" s="55" customFormat="1" ht="19.5" customHeight="1" x14ac:dyDescent="0.3">
      <c r="A52" s="44"/>
      <c r="B52" s="45"/>
      <c r="C52" s="46">
        <v>22</v>
      </c>
      <c r="D52" s="47" t="s">
        <v>17</v>
      </c>
      <c r="E52" s="48">
        <v>18</v>
      </c>
      <c r="F52" s="49">
        <v>27</v>
      </c>
      <c r="G52" s="50" t="s">
        <v>18</v>
      </c>
      <c r="H52" s="51">
        <v>1981</v>
      </c>
      <c r="I52" s="45">
        <v>3048</v>
      </c>
      <c r="J52" s="52">
        <v>1</v>
      </c>
      <c r="K52" s="53">
        <f t="shared" si="0"/>
        <v>6.038088000000001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3292</v>
      </c>
      <c r="B54" s="45" t="s">
        <v>3287</v>
      </c>
      <c r="C54" s="46">
        <v>5</v>
      </c>
      <c r="D54" s="47" t="s">
        <v>3293</v>
      </c>
      <c r="E54" s="48">
        <v>1</v>
      </c>
      <c r="F54" s="49">
        <v>0.28000000000000003</v>
      </c>
      <c r="G54" s="50"/>
      <c r="H54" s="51"/>
      <c r="I54" s="45"/>
      <c r="J54" s="52"/>
      <c r="K54" s="53">
        <f t="shared" si="0"/>
        <v>0</v>
      </c>
      <c r="L54" s="54" t="s">
        <v>31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3279</v>
      </c>
      <c r="B56" s="45" t="s">
        <v>2505</v>
      </c>
      <c r="C56" s="46">
        <v>24</v>
      </c>
      <c r="D56" s="47" t="s">
        <v>89</v>
      </c>
      <c r="E56" s="48">
        <v>45</v>
      </c>
      <c r="F56" s="49">
        <v>60.07</v>
      </c>
      <c r="G56" s="50" t="s">
        <v>18</v>
      </c>
      <c r="H56" s="51">
        <v>2438</v>
      </c>
      <c r="I56" s="45">
        <v>3353</v>
      </c>
      <c r="J56" s="52">
        <v>10</v>
      </c>
      <c r="K56" s="53">
        <f t="shared" si="0"/>
        <v>81.746139999999997</v>
      </c>
      <c r="L56" s="54" t="s">
        <v>100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3294</v>
      </c>
      <c r="B58" s="45" t="s">
        <v>2505</v>
      </c>
      <c r="C58" s="46">
        <v>24</v>
      </c>
      <c r="D58" s="47" t="s">
        <v>89</v>
      </c>
      <c r="E58" s="48">
        <v>42</v>
      </c>
      <c r="F58" s="49">
        <v>78.28</v>
      </c>
      <c r="G58" s="50" t="s">
        <v>91</v>
      </c>
      <c r="H58" s="51">
        <v>2438</v>
      </c>
      <c r="I58" s="45">
        <v>3048</v>
      </c>
      <c r="J58" s="52">
        <v>2</v>
      </c>
      <c r="K58" s="53">
        <f t="shared" si="0"/>
        <v>14.862048000000001</v>
      </c>
      <c r="L58" s="54" t="s">
        <v>3295</v>
      </c>
    </row>
    <row r="59" spans="1:12" s="55" customFormat="1" ht="19.5" customHeight="1" x14ac:dyDescent="0.3">
      <c r="A59" s="44" t="s">
        <v>3254</v>
      </c>
      <c r="B59" s="45" t="s">
        <v>2505</v>
      </c>
      <c r="C59" s="46">
        <v>24</v>
      </c>
      <c r="D59" s="47" t="s">
        <v>89</v>
      </c>
      <c r="E59" s="48">
        <v>37</v>
      </c>
      <c r="F59" s="49">
        <v>44.16</v>
      </c>
      <c r="G59" s="50" t="s">
        <v>91</v>
      </c>
      <c r="H59" s="51">
        <v>2134</v>
      </c>
      <c r="I59" s="45">
        <v>3353</v>
      </c>
      <c r="J59" s="52">
        <v>18</v>
      </c>
      <c r="K59" s="53">
        <f t="shared" si="0"/>
        <v>128.795436</v>
      </c>
      <c r="L59" s="54" t="s">
        <v>3295</v>
      </c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 t="s">
        <v>18</v>
      </c>
      <c r="H60" s="51">
        <v>2438</v>
      </c>
      <c r="I60" s="45">
        <v>3353</v>
      </c>
      <c r="J60" s="52">
        <v>20</v>
      </c>
      <c r="K60" s="53">
        <f t="shared" si="0"/>
        <v>163.49227999999999</v>
      </c>
      <c r="L60" s="54"/>
    </row>
    <row r="61" spans="1:12" s="55" customFormat="1" ht="19.5" customHeight="1" x14ac:dyDescent="0.3">
      <c r="A61" s="44"/>
      <c r="B61" s="76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57</v>
      </c>
      <c r="B62" s="76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3303</v>
      </c>
      <c r="B63" s="76" t="s">
        <v>3307</v>
      </c>
      <c r="C63" s="46">
        <v>24</v>
      </c>
      <c r="D63" s="47" t="s">
        <v>3310</v>
      </c>
      <c r="E63" s="48">
        <v>1</v>
      </c>
      <c r="F63" s="49">
        <v>2.75</v>
      </c>
      <c r="G63" s="50" t="s">
        <v>3309</v>
      </c>
      <c r="H63" s="51">
        <v>1829</v>
      </c>
      <c r="I63" s="45">
        <v>3353</v>
      </c>
      <c r="J63" s="52">
        <v>2</v>
      </c>
      <c r="K63" s="53">
        <f t="shared" ref="K63:K71" si="3">(H63/1000*I63/1000)*J63</f>
        <v>12.265274</v>
      </c>
      <c r="L63" s="54" t="s">
        <v>3313</v>
      </c>
    </row>
    <row r="64" spans="1:12" s="55" customFormat="1" ht="19.5" customHeight="1" x14ac:dyDescent="0.3">
      <c r="A64" s="44"/>
      <c r="B64" s="76"/>
      <c r="C64" s="46">
        <v>24</v>
      </c>
      <c r="D64" s="47" t="s">
        <v>3308</v>
      </c>
      <c r="E64" s="48">
        <v>1</v>
      </c>
      <c r="F64" s="49">
        <v>2.75</v>
      </c>
      <c r="G64" s="50" t="s">
        <v>3311</v>
      </c>
      <c r="H64" s="51">
        <v>2438</v>
      </c>
      <c r="I64" s="45">
        <v>3353</v>
      </c>
      <c r="J64" s="52">
        <v>2</v>
      </c>
      <c r="K64" s="53">
        <f t="shared" si="3"/>
        <v>16.349228</v>
      </c>
      <c r="L64" s="54" t="s">
        <v>3313</v>
      </c>
    </row>
    <row r="65" spans="1:12" s="55" customFormat="1" ht="19.5" customHeight="1" x14ac:dyDescent="0.3">
      <c r="A65" s="44" t="s">
        <v>3304</v>
      </c>
      <c r="B65" s="76" t="s">
        <v>3307</v>
      </c>
      <c r="C65" s="46">
        <v>24</v>
      </c>
      <c r="D65" s="47" t="s">
        <v>3310</v>
      </c>
      <c r="E65" s="48">
        <v>1</v>
      </c>
      <c r="F65" s="49">
        <v>2.5299999999999998</v>
      </c>
      <c r="G65" s="50" t="s">
        <v>3312</v>
      </c>
      <c r="H65" s="51">
        <v>1981</v>
      </c>
      <c r="I65" s="45">
        <v>3353</v>
      </c>
      <c r="J65" s="52">
        <v>4</v>
      </c>
      <c r="K65" s="53">
        <f t="shared" si="3"/>
        <v>26.569172000000002</v>
      </c>
      <c r="L65" s="54" t="s">
        <v>3313</v>
      </c>
    </row>
    <row r="66" spans="1:12" s="55" customFormat="1" ht="19.5" customHeight="1" x14ac:dyDescent="0.3">
      <c r="A66" s="44"/>
      <c r="B66" s="76"/>
      <c r="C66" s="46">
        <v>24</v>
      </c>
      <c r="D66" s="47" t="s">
        <v>3308</v>
      </c>
      <c r="E66" s="48">
        <v>1</v>
      </c>
      <c r="F66" s="49">
        <v>2.5299999999999998</v>
      </c>
      <c r="G66" s="50"/>
      <c r="H66" s="51"/>
      <c r="I66" s="45"/>
      <c r="J66" s="52"/>
      <c r="K66" s="53">
        <f t="shared" si="3"/>
        <v>0</v>
      </c>
      <c r="L66" s="54" t="s">
        <v>3313</v>
      </c>
    </row>
    <row r="67" spans="1:12" s="55" customFormat="1" ht="19.5" customHeight="1" x14ac:dyDescent="0.3">
      <c r="A67" s="44" t="s">
        <v>3305</v>
      </c>
      <c r="B67" s="76" t="s">
        <v>3307</v>
      </c>
      <c r="C67" s="46">
        <v>24</v>
      </c>
      <c r="D67" s="47" t="s">
        <v>3310</v>
      </c>
      <c r="E67" s="48">
        <v>1</v>
      </c>
      <c r="F67" s="49">
        <v>2.5299999999999998</v>
      </c>
      <c r="G67" s="50"/>
      <c r="H67" s="51"/>
      <c r="I67" s="45"/>
      <c r="J67" s="52"/>
      <c r="K67" s="53">
        <f t="shared" si="3"/>
        <v>0</v>
      </c>
      <c r="L67" s="54" t="s">
        <v>3313</v>
      </c>
    </row>
    <row r="68" spans="1:12" s="55" customFormat="1" ht="19.5" customHeight="1" x14ac:dyDescent="0.3">
      <c r="A68" s="44"/>
      <c r="B68" s="76"/>
      <c r="C68" s="46">
        <v>24</v>
      </c>
      <c r="D68" s="47" t="s">
        <v>3308</v>
      </c>
      <c r="E68" s="48">
        <v>1</v>
      </c>
      <c r="F68" s="49">
        <v>2.5299999999999998</v>
      </c>
      <c r="G68" s="50"/>
      <c r="H68" s="51"/>
      <c r="I68" s="45"/>
      <c r="J68" s="52"/>
      <c r="K68" s="53">
        <f t="shared" si="3"/>
        <v>0</v>
      </c>
      <c r="L68" s="54" t="s">
        <v>3313</v>
      </c>
    </row>
    <row r="69" spans="1:12" s="55" customFormat="1" ht="19.5" customHeight="1" x14ac:dyDescent="0.3">
      <c r="A69" s="44" t="s">
        <v>3306</v>
      </c>
      <c r="B69" s="76" t="s">
        <v>3307</v>
      </c>
      <c r="C69" s="46">
        <v>24</v>
      </c>
      <c r="D69" s="47" t="s">
        <v>3310</v>
      </c>
      <c r="E69" s="48">
        <v>1</v>
      </c>
      <c r="F69" s="49">
        <v>2.5299999999999998</v>
      </c>
      <c r="G69" s="50"/>
      <c r="H69" s="51"/>
      <c r="I69" s="45"/>
      <c r="J69" s="52"/>
      <c r="K69" s="53">
        <f t="shared" si="3"/>
        <v>0</v>
      </c>
      <c r="L69" s="54" t="s">
        <v>3313</v>
      </c>
    </row>
    <row r="70" spans="1:12" s="55" customFormat="1" ht="19.5" customHeight="1" x14ac:dyDescent="0.3">
      <c r="A70" s="44"/>
      <c r="B70" s="76"/>
      <c r="C70" s="46">
        <v>24</v>
      </c>
      <c r="D70" s="47" t="s">
        <v>3308</v>
      </c>
      <c r="E70" s="48">
        <v>1</v>
      </c>
      <c r="F70" s="49">
        <v>2.5299999999999998</v>
      </c>
      <c r="G70" s="50"/>
      <c r="H70" s="51"/>
      <c r="I70" s="45"/>
      <c r="J70" s="52"/>
      <c r="K70" s="53">
        <f t="shared" si="3"/>
        <v>0</v>
      </c>
      <c r="L70" s="54" t="s">
        <v>3313</v>
      </c>
    </row>
    <row r="71" spans="1:12" s="55" customFormat="1" ht="19.5" customHeight="1" x14ac:dyDescent="0.3">
      <c r="A71" s="44"/>
      <c r="B71" s="76"/>
      <c r="C71" s="46"/>
      <c r="D71" s="47"/>
      <c r="E71" s="48"/>
      <c r="F71" s="49"/>
      <c r="G71" s="50"/>
      <c r="H71" s="51"/>
      <c r="I71" s="45"/>
      <c r="J71" s="52"/>
      <c r="K71" s="53">
        <f t="shared" si="3"/>
        <v>0</v>
      </c>
      <c r="L71" s="54"/>
    </row>
    <row r="72" spans="1:12" s="55" customFormat="1" ht="19.5" customHeight="1" x14ac:dyDescent="0.3">
      <c r="A72" s="44" t="s">
        <v>3303</v>
      </c>
      <c r="B72" s="76" t="s">
        <v>3307</v>
      </c>
      <c r="C72" s="46">
        <v>22</v>
      </c>
      <c r="D72" s="47" t="s">
        <v>3314</v>
      </c>
      <c r="E72" s="48">
        <v>11</v>
      </c>
      <c r="F72" s="49">
        <v>5.95</v>
      </c>
      <c r="G72" s="50" t="s">
        <v>3316</v>
      </c>
      <c r="H72" s="51">
        <v>1981</v>
      </c>
      <c r="I72" s="45">
        <v>3353</v>
      </c>
      <c r="J72" s="52">
        <v>1</v>
      </c>
      <c r="K72" s="53">
        <f t="shared" ref="K72:K92" si="4">(H72/1000*I72/1000)*J72</f>
        <v>6.6422930000000004</v>
      </c>
      <c r="L72" s="54"/>
    </row>
    <row r="73" spans="1:12" s="55" customFormat="1" ht="19.5" customHeight="1" x14ac:dyDescent="0.3">
      <c r="A73" s="44"/>
      <c r="B73" s="76"/>
      <c r="C73" s="46">
        <v>22</v>
      </c>
      <c r="D73" s="47" t="s">
        <v>3315</v>
      </c>
      <c r="E73" s="48">
        <v>11</v>
      </c>
      <c r="F73" s="49">
        <v>5.95</v>
      </c>
      <c r="G73" s="50" t="s">
        <v>3301</v>
      </c>
      <c r="H73" s="51">
        <v>1981</v>
      </c>
      <c r="I73" s="45">
        <v>3353</v>
      </c>
      <c r="J73" s="52">
        <v>1</v>
      </c>
      <c r="K73" s="53">
        <f t="shared" si="4"/>
        <v>6.6422930000000004</v>
      </c>
      <c r="L73" s="54"/>
    </row>
    <row r="74" spans="1:12" s="55" customFormat="1" ht="19.5" customHeight="1" x14ac:dyDescent="0.3">
      <c r="A74" s="44"/>
      <c r="B74" s="76"/>
      <c r="C74" s="46">
        <v>22</v>
      </c>
      <c r="D74" s="47" t="s">
        <v>3314</v>
      </c>
      <c r="E74" s="48">
        <v>2</v>
      </c>
      <c r="F74" s="49">
        <v>2.12</v>
      </c>
      <c r="G74" s="50" t="s">
        <v>19</v>
      </c>
      <c r="H74" s="51">
        <v>1981</v>
      </c>
      <c r="I74" s="45">
        <v>3353</v>
      </c>
      <c r="J74" s="52">
        <v>2</v>
      </c>
      <c r="K74" s="53">
        <f t="shared" si="4"/>
        <v>13.284586000000001</v>
      </c>
      <c r="L74" s="54"/>
    </row>
    <row r="75" spans="1:12" s="55" customFormat="1" ht="19.5" customHeight="1" x14ac:dyDescent="0.3">
      <c r="A75" s="44"/>
      <c r="B75" s="76"/>
      <c r="C75" s="46"/>
      <c r="D75" s="47"/>
      <c r="E75" s="48"/>
      <c r="F75" s="49"/>
      <c r="G75" s="50"/>
      <c r="H75" s="51"/>
      <c r="I75" s="45"/>
      <c r="J75" s="52"/>
      <c r="K75" s="53">
        <f t="shared" si="4"/>
        <v>0</v>
      </c>
      <c r="L75" s="54"/>
    </row>
    <row r="76" spans="1:12" s="55" customFormat="1" ht="19.5" customHeight="1" x14ac:dyDescent="0.3">
      <c r="A76" s="44" t="s">
        <v>3304</v>
      </c>
      <c r="B76" s="76" t="s">
        <v>3307</v>
      </c>
      <c r="C76" s="46">
        <v>22</v>
      </c>
      <c r="D76" s="47" t="s">
        <v>3314</v>
      </c>
      <c r="E76" s="48">
        <v>14</v>
      </c>
      <c r="F76" s="49">
        <v>8.3000000000000007</v>
      </c>
      <c r="G76" s="50" t="s">
        <v>3316</v>
      </c>
      <c r="H76" s="51">
        <v>1981</v>
      </c>
      <c r="I76" s="45">
        <v>3353</v>
      </c>
      <c r="J76" s="52">
        <v>2</v>
      </c>
      <c r="K76" s="53">
        <f t="shared" ref="K76:K83" si="5">(H76/1000*I76/1000)*J76</f>
        <v>13.284586000000001</v>
      </c>
      <c r="L76" s="54"/>
    </row>
    <row r="77" spans="1:12" s="55" customFormat="1" ht="19.5" customHeight="1" x14ac:dyDescent="0.3">
      <c r="A77" s="44"/>
      <c r="B77" s="76"/>
      <c r="C77" s="46">
        <v>22</v>
      </c>
      <c r="D77" s="47" t="s">
        <v>3315</v>
      </c>
      <c r="E77" s="48">
        <v>14</v>
      </c>
      <c r="F77" s="49">
        <v>8.3000000000000007</v>
      </c>
      <c r="G77" s="50" t="s">
        <v>3301</v>
      </c>
      <c r="H77" s="51">
        <v>1981</v>
      </c>
      <c r="I77" s="45">
        <v>3353</v>
      </c>
      <c r="J77" s="52">
        <v>2</v>
      </c>
      <c r="K77" s="53">
        <f t="shared" si="5"/>
        <v>13.284586000000001</v>
      </c>
      <c r="L77" s="54"/>
    </row>
    <row r="78" spans="1:12" s="55" customFormat="1" ht="19.5" customHeight="1" x14ac:dyDescent="0.3">
      <c r="A78" s="44"/>
      <c r="B78" s="76"/>
      <c r="C78" s="46">
        <v>22</v>
      </c>
      <c r="D78" s="47" t="s">
        <v>3314</v>
      </c>
      <c r="E78" s="48">
        <v>2</v>
      </c>
      <c r="F78" s="49">
        <v>2.46</v>
      </c>
      <c r="G78" s="50" t="s">
        <v>19</v>
      </c>
      <c r="H78" s="51">
        <v>1981</v>
      </c>
      <c r="I78" s="45">
        <v>3353</v>
      </c>
      <c r="J78" s="52">
        <v>3</v>
      </c>
      <c r="K78" s="53">
        <f t="shared" si="5"/>
        <v>19.926879</v>
      </c>
      <c r="L78" s="54"/>
    </row>
    <row r="79" spans="1:12" s="55" customFormat="1" ht="19.5" customHeight="1" x14ac:dyDescent="0.3">
      <c r="A79" s="44"/>
      <c r="B79" s="76"/>
      <c r="C79" s="46"/>
      <c r="D79" s="47"/>
      <c r="E79" s="48"/>
      <c r="F79" s="49"/>
      <c r="G79" s="50"/>
      <c r="H79" s="51"/>
      <c r="I79" s="45"/>
      <c r="J79" s="52"/>
      <c r="K79" s="53">
        <f t="shared" si="5"/>
        <v>0</v>
      </c>
      <c r="L79" s="54"/>
    </row>
    <row r="80" spans="1:12" s="55" customFormat="1" ht="19.5" customHeight="1" x14ac:dyDescent="0.3">
      <c r="A80" s="44" t="s">
        <v>3305</v>
      </c>
      <c r="B80" s="76" t="s">
        <v>3307</v>
      </c>
      <c r="C80" s="46">
        <v>22</v>
      </c>
      <c r="D80" s="47" t="s">
        <v>3314</v>
      </c>
      <c r="E80" s="48">
        <v>12</v>
      </c>
      <c r="F80" s="49">
        <v>8.48</v>
      </c>
      <c r="G80" s="50" t="s">
        <v>3316</v>
      </c>
      <c r="H80" s="51">
        <v>1981</v>
      </c>
      <c r="I80" s="45">
        <v>3353</v>
      </c>
      <c r="J80" s="52">
        <v>2</v>
      </c>
      <c r="K80" s="53">
        <f t="shared" si="5"/>
        <v>13.284586000000001</v>
      </c>
      <c r="L80" s="54"/>
    </row>
    <row r="81" spans="1:12" s="55" customFormat="1" ht="19.5" customHeight="1" x14ac:dyDescent="0.3">
      <c r="A81" s="44"/>
      <c r="B81" s="76"/>
      <c r="C81" s="46">
        <v>22</v>
      </c>
      <c r="D81" s="47" t="s">
        <v>3315</v>
      </c>
      <c r="E81" s="48">
        <v>12</v>
      </c>
      <c r="F81" s="49">
        <v>8.48</v>
      </c>
      <c r="G81" s="50" t="s">
        <v>3301</v>
      </c>
      <c r="H81" s="51">
        <v>1981</v>
      </c>
      <c r="I81" s="45">
        <v>3353</v>
      </c>
      <c r="J81" s="52">
        <v>1</v>
      </c>
      <c r="K81" s="53">
        <f t="shared" si="5"/>
        <v>6.6422930000000004</v>
      </c>
      <c r="L81" s="54"/>
    </row>
    <row r="82" spans="1:12" s="55" customFormat="1" ht="19.5" customHeight="1" x14ac:dyDescent="0.3">
      <c r="A82" s="44"/>
      <c r="B82" s="76"/>
      <c r="C82" s="46">
        <v>22</v>
      </c>
      <c r="D82" s="47" t="s">
        <v>3314</v>
      </c>
      <c r="E82" s="48">
        <v>2</v>
      </c>
      <c r="F82" s="49">
        <v>2.46</v>
      </c>
      <c r="G82" s="50" t="s">
        <v>19</v>
      </c>
      <c r="H82" s="51">
        <v>1981</v>
      </c>
      <c r="I82" s="45">
        <v>3353</v>
      </c>
      <c r="J82" s="52">
        <v>3</v>
      </c>
      <c r="K82" s="53">
        <f t="shared" si="5"/>
        <v>19.926879</v>
      </c>
      <c r="L82" s="54"/>
    </row>
    <row r="83" spans="1:12" s="55" customFormat="1" ht="19.5" customHeight="1" x14ac:dyDescent="0.3">
      <c r="A83" s="44"/>
      <c r="B83" s="76"/>
      <c r="C83" s="46"/>
      <c r="D83" s="47"/>
      <c r="E83" s="48"/>
      <c r="F83" s="49"/>
      <c r="G83" s="50"/>
      <c r="H83" s="51"/>
      <c r="I83" s="45"/>
      <c r="J83" s="52"/>
      <c r="K83" s="53">
        <f t="shared" si="5"/>
        <v>0</v>
      </c>
      <c r="L83" s="54"/>
    </row>
    <row r="84" spans="1:12" s="55" customFormat="1" ht="19.5" customHeight="1" x14ac:dyDescent="0.3">
      <c r="A84" s="44" t="s">
        <v>3306</v>
      </c>
      <c r="B84" s="76" t="s">
        <v>3307</v>
      </c>
      <c r="C84" s="46">
        <v>22</v>
      </c>
      <c r="D84" s="47" t="s">
        <v>3314</v>
      </c>
      <c r="E84" s="48">
        <v>14</v>
      </c>
      <c r="F84" s="49">
        <v>9.56</v>
      </c>
      <c r="G84" s="50" t="s">
        <v>3316</v>
      </c>
      <c r="H84" s="51">
        <v>1981</v>
      </c>
      <c r="I84" s="45">
        <v>3353</v>
      </c>
      <c r="J84" s="52">
        <v>2</v>
      </c>
      <c r="K84" s="53">
        <f t="shared" ref="K84:K89" si="6">(H84/1000*I84/1000)*J84</f>
        <v>13.284586000000001</v>
      </c>
      <c r="L84" s="54"/>
    </row>
    <row r="85" spans="1:12" s="55" customFormat="1" ht="19.5" customHeight="1" x14ac:dyDescent="0.3">
      <c r="A85" s="44"/>
      <c r="B85" s="76"/>
      <c r="C85" s="46">
        <v>22</v>
      </c>
      <c r="D85" s="47" t="s">
        <v>3315</v>
      </c>
      <c r="E85" s="48">
        <v>14</v>
      </c>
      <c r="F85" s="49">
        <v>9.56</v>
      </c>
      <c r="G85" s="50" t="s">
        <v>3301</v>
      </c>
      <c r="H85" s="51">
        <v>1981</v>
      </c>
      <c r="I85" s="45">
        <v>3353</v>
      </c>
      <c r="J85" s="52">
        <v>2</v>
      </c>
      <c r="K85" s="53">
        <f t="shared" si="6"/>
        <v>13.284586000000001</v>
      </c>
      <c r="L85" s="54"/>
    </row>
    <row r="86" spans="1:12" s="55" customFormat="1" ht="19.5" customHeight="1" x14ac:dyDescent="0.3">
      <c r="A86" s="44"/>
      <c r="B86" s="76"/>
      <c r="C86" s="46">
        <v>22</v>
      </c>
      <c r="D86" s="47" t="s">
        <v>3314</v>
      </c>
      <c r="E86" s="48">
        <v>2</v>
      </c>
      <c r="F86" s="49">
        <v>2.46</v>
      </c>
      <c r="G86" s="50" t="s">
        <v>19</v>
      </c>
      <c r="H86" s="51">
        <v>1981</v>
      </c>
      <c r="I86" s="45">
        <v>3353</v>
      </c>
      <c r="J86" s="52">
        <v>4</v>
      </c>
      <c r="K86" s="53">
        <f t="shared" si="6"/>
        <v>26.569172000000002</v>
      </c>
      <c r="L86" s="54"/>
    </row>
    <row r="87" spans="1:12" s="55" customFormat="1" ht="19.5" customHeight="1" x14ac:dyDescent="0.3">
      <c r="A87" s="44"/>
      <c r="B87" s="76"/>
      <c r="C87" s="46"/>
      <c r="D87" s="47"/>
      <c r="E87" s="48"/>
      <c r="F87" s="49"/>
      <c r="G87" s="50"/>
      <c r="H87" s="51"/>
      <c r="I87" s="45"/>
      <c r="J87" s="52"/>
      <c r="K87" s="53">
        <f t="shared" si="6"/>
        <v>0</v>
      </c>
      <c r="L87" s="54"/>
    </row>
    <row r="88" spans="1:12" s="55" customFormat="1" ht="19.5" customHeight="1" x14ac:dyDescent="0.3">
      <c r="A88" s="44"/>
      <c r="B88" s="76"/>
      <c r="C88" s="46"/>
      <c r="D88" s="47"/>
      <c r="E88" s="48"/>
      <c r="F88" s="49"/>
      <c r="G88" s="50"/>
      <c r="H88" s="51"/>
      <c r="I88" s="45"/>
      <c r="J88" s="52"/>
      <c r="K88" s="53">
        <f t="shared" si="6"/>
        <v>0</v>
      </c>
      <c r="L88" s="54"/>
    </row>
    <row r="89" spans="1:12" s="55" customFormat="1" ht="19.5" customHeight="1" x14ac:dyDescent="0.3">
      <c r="A89" s="44"/>
      <c r="B89" s="76"/>
      <c r="C89" s="46"/>
      <c r="D89" s="47"/>
      <c r="E89" s="48"/>
      <c r="F89" s="49"/>
      <c r="G89" s="50"/>
      <c r="H89" s="51"/>
      <c r="I89" s="45"/>
      <c r="J89" s="52"/>
      <c r="K89" s="53">
        <f t="shared" si="6"/>
        <v>0</v>
      </c>
      <c r="L89" s="54"/>
    </row>
    <row r="90" spans="1:12" s="55" customFormat="1" ht="19.5" customHeight="1" x14ac:dyDescent="0.3">
      <c r="A90" s="44"/>
      <c r="B90" s="76"/>
      <c r="C90" s="46"/>
      <c r="D90" s="47"/>
      <c r="E90" s="48"/>
      <c r="F90" s="49"/>
      <c r="G90" s="50"/>
      <c r="H90" s="51"/>
      <c r="I90" s="45"/>
      <c r="J90" s="52"/>
      <c r="K90" s="53">
        <f t="shared" si="4"/>
        <v>0</v>
      </c>
      <c r="L90" s="54"/>
    </row>
    <row r="91" spans="1:12" s="55" customFormat="1" ht="19.5" customHeight="1" x14ac:dyDescent="0.3">
      <c r="A91" s="44"/>
      <c r="B91" s="76"/>
      <c r="C91" s="46"/>
      <c r="D91" s="47"/>
      <c r="E91" s="48"/>
      <c r="F91" s="49"/>
      <c r="G91" s="50"/>
      <c r="H91" s="51"/>
      <c r="I91" s="45"/>
      <c r="J91" s="52"/>
      <c r="K91" s="53">
        <f t="shared" si="4"/>
        <v>0</v>
      </c>
      <c r="L91" s="54"/>
    </row>
    <row r="92" spans="1:12" s="55" customFormat="1" ht="19.5" customHeight="1" x14ac:dyDescent="0.3">
      <c r="A92" s="44"/>
      <c r="B92" s="76"/>
      <c r="C92" s="46"/>
      <c r="D92" s="47"/>
      <c r="E92" s="48"/>
      <c r="F92" s="49"/>
      <c r="G92" s="50"/>
      <c r="H92" s="51"/>
      <c r="I92" s="45"/>
      <c r="J92" s="52"/>
      <c r="K92" s="53">
        <f t="shared" si="4"/>
        <v>0</v>
      </c>
      <c r="L92" s="54"/>
    </row>
    <row r="93" spans="1:12" s="55" customFormat="1" ht="19.5" customHeight="1" x14ac:dyDescent="0.3">
      <c r="A93" s="44"/>
      <c r="B93" s="45"/>
      <c r="C93" s="46"/>
      <c r="D93" s="47"/>
      <c r="E93" s="48"/>
      <c r="F93" s="49"/>
      <c r="G93" s="50"/>
      <c r="H93" s="51"/>
      <c r="I93" s="45"/>
      <c r="J93" s="52"/>
      <c r="K93" s="53">
        <f t="shared" si="0"/>
        <v>0</v>
      </c>
      <c r="L93" s="54"/>
    </row>
    <row r="94" spans="1:12" s="59" customFormat="1" ht="20.100000000000001" customHeight="1" x14ac:dyDescent="0.3">
      <c r="A94" s="44"/>
      <c r="B94" s="45"/>
      <c r="C94" s="46"/>
      <c r="D94" s="47"/>
      <c r="E94" s="56"/>
      <c r="F94" s="57"/>
      <c r="G94" s="50"/>
      <c r="H94" s="51"/>
      <c r="I94" s="45"/>
      <c r="J94" s="52"/>
      <c r="K94" s="53">
        <f t="shared" si="0"/>
        <v>0</v>
      </c>
      <c r="L94" s="58">
        <f>SUM(J39:J95)</f>
        <v>115</v>
      </c>
    </row>
    <row r="95" spans="1:12" s="59" customFormat="1" ht="20.100000000000001" customHeight="1" x14ac:dyDescent="0.3">
      <c r="A95" s="44"/>
      <c r="B95" s="45"/>
      <c r="C95" s="46"/>
      <c r="D95" s="47"/>
      <c r="E95" s="60"/>
      <c r="F95" s="61"/>
      <c r="G95" s="62"/>
      <c r="H95" s="51"/>
      <c r="I95" s="45"/>
      <c r="J95" s="63"/>
      <c r="K95" s="53">
        <f t="shared" si="0"/>
        <v>0</v>
      </c>
      <c r="L95" s="64">
        <f>SUM(K39:K95)</f>
        <v>844.05828299999985</v>
      </c>
    </row>
    <row r="96" spans="1:12" s="59" customFormat="1" ht="20.100000000000001" customHeight="1" thickBot="1" x14ac:dyDescent="0.35">
      <c r="A96" s="114"/>
      <c r="B96" s="115"/>
      <c r="C96" s="115"/>
      <c r="D96" s="115"/>
      <c r="E96" s="115"/>
      <c r="F96" s="115"/>
      <c r="G96" s="115"/>
      <c r="H96" s="115"/>
      <c r="I96" s="115"/>
      <c r="J96" s="65">
        <f>SUM(J7:J95)</f>
        <v>296</v>
      </c>
      <c r="K96" s="66">
        <f>SUM(K7:K95)</f>
        <v>2015.4372020000005</v>
      </c>
      <c r="L96" s="67"/>
    </row>
    <row r="97" spans="1:12" s="59" customFormat="1" ht="20.100000000000001" customHeight="1" thickTop="1" thickBot="1" x14ac:dyDescent="0.35">
      <c r="A97" s="116" t="s">
        <v>52</v>
      </c>
      <c r="B97" s="117"/>
      <c r="C97" s="68"/>
      <c r="D97" s="118">
        <f>J96</f>
        <v>296</v>
      </c>
      <c r="E97" s="119"/>
      <c r="F97" s="119"/>
      <c r="G97" s="120"/>
      <c r="H97" s="121"/>
      <c r="I97" s="121"/>
      <c r="J97" s="122"/>
      <c r="K97" s="119"/>
      <c r="L97" s="123"/>
    </row>
    <row r="98" spans="1:12" s="59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71"/>
    </row>
    <row r="99" spans="1:12" s="59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59" customFormat="1" ht="20.100000000000001" customHeight="1" x14ac:dyDescent="0.3">
      <c r="A102" s="113"/>
      <c r="B102" s="113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59" customFormat="1" ht="20.100000000000001" customHeight="1" x14ac:dyDescent="0.3">
      <c r="A103" s="113"/>
      <c r="B103" s="113"/>
      <c r="C103" s="5"/>
      <c r="D103" s="5"/>
      <c r="E103" s="72"/>
      <c r="F103" s="5"/>
      <c r="G103" s="5"/>
      <c r="H103" s="5"/>
      <c r="I103" s="5"/>
      <c r="J103" s="5"/>
      <c r="K103" s="5"/>
      <c r="L103" s="5"/>
    </row>
    <row r="104" spans="1:12" s="59" customFormat="1" ht="20.100000000000001" customHeight="1" x14ac:dyDescent="0.3">
      <c r="A104" s="113"/>
      <c r="B104" s="113"/>
      <c r="C104" s="5"/>
      <c r="D104" s="5"/>
      <c r="E104" s="5"/>
      <c r="F104" s="5"/>
      <c r="G104" s="73"/>
      <c r="H104" s="5"/>
      <c r="I104" s="74"/>
      <c r="J104" s="5"/>
      <c r="K104" s="5"/>
      <c r="L104" s="5"/>
    </row>
    <row r="105" spans="1:12" s="59" customFormat="1" ht="20.100000000000001" customHeight="1" x14ac:dyDescent="0.3">
      <c r="A105" s="113"/>
      <c r="B105" s="113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59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59" customFormat="1" ht="20.100000000000001" customHeight="1" x14ac:dyDescent="0.3">
      <c r="A107" s="113"/>
      <c r="B107" s="113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59" customFormat="1" ht="20.100000000000001" customHeight="1" x14ac:dyDescent="0.3">
      <c r="A108" s="113"/>
      <c r="B108" s="113"/>
      <c r="C108" s="5"/>
      <c r="D108" s="5"/>
      <c r="E108" s="5"/>
      <c r="F108" s="70"/>
      <c r="G108" s="5"/>
      <c r="H108" s="72"/>
      <c r="I108" s="72"/>
      <c r="J108" s="5"/>
      <c r="K108" s="5"/>
      <c r="L108" s="5"/>
    </row>
    <row r="109" spans="1:12" ht="20.100000000000001" customHeight="1" x14ac:dyDescent="0.3">
      <c r="A109" s="113"/>
      <c r="B109" s="113"/>
      <c r="H109" s="72"/>
      <c r="I109" s="72"/>
    </row>
    <row r="110" spans="1:12" ht="20.100000000000001" customHeight="1" x14ac:dyDescent="0.3">
      <c r="H110" s="72"/>
      <c r="I110" s="72"/>
    </row>
    <row r="111" spans="1:12" ht="20.100000000000001" customHeight="1" x14ac:dyDescent="0.3">
      <c r="H111" s="72"/>
      <c r="I111" s="72"/>
    </row>
    <row r="112" spans="1:12" ht="20.100000000000001" customHeight="1" x14ac:dyDescent="0.3">
      <c r="A112" s="113"/>
      <c r="B112" s="113"/>
      <c r="H112" s="72"/>
      <c r="I112" s="72"/>
    </row>
    <row r="113" spans="1:12" ht="20.100000000000001" customHeight="1" x14ac:dyDescent="0.3">
      <c r="A113" s="113"/>
      <c r="B113" s="113"/>
      <c r="H113" s="72"/>
      <c r="I113" s="72"/>
    </row>
    <row r="114" spans="1:12" ht="20.100000000000001" customHeight="1" x14ac:dyDescent="0.3">
      <c r="H114" s="72"/>
      <c r="I114" s="72"/>
    </row>
    <row r="115" spans="1:12" ht="20.100000000000001" customHeight="1" x14ac:dyDescent="0.3">
      <c r="H115" s="72"/>
      <c r="I115" s="72"/>
    </row>
    <row r="116" spans="1:12" ht="20.100000000000001" customHeight="1" x14ac:dyDescent="0.3">
      <c r="H116" s="72"/>
      <c r="I116" s="72"/>
    </row>
    <row r="117" spans="1:12" s="72" customFormat="1" ht="20.100000000000001" customHeight="1" x14ac:dyDescent="0.3">
      <c r="A117" s="69"/>
      <c r="B117" s="5"/>
      <c r="C117" s="5"/>
      <c r="D117" s="5"/>
      <c r="E117" s="5"/>
      <c r="F117" s="70"/>
      <c r="G117" s="5"/>
      <c r="J117" s="5"/>
      <c r="K117" s="5"/>
      <c r="L117" s="5"/>
    </row>
    <row r="118" spans="1:12" s="72" customFormat="1" ht="20.100000000000001" customHeight="1" x14ac:dyDescent="0.3">
      <c r="A118" s="69"/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75" customFormat="1" ht="20.100000000000001" customHeight="1" x14ac:dyDescent="0.3">
      <c r="A119" s="69"/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75" customFormat="1" ht="20.100000000000001" customHeight="1" x14ac:dyDescent="0.3">
      <c r="A120" s="69"/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s="75" customFormat="1" ht="19.5" customHeight="1" x14ac:dyDescent="0.3">
      <c r="A121" s="69"/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72" customFormat="1" ht="20.100000000000001" customHeight="1" x14ac:dyDescent="0.3">
      <c r="A122" s="69"/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72" customFormat="1" ht="20.100000000000001" customHeight="1" x14ac:dyDescent="0.3">
      <c r="A123" s="69"/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ht="19.5" customHeight="1" x14ac:dyDescent="0.3"/>
    <row r="125" spans="1:12" ht="19.5" customHeight="1" x14ac:dyDescent="0.3"/>
    <row r="126" spans="1:12" ht="19.5" customHeight="1" x14ac:dyDescent="0.3"/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ht="19.5" customHeight="1" x14ac:dyDescent="0.3"/>
    <row r="148" spans="2:12" ht="19.5" customHeight="1" x14ac:dyDescent="0.3"/>
    <row r="149" spans="2:12" ht="19.5" customHeight="1" x14ac:dyDescent="0.3"/>
    <row r="150" spans="2:12" ht="19.5" customHeight="1" x14ac:dyDescent="0.3"/>
    <row r="151" spans="2:12" ht="19.5" customHeight="1" x14ac:dyDescent="0.3"/>
    <row r="152" spans="2:12" ht="19.5" customHeight="1" x14ac:dyDescent="0.3"/>
    <row r="153" spans="2:12" ht="19.5" customHeight="1" x14ac:dyDescent="0.3"/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  <row r="185" spans="2:12" s="69" customFormat="1" ht="19.5" customHeight="1" x14ac:dyDescent="0.3">
      <c r="B185" s="5"/>
      <c r="C185" s="5"/>
      <c r="D185" s="5"/>
      <c r="E185" s="5"/>
      <c r="F185" s="70"/>
      <c r="G185" s="5"/>
      <c r="H185" s="5"/>
      <c r="I185" s="5"/>
      <c r="J185" s="5"/>
      <c r="K185" s="5"/>
      <c r="L185" s="5"/>
    </row>
    <row r="186" spans="2:12" s="69" customFormat="1" ht="19.5" customHeight="1" x14ac:dyDescent="0.3">
      <c r="B186" s="5"/>
      <c r="C186" s="5"/>
      <c r="D186" s="5"/>
      <c r="E186" s="5"/>
      <c r="F186" s="70"/>
      <c r="G186" s="5"/>
      <c r="H186" s="5"/>
      <c r="I186" s="5"/>
      <c r="J186" s="5"/>
      <c r="K186" s="5"/>
      <c r="L186" s="5"/>
    </row>
    <row r="187" spans="2:12" s="69" customFormat="1" ht="19.5" customHeight="1" x14ac:dyDescent="0.3">
      <c r="B187" s="5">
        <v>2</v>
      </c>
      <c r="C187" s="5"/>
      <c r="D187" s="5"/>
      <c r="E187" s="5"/>
      <c r="F187" s="70"/>
      <c r="G187" s="5"/>
      <c r="H187" s="5"/>
      <c r="I187" s="5"/>
      <c r="J187" s="5"/>
      <c r="K187" s="5"/>
      <c r="L187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102:B102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96:I96"/>
    <mergeCell ref="A97:B97"/>
    <mergeCell ref="D97:G97"/>
    <mergeCell ref="H97:J97"/>
    <mergeCell ref="K97:L97"/>
    <mergeCell ref="A112:B112"/>
    <mergeCell ref="A113:B113"/>
    <mergeCell ref="A103:B103"/>
    <mergeCell ref="A104:B104"/>
    <mergeCell ref="A105:B105"/>
    <mergeCell ref="A107:B107"/>
    <mergeCell ref="A108:B108"/>
    <mergeCell ref="A109:B109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0" orientation="portrait" verticalDpi="30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L149"/>
  <sheetViews>
    <sheetView view="pageBreakPreview" topLeftCell="F46" zoomScale="85" zoomScaleSheetLayoutView="85" workbookViewId="0">
      <selection activeCell="L56" sqref="L56:L5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46137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7" si="0">(H7/1000*I7/1000)*J7</f>
        <v>0</v>
      </c>
      <c r="L7" s="26">
        <f>SUM(J7:J28)</f>
        <v>123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SUM(K7:K28)</f>
        <v>800.69304700000009</v>
      </c>
    </row>
    <row r="9" spans="1:12" s="27" customFormat="1" ht="19.5" customHeight="1" x14ac:dyDescent="0.3">
      <c r="A9" s="28" t="s">
        <v>3273</v>
      </c>
      <c r="B9" s="16" t="s">
        <v>2720</v>
      </c>
      <c r="C9" s="17">
        <v>22</v>
      </c>
      <c r="D9" s="18" t="s">
        <v>45</v>
      </c>
      <c r="E9" s="41">
        <v>52</v>
      </c>
      <c r="F9" s="42">
        <v>44.92</v>
      </c>
      <c r="G9" s="34" t="s">
        <v>49</v>
      </c>
      <c r="H9" s="35">
        <v>1829</v>
      </c>
      <c r="I9" s="36">
        <v>3353</v>
      </c>
      <c r="J9" s="37">
        <v>10</v>
      </c>
      <c r="K9" s="25">
        <f t="shared" si="0"/>
        <v>61.326369999999997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17</v>
      </c>
      <c r="E10" s="41">
        <v>52</v>
      </c>
      <c r="F10" s="42">
        <v>44.92</v>
      </c>
      <c r="G10" s="34" t="s">
        <v>3274</v>
      </c>
      <c r="H10" s="35">
        <v>1981</v>
      </c>
      <c r="I10" s="36">
        <v>3353</v>
      </c>
      <c r="J10" s="37">
        <v>7</v>
      </c>
      <c r="K10" s="25">
        <f t="shared" si="0"/>
        <v>46.496051000000001</v>
      </c>
      <c r="L10" s="39"/>
    </row>
    <row r="11" spans="1:12" s="27" customFormat="1" ht="19.5" customHeight="1" x14ac:dyDescent="0.3">
      <c r="A11" s="28"/>
      <c r="B11" s="16"/>
      <c r="C11" s="17">
        <v>22</v>
      </c>
      <c r="D11" s="18" t="s">
        <v>45</v>
      </c>
      <c r="E11" s="41">
        <v>16</v>
      </c>
      <c r="F11" s="42">
        <v>13.28</v>
      </c>
      <c r="G11" s="34" t="s">
        <v>19</v>
      </c>
      <c r="H11" s="35">
        <v>1981</v>
      </c>
      <c r="I11" s="36">
        <v>3353</v>
      </c>
      <c r="J11" s="37">
        <v>16</v>
      </c>
      <c r="K11" s="25">
        <f t="shared" si="0"/>
        <v>106.27668800000001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 t="s">
        <v>3275</v>
      </c>
      <c r="B13" s="16" t="s">
        <v>2720</v>
      </c>
      <c r="C13" s="17">
        <v>22</v>
      </c>
      <c r="D13" s="18" t="s">
        <v>45</v>
      </c>
      <c r="E13" s="41">
        <v>60</v>
      </c>
      <c r="F13" s="42">
        <v>46.12</v>
      </c>
      <c r="G13" s="34" t="s">
        <v>49</v>
      </c>
      <c r="H13" s="35">
        <v>1829</v>
      </c>
      <c r="I13" s="36">
        <v>3353</v>
      </c>
      <c r="J13" s="37">
        <v>9</v>
      </c>
      <c r="K13" s="25">
        <f t="shared" si="0"/>
        <v>55.193733000000002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17</v>
      </c>
      <c r="E14" s="41">
        <v>60</v>
      </c>
      <c r="F14" s="42">
        <v>46.12</v>
      </c>
      <c r="G14" s="34" t="s">
        <v>3274</v>
      </c>
      <c r="H14" s="35">
        <v>1981</v>
      </c>
      <c r="I14" s="36">
        <v>3353</v>
      </c>
      <c r="J14" s="37">
        <v>7</v>
      </c>
      <c r="K14" s="25">
        <f t="shared" si="0"/>
        <v>46.496051000000001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45</v>
      </c>
      <c r="E15" s="41">
        <v>8</v>
      </c>
      <c r="F15" s="42">
        <v>3.04</v>
      </c>
      <c r="G15" s="34" t="s">
        <v>19</v>
      </c>
      <c r="H15" s="35">
        <v>1981</v>
      </c>
      <c r="I15" s="36">
        <v>3353</v>
      </c>
      <c r="J15" s="37">
        <v>15</v>
      </c>
      <c r="K15" s="25">
        <f t="shared" si="0"/>
        <v>99.634395000000012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 t="s">
        <v>3260</v>
      </c>
      <c r="B17" s="16" t="s">
        <v>2720</v>
      </c>
      <c r="C17" s="17">
        <v>22</v>
      </c>
      <c r="D17" s="18" t="s">
        <v>45</v>
      </c>
      <c r="E17" s="41">
        <v>60</v>
      </c>
      <c r="F17" s="42">
        <v>46.12</v>
      </c>
      <c r="G17" s="34" t="s">
        <v>19</v>
      </c>
      <c r="H17" s="35">
        <v>1981</v>
      </c>
      <c r="I17" s="36">
        <v>3353</v>
      </c>
      <c r="J17" s="37">
        <v>17</v>
      </c>
      <c r="K17" s="25">
        <f t="shared" si="0"/>
        <v>112.918981</v>
      </c>
      <c r="L17" s="39" t="s">
        <v>106</v>
      </c>
    </row>
    <row r="18" spans="1:12" s="27" customFormat="1" ht="19.5" customHeight="1" x14ac:dyDescent="0.3">
      <c r="A18" s="28"/>
      <c r="B18" s="16"/>
      <c r="C18" s="17">
        <v>22</v>
      </c>
      <c r="D18" s="18" t="s">
        <v>17</v>
      </c>
      <c r="E18" s="41">
        <v>60</v>
      </c>
      <c r="F18" s="42">
        <v>46.12</v>
      </c>
      <c r="G18" s="34" t="s">
        <v>3274</v>
      </c>
      <c r="H18" s="35">
        <v>1981</v>
      </c>
      <c r="I18" s="36">
        <v>3353</v>
      </c>
      <c r="J18" s="37">
        <v>8</v>
      </c>
      <c r="K18" s="25">
        <f t="shared" si="0"/>
        <v>53.138344000000004</v>
      </c>
      <c r="L18" s="39" t="s">
        <v>3245</v>
      </c>
    </row>
    <row r="19" spans="1:12" s="27" customFormat="1" ht="19.5" customHeight="1" x14ac:dyDescent="0.3">
      <c r="A19" s="28"/>
      <c r="B19" s="16"/>
      <c r="C19" s="17">
        <v>22</v>
      </c>
      <c r="D19" s="18" t="s">
        <v>45</v>
      </c>
      <c r="E19" s="41">
        <v>16</v>
      </c>
      <c r="F19" s="42">
        <v>13.28</v>
      </c>
      <c r="G19" s="34"/>
      <c r="H19" s="35"/>
      <c r="I19" s="36"/>
      <c r="J19" s="37"/>
      <c r="K19" s="25">
        <f t="shared" si="0"/>
        <v>0</v>
      </c>
      <c r="L19" s="39" t="s">
        <v>106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 t="s">
        <v>3276</v>
      </c>
      <c r="B21" s="16" t="s">
        <v>2720</v>
      </c>
      <c r="C21" s="17">
        <v>22</v>
      </c>
      <c r="D21" s="18" t="s">
        <v>45</v>
      </c>
      <c r="E21" s="41">
        <v>75</v>
      </c>
      <c r="F21" s="42">
        <v>57.65</v>
      </c>
      <c r="G21" s="34" t="s">
        <v>49</v>
      </c>
      <c r="H21" s="35">
        <v>1829</v>
      </c>
      <c r="I21" s="36">
        <v>3353</v>
      </c>
      <c r="J21" s="37">
        <v>13</v>
      </c>
      <c r="K21" s="25">
        <f t="shared" si="0"/>
        <v>79.724281000000005</v>
      </c>
      <c r="L21" s="39" t="s">
        <v>3249</v>
      </c>
    </row>
    <row r="22" spans="1:12" s="27" customFormat="1" ht="19.5" customHeight="1" x14ac:dyDescent="0.3">
      <c r="A22" s="28"/>
      <c r="B22" s="16"/>
      <c r="C22" s="17">
        <v>22</v>
      </c>
      <c r="D22" s="18" t="s">
        <v>17</v>
      </c>
      <c r="E22" s="41">
        <v>75</v>
      </c>
      <c r="F22" s="42">
        <v>57.65</v>
      </c>
      <c r="G22" s="34" t="s">
        <v>19</v>
      </c>
      <c r="H22" s="35">
        <v>1981</v>
      </c>
      <c r="I22" s="36">
        <v>3353</v>
      </c>
      <c r="J22" s="37">
        <v>21</v>
      </c>
      <c r="K22" s="25">
        <f t="shared" si="0"/>
        <v>139.48815300000001</v>
      </c>
      <c r="L22" s="39" t="s">
        <v>106</v>
      </c>
    </row>
    <row r="23" spans="1:12" s="27" customFormat="1" ht="19.5" customHeight="1" x14ac:dyDescent="0.3">
      <c r="A23" s="28"/>
      <c r="B23" s="16"/>
      <c r="C23" s="17">
        <v>22</v>
      </c>
      <c r="D23" s="18" t="s">
        <v>45</v>
      </c>
      <c r="E23" s="41">
        <v>20</v>
      </c>
      <c r="F23" s="42">
        <v>16.600000000000001</v>
      </c>
      <c r="G23" s="34"/>
      <c r="H23" s="35"/>
      <c r="I23" s="36"/>
      <c r="J23" s="37"/>
      <c r="K23" s="25">
        <f t="shared" si="0"/>
        <v>0</v>
      </c>
      <c r="L23" s="39" t="s">
        <v>3249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43"/>
      <c r="H28" s="35"/>
      <c r="I28" s="36"/>
      <c r="J28" s="37"/>
      <c r="K28" s="38">
        <f t="shared" si="0"/>
        <v>0</v>
      </c>
      <c r="L28" s="39"/>
    </row>
    <row r="29" spans="1:12" s="55" customFormat="1" ht="19.5" customHeight="1" x14ac:dyDescent="0.3">
      <c r="A29" s="44"/>
      <c r="B29" s="45"/>
      <c r="C29" s="46"/>
      <c r="D29" s="47"/>
      <c r="E29" s="48"/>
      <c r="F29" s="49"/>
      <c r="G29" s="50"/>
      <c r="H29" s="51"/>
      <c r="I29" s="45"/>
      <c r="J29" s="52"/>
      <c r="K29" s="53">
        <f t="shared" si="0"/>
        <v>0</v>
      </c>
      <c r="L29" s="54"/>
    </row>
    <row r="30" spans="1:12" s="55" customFormat="1" ht="19.5" customHeight="1" x14ac:dyDescent="0.3">
      <c r="A30" s="44" t="s">
        <v>3277</v>
      </c>
      <c r="B30" s="45" t="s">
        <v>2505</v>
      </c>
      <c r="C30" s="46">
        <v>24</v>
      </c>
      <c r="D30" s="47" t="s">
        <v>89</v>
      </c>
      <c r="E30" s="48">
        <v>57</v>
      </c>
      <c r="F30" s="49">
        <v>88.721000000000004</v>
      </c>
      <c r="G30" s="50" t="s">
        <v>91</v>
      </c>
      <c r="H30" s="51">
        <v>2134</v>
      </c>
      <c r="I30" s="45">
        <v>3353</v>
      </c>
      <c r="J30" s="52">
        <v>14</v>
      </c>
      <c r="K30" s="53">
        <f t="shared" si="0"/>
        <v>100.174228</v>
      </c>
      <c r="L30" s="54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 t="s">
        <v>18</v>
      </c>
      <c r="H31" s="51">
        <v>2134</v>
      </c>
      <c r="I31" s="45">
        <v>3353</v>
      </c>
      <c r="J31" s="52">
        <v>14</v>
      </c>
      <c r="K31" s="53">
        <f t="shared" si="0"/>
        <v>100.174228</v>
      </c>
      <c r="L31" s="54"/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3262</v>
      </c>
      <c r="B33" s="45" t="s">
        <v>1890</v>
      </c>
      <c r="C33" s="46">
        <v>28</v>
      </c>
      <c r="D33" s="47" t="s">
        <v>1894</v>
      </c>
      <c r="E33" s="48">
        <v>59</v>
      </c>
      <c r="F33" s="49">
        <v>54.19</v>
      </c>
      <c r="G33" s="50" t="s">
        <v>189</v>
      </c>
      <c r="H33" s="51">
        <v>1981</v>
      </c>
      <c r="I33" s="45">
        <v>3353</v>
      </c>
      <c r="J33" s="52">
        <v>9</v>
      </c>
      <c r="K33" s="53">
        <f t="shared" si="0"/>
        <v>59.780637000000006</v>
      </c>
      <c r="L33" s="54" t="s">
        <v>100</v>
      </c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3278</v>
      </c>
      <c r="B35" s="45" t="s">
        <v>1890</v>
      </c>
      <c r="C35" s="46">
        <v>28</v>
      </c>
      <c r="D35" s="47" t="s">
        <v>1894</v>
      </c>
      <c r="E35" s="48">
        <v>77</v>
      </c>
      <c r="F35" s="49">
        <v>64.099999999999994</v>
      </c>
      <c r="G35" s="50" t="s">
        <v>189</v>
      </c>
      <c r="H35" s="51">
        <v>1981</v>
      </c>
      <c r="I35" s="45">
        <v>3353</v>
      </c>
      <c r="J35" s="52">
        <v>12</v>
      </c>
      <c r="K35" s="53">
        <f t="shared" si="0"/>
        <v>79.707515999999998</v>
      </c>
      <c r="L35" s="54" t="s">
        <v>100</v>
      </c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3278</v>
      </c>
      <c r="B37" s="45" t="s">
        <v>1890</v>
      </c>
      <c r="C37" s="46">
        <v>28</v>
      </c>
      <c r="D37" s="47" t="s">
        <v>1891</v>
      </c>
      <c r="E37" s="48">
        <v>75</v>
      </c>
      <c r="F37" s="49">
        <v>110.18</v>
      </c>
      <c r="G37" s="50" t="s">
        <v>189</v>
      </c>
      <c r="H37" s="51">
        <v>1829</v>
      </c>
      <c r="I37" s="45">
        <v>3353</v>
      </c>
      <c r="J37" s="52">
        <v>38</v>
      </c>
      <c r="K37" s="53">
        <f t="shared" si="0"/>
        <v>233.04020599999998</v>
      </c>
      <c r="L37" s="54" t="s">
        <v>3296</v>
      </c>
    </row>
    <row r="38" spans="1:12" s="55" customFormat="1" ht="19.5" customHeight="1" x14ac:dyDescent="0.3">
      <c r="A38" s="44"/>
      <c r="B38" s="45"/>
      <c r="C38" s="46">
        <v>28</v>
      </c>
      <c r="D38" s="47" t="s">
        <v>1891</v>
      </c>
      <c r="E38" s="48">
        <v>41</v>
      </c>
      <c r="F38" s="49">
        <v>105.96</v>
      </c>
      <c r="G38" s="50" t="s">
        <v>189</v>
      </c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/>
      <c r="L39" s="54"/>
    </row>
    <row r="40" spans="1:12" s="55" customFormat="1" ht="19.5" customHeight="1" x14ac:dyDescent="0.3">
      <c r="A40" s="44" t="s">
        <v>3279</v>
      </c>
      <c r="B40" s="45" t="s">
        <v>2505</v>
      </c>
      <c r="C40" s="46">
        <v>24</v>
      </c>
      <c r="D40" s="47" t="s">
        <v>89</v>
      </c>
      <c r="E40" s="48">
        <v>45</v>
      </c>
      <c r="F40" s="49">
        <v>60.07</v>
      </c>
      <c r="G40" s="50" t="s">
        <v>91</v>
      </c>
      <c r="H40" s="51">
        <v>2134</v>
      </c>
      <c r="I40" s="45">
        <v>3353</v>
      </c>
      <c r="J40" s="52">
        <v>10</v>
      </c>
      <c r="K40" s="53">
        <f t="shared" si="0"/>
        <v>71.553020000000004</v>
      </c>
      <c r="L40" s="54" t="s">
        <v>106</v>
      </c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3093</v>
      </c>
      <c r="B42" s="45" t="s">
        <v>1568</v>
      </c>
      <c r="C42" s="46">
        <v>39</v>
      </c>
      <c r="D42" s="47" t="s">
        <v>1569</v>
      </c>
      <c r="E42" s="48">
        <v>2</v>
      </c>
      <c r="F42" s="49">
        <v>2.14</v>
      </c>
      <c r="G42" s="50" t="s">
        <v>18</v>
      </c>
      <c r="H42" s="51">
        <v>2590</v>
      </c>
      <c r="I42" s="45">
        <v>3353</v>
      </c>
      <c r="J42" s="52">
        <v>1</v>
      </c>
      <c r="K42" s="53">
        <f t="shared" si="0"/>
        <v>8.6842699999999979</v>
      </c>
      <c r="L42" s="54" t="s">
        <v>2688</v>
      </c>
    </row>
    <row r="43" spans="1:12" s="55" customFormat="1" ht="19.5" customHeight="1" x14ac:dyDescent="0.3">
      <c r="A43" s="44" t="s">
        <v>3095</v>
      </c>
      <c r="B43" s="45" t="s">
        <v>1568</v>
      </c>
      <c r="C43" s="46">
        <v>39</v>
      </c>
      <c r="D43" s="47" t="s">
        <v>1569</v>
      </c>
      <c r="E43" s="48">
        <v>5</v>
      </c>
      <c r="F43" s="49">
        <v>3.91</v>
      </c>
      <c r="G43" s="50" t="s">
        <v>18</v>
      </c>
      <c r="H43" s="51">
        <v>1981</v>
      </c>
      <c r="I43" s="45">
        <v>3048</v>
      </c>
      <c r="J43" s="52">
        <v>1</v>
      </c>
      <c r="K43" s="53">
        <f t="shared" si="0"/>
        <v>6.038088000000001</v>
      </c>
      <c r="L43" s="54" t="s">
        <v>2688</v>
      </c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 t="s">
        <v>62</v>
      </c>
      <c r="H44" s="51">
        <v>1981</v>
      </c>
      <c r="I44" s="45">
        <v>3353</v>
      </c>
      <c r="J44" s="52">
        <v>1</v>
      </c>
      <c r="K44" s="53">
        <f t="shared" si="0"/>
        <v>6.6422930000000004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76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76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76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9" customFormat="1" ht="20.100000000000001" customHeight="1" x14ac:dyDescent="0.3">
      <c r="A56" s="44"/>
      <c r="B56" s="45"/>
      <c r="C56" s="46"/>
      <c r="D56" s="47"/>
      <c r="E56" s="56"/>
      <c r="F56" s="57"/>
      <c r="G56" s="50"/>
      <c r="H56" s="51"/>
      <c r="I56" s="45"/>
      <c r="J56" s="52"/>
      <c r="K56" s="53">
        <f t="shared" si="0"/>
        <v>0</v>
      </c>
      <c r="L56" s="58">
        <f>SUM(J29:J57)</f>
        <v>100</v>
      </c>
    </row>
    <row r="57" spans="1:12" s="59" customFormat="1" ht="20.100000000000001" customHeight="1" x14ac:dyDescent="0.3">
      <c r="A57" s="44"/>
      <c r="B57" s="45"/>
      <c r="C57" s="46"/>
      <c r="D57" s="47"/>
      <c r="E57" s="60"/>
      <c r="F57" s="61"/>
      <c r="G57" s="62"/>
      <c r="H57" s="51"/>
      <c r="I57" s="45"/>
      <c r="J57" s="63"/>
      <c r="K57" s="53">
        <f t="shared" si="0"/>
        <v>0</v>
      </c>
      <c r="L57" s="64">
        <f>SUM(K29:K57)</f>
        <v>665.79448599999989</v>
      </c>
    </row>
    <row r="58" spans="1:12" s="59" customFormat="1" ht="20.100000000000001" customHeight="1" thickBot="1" x14ac:dyDescent="0.35">
      <c r="A58" s="114"/>
      <c r="B58" s="115"/>
      <c r="C58" s="115"/>
      <c r="D58" s="115"/>
      <c r="E58" s="115"/>
      <c r="F58" s="115"/>
      <c r="G58" s="115"/>
      <c r="H58" s="115"/>
      <c r="I58" s="115"/>
      <c r="J58" s="65">
        <f>SUM(J7:J57)</f>
        <v>223</v>
      </c>
      <c r="K58" s="66">
        <f>SUM(K7:K57)</f>
        <v>1466.487533</v>
      </c>
      <c r="L58" s="67"/>
    </row>
    <row r="59" spans="1:12" s="59" customFormat="1" ht="20.100000000000001" customHeight="1" thickTop="1" thickBot="1" x14ac:dyDescent="0.35">
      <c r="A59" s="116" t="s">
        <v>52</v>
      </c>
      <c r="B59" s="117"/>
      <c r="C59" s="68"/>
      <c r="D59" s="118">
        <f>J58</f>
        <v>223</v>
      </c>
      <c r="E59" s="119"/>
      <c r="F59" s="119"/>
      <c r="G59" s="120"/>
      <c r="H59" s="121"/>
      <c r="I59" s="121"/>
      <c r="J59" s="122"/>
      <c r="K59" s="119"/>
      <c r="L59" s="123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71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72"/>
      <c r="F65" s="5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5"/>
      <c r="G66" s="73"/>
      <c r="H66" s="5"/>
      <c r="I66" s="74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72"/>
      <c r="I70" s="72"/>
      <c r="J70" s="5"/>
      <c r="K70" s="5"/>
      <c r="L70" s="5"/>
    </row>
    <row r="71" spans="1:12" ht="20.100000000000001" customHeight="1" x14ac:dyDescent="0.3">
      <c r="A71" s="113"/>
      <c r="B71" s="113"/>
      <c r="H71" s="72"/>
      <c r="I71" s="72"/>
    </row>
    <row r="72" spans="1:12" ht="20.100000000000001" customHeight="1" x14ac:dyDescent="0.3"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A74" s="113"/>
      <c r="B74" s="113"/>
      <c r="H74" s="72"/>
      <c r="I74" s="72"/>
    </row>
    <row r="75" spans="1:12" ht="20.100000000000001" customHeight="1" x14ac:dyDescent="0.3">
      <c r="A75" s="113"/>
      <c r="B75" s="113"/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H78" s="72"/>
      <c r="I78" s="72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J79" s="5"/>
      <c r="K79" s="5"/>
      <c r="L79" s="5"/>
    </row>
    <row r="80" spans="1:12" s="72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5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5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19.5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ht="19.5" customHeight="1" x14ac:dyDescent="0.3"/>
    <row r="87" spans="1:12" ht="19.5" customHeight="1" x14ac:dyDescent="0.3"/>
    <row r="88" spans="1:12" ht="19.5" customHeight="1" x14ac:dyDescent="0.3"/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>
        <v>2</v>
      </c>
      <c r="C149" s="5"/>
      <c r="D149" s="5"/>
      <c r="E149" s="5"/>
      <c r="F149" s="70"/>
      <c r="G149" s="5"/>
      <c r="H149" s="5"/>
      <c r="I149" s="5"/>
      <c r="J149" s="5"/>
      <c r="K149" s="5"/>
      <c r="L149" s="5"/>
    </row>
  </sheetData>
  <mergeCells count="30">
    <mergeCell ref="A74:B74"/>
    <mergeCell ref="A75:B75"/>
    <mergeCell ref="A65:B65"/>
    <mergeCell ref="A66:B66"/>
    <mergeCell ref="A67:B67"/>
    <mergeCell ref="A69:B69"/>
    <mergeCell ref="A70:B70"/>
    <mergeCell ref="A71:B71"/>
    <mergeCell ref="A64:B6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8:I58"/>
    <mergeCell ref="A59:B59"/>
    <mergeCell ref="D59:G59"/>
    <mergeCell ref="H59:J59"/>
    <mergeCell ref="K59:L59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L160"/>
  <sheetViews>
    <sheetView view="pageBreakPreview" topLeftCell="F52" zoomScale="85" zoomScaleSheetLayoutView="85" workbookViewId="0">
      <selection activeCell="L67" sqref="L67:L6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46136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8" si="0">(H7/1000*I7/1000)*J7</f>
        <v>0</v>
      </c>
      <c r="L7" s="26">
        <f>SUM(J7:J40)</f>
        <v>155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SUM(K7:K40)</f>
        <v>1014.1455540000001</v>
      </c>
    </row>
    <row r="9" spans="1:12" s="27" customFormat="1" ht="19.5" customHeight="1" x14ac:dyDescent="0.3">
      <c r="A9" s="28" t="s">
        <v>3247</v>
      </c>
      <c r="B9" s="16" t="s">
        <v>2720</v>
      </c>
      <c r="C9" s="17">
        <v>22</v>
      </c>
      <c r="D9" s="18" t="s">
        <v>45</v>
      </c>
      <c r="E9" s="41">
        <v>75</v>
      </c>
      <c r="F9" s="42">
        <v>60.05</v>
      </c>
      <c r="G9" s="34" t="s">
        <v>49</v>
      </c>
      <c r="H9" s="35">
        <v>1829</v>
      </c>
      <c r="I9" s="36">
        <v>3353</v>
      </c>
      <c r="J9" s="37">
        <v>11</v>
      </c>
      <c r="K9" s="25">
        <f t="shared" si="0"/>
        <v>67.459007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17</v>
      </c>
      <c r="E10" s="41">
        <v>75</v>
      </c>
      <c r="F10" s="42">
        <v>60.05</v>
      </c>
      <c r="G10" s="34" t="s">
        <v>18</v>
      </c>
      <c r="H10" s="35">
        <v>1981</v>
      </c>
      <c r="I10" s="36">
        <v>3353</v>
      </c>
      <c r="J10" s="37">
        <v>10</v>
      </c>
      <c r="K10" s="25">
        <f t="shared" si="0"/>
        <v>66.422930000000008</v>
      </c>
      <c r="L10" s="39"/>
    </row>
    <row r="11" spans="1:12" s="27" customFormat="1" ht="19.5" customHeight="1" x14ac:dyDescent="0.3">
      <c r="A11" s="28"/>
      <c r="B11" s="16"/>
      <c r="C11" s="17">
        <v>22</v>
      </c>
      <c r="D11" s="18" t="s">
        <v>45</v>
      </c>
      <c r="E11" s="41">
        <v>10</v>
      </c>
      <c r="F11" s="42">
        <v>3.8</v>
      </c>
      <c r="G11" s="34" t="s">
        <v>19</v>
      </c>
      <c r="H11" s="35">
        <v>1981</v>
      </c>
      <c r="I11" s="36">
        <v>3353</v>
      </c>
      <c r="J11" s="37">
        <v>21</v>
      </c>
      <c r="K11" s="25">
        <f t="shared" si="0"/>
        <v>139.48815300000001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 t="s">
        <v>3248</v>
      </c>
      <c r="B13" s="16" t="s">
        <v>2720</v>
      </c>
      <c r="C13" s="17">
        <v>22</v>
      </c>
      <c r="D13" s="18" t="s">
        <v>45</v>
      </c>
      <c r="E13" s="41">
        <v>60</v>
      </c>
      <c r="F13" s="42">
        <v>46.12</v>
      </c>
      <c r="G13" s="34" t="s">
        <v>49</v>
      </c>
      <c r="H13" s="35">
        <v>1829</v>
      </c>
      <c r="I13" s="36">
        <v>3353</v>
      </c>
      <c r="J13" s="37">
        <v>10</v>
      </c>
      <c r="K13" s="25">
        <f t="shared" si="0"/>
        <v>61.326369999999997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17</v>
      </c>
      <c r="E14" s="41">
        <v>60</v>
      </c>
      <c r="F14" s="42">
        <v>46.12</v>
      </c>
      <c r="G14" s="34" t="s">
        <v>18</v>
      </c>
      <c r="H14" s="35">
        <v>1981</v>
      </c>
      <c r="I14" s="36">
        <v>3353</v>
      </c>
      <c r="J14" s="37">
        <v>7</v>
      </c>
      <c r="K14" s="25">
        <f t="shared" si="0"/>
        <v>46.496051000000001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45</v>
      </c>
      <c r="E15" s="41">
        <v>16</v>
      </c>
      <c r="F15" s="42">
        <v>13.28</v>
      </c>
      <c r="G15" s="34" t="s">
        <v>19</v>
      </c>
      <c r="H15" s="35">
        <v>1981</v>
      </c>
      <c r="I15" s="36">
        <v>3353</v>
      </c>
      <c r="J15" s="37">
        <v>17</v>
      </c>
      <c r="K15" s="25">
        <f t="shared" si="0"/>
        <v>112.918981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 t="s">
        <v>3238</v>
      </c>
      <c r="B17" s="16" t="s">
        <v>2720</v>
      </c>
      <c r="C17" s="17">
        <v>22</v>
      </c>
      <c r="D17" s="18" t="s">
        <v>45</v>
      </c>
      <c r="E17" s="41">
        <v>60</v>
      </c>
      <c r="F17" s="42">
        <v>46.12</v>
      </c>
      <c r="G17" s="34" t="s">
        <v>49</v>
      </c>
      <c r="H17" s="35">
        <v>1829</v>
      </c>
      <c r="I17" s="36">
        <v>3353</v>
      </c>
      <c r="J17" s="37">
        <v>8</v>
      </c>
      <c r="K17" s="25">
        <f t="shared" si="0"/>
        <v>49.061095999999999</v>
      </c>
      <c r="L17" s="39" t="s">
        <v>3249</v>
      </c>
    </row>
    <row r="18" spans="1:12" s="27" customFormat="1" ht="19.5" customHeight="1" x14ac:dyDescent="0.3">
      <c r="A18" s="28"/>
      <c r="B18" s="16"/>
      <c r="C18" s="17">
        <v>22</v>
      </c>
      <c r="D18" s="18" t="s">
        <v>17</v>
      </c>
      <c r="E18" s="41">
        <v>60</v>
      </c>
      <c r="F18" s="42">
        <v>46.12</v>
      </c>
      <c r="G18" s="34" t="s">
        <v>19</v>
      </c>
      <c r="H18" s="35">
        <v>1981</v>
      </c>
      <c r="I18" s="36">
        <v>3353</v>
      </c>
      <c r="J18" s="37">
        <v>8</v>
      </c>
      <c r="K18" s="25">
        <f t="shared" si="0"/>
        <v>53.138344000000004</v>
      </c>
      <c r="L18" s="39" t="s">
        <v>100</v>
      </c>
    </row>
    <row r="19" spans="1:12" s="27" customFormat="1" ht="19.5" customHeight="1" x14ac:dyDescent="0.3">
      <c r="A19" s="28"/>
      <c r="B19" s="16"/>
      <c r="C19" s="17">
        <v>22</v>
      </c>
      <c r="D19" s="18" t="s">
        <v>45</v>
      </c>
      <c r="E19" s="41">
        <v>8</v>
      </c>
      <c r="F19" s="42">
        <v>3.04</v>
      </c>
      <c r="G19" s="34" t="s">
        <v>3274</v>
      </c>
      <c r="H19" s="35">
        <v>1981</v>
      </c>
      <c r="I19" s="36">
        <v>3353</v>
      </c>
      <c r="J19" s="37">
        <v>7</v>
      </c>
      <c r="K19" s="25">
        <f t="shared" si="0"/>
        <v>46.496051000000001</v>
      </c>
      <c r="L19" s="39" t="s">
        <v>3249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 t="s">
        <v>3250</v>
      </c>
      <c r="B21" s="16" t="s">
        <v>2720</v>
      </c>
      <c r="C21" s="17">
        <v>22</v>
      </c>
      <c r="D21" s="18" t="s">
        <v>45</v>
      </c>
      <c r="E21" s="41">
        <v>60</v>
      </c>
      <c r="F21" s="42">
        <v>48.04</v>
      </c>
      <c r="G21" s="34" t="s">
        <v>49</v>
      </c>
      <c r="H21" s="35">
        <v>1829</v>
      </c>
      <c r="I21" s="36">
        <v>3353</v>
      </c>
      <c r="J21" s="37">
        <v>11</v>
      </c>
      <c r="K21" s="25">
        <f t="shared" si="0"/>
        <v>67.459007</v>
      </c>
      <c r="L21" s="39"/>
    </row>
    <row r="22" spans="1:12" s="27" customFormat="1" ht="19.5" customHeight="1" x14ac:dyDescent="0.3">
      <c r="A22" s="28"/>
      <c r="B22" s="16"/>
      <c r="C22" s="17">
        <v>22</v>
      </c>
      <c r="D22" s="18" t="s">
        <v>45</v>
      </c>
      <c r="E22" s="41">
        <v>16</v>
      </c>
      <c r="F22" s="42">
        <v>15.52</v>
      </c>
      <c r="G22" s="34" t="s">
        <v>19</v>
      </c>
      <c r="H22" s="35">
        <v>1981</v>
      </c>
      <c r="I22" s="36">
        <v>3353</v>
      </c>
      <c r="J22" s="37">
        <v>10</v>
      </c>
      <c r="K22" s="25">
        <f t="shared" si="0"/>
        <v>66.422930000000008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0"/>
        <v>0</v>
      </c>
      <c r="L23" s="39"/>
    </row>
    <row r="24" spans="1:12" s="27" customFormat="1" ht="19.5" customHeight="1" x14ac:dyDescent="0.3">
      <c r="A24" s="28" t="s">
        <v>57</v>
      </c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 t="s">
        <v>3254</v>
      </c>
      <c r="B25" s="16" t="s">
        <v>3255</v>
      </c>
      <c r="C25" s="17">
        <v>10</v>
      </c>
      <c r="D25" s="18" t="s">
        <v>3256</v>
      </c>
      <c r="E25" s="41">
        <v>10</v>
      </c>
      <c r="F25" s="42">
        <v>13.21</v>
      </c>
      <c r="G25" s="34" t="s">
        <v>3257</v>
      </c>
      <c r="H25" s="35">
        <v>2438</v>
      </c>
      <c r="I25" s="36">
        <v>3353</v>
      </c>
      <c r="J25" s="37">
        <v>2</v>
      </c>
      <c r="K25" s="25">
        <f t="shared" si="0"/>
        <v>16.349228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 t="s">
        <v>3258</v>
      </c>
      <c r="B27" s="16" t="s">
        <v>3259</v>
      </c>
      <c r="C27" s="17">
        <v>10</v>
      </c>
      <c r="D27" s="18" t="s">
        <v>3256</v>
      </c>
      <c r="E27" s="41">
        <v>28</v>
      </c>
      <c r="F27" s="42">
        <v>45.92</v>
      </c>
      <c r="G27" s="34" t="s">
        <v>3257</v>
      </c>
      <c r="H27" s="35">
        <v>2438</v>
      </c>
      <c r="I27" s="36">
        <v>3048</v>
      </c>
      <c r="J27" s="37">
        <v>5</v>
      </c>
      <c r="K27" s="25">
        <f t="shared" si="0"/>
        <v>37.155120000000004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 t="s">
        <v>3257</v>
      </c>
      <c r="H28" s="35">
        <v>2438</v>
      </c>
      <c r="I28" s="36">
        <v>3353</v>
      </c>
      <c r="J28" s="37">
        <v>2</v>
      </c>
      <c r="K28" s="25">
        <f t="shared" si="0"/>
        <v>16.349228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 t="s">
        <v>3250</v>
      </c>
      <c r="B30" s="16" t="s">
        <v>2720</v>
      </c>
      <c r="C30" s="17">
        <v>22</v>
      </c>
      <c r="D30" s="18" t="s">
        <v>17</v>
      </c>
      <c r="E30" s="41">
        <v>60</v>
      </c>
      <c r="F30" s="42">
        <v>48.04</v>
      </c>
      <c r="G30" s="34" t="s">
        <v>18</v>
      </c>
      <c r="H30" s="35">
        <v>1981</v>
      </c>
      <c r="I30" s="36">
        <v>3353</v>
      </c>
      <c r="J30" s="37">
        <v>8</v>
      </c>
      <c r="K30" s="25">
        <f t="shared" si="0"/>
        <v>53.138344000000004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 t="s">
        <v>19</v>
      </c>
      <c r="H31" s="35">
        <v>1981</v>
      </c>
      <c r="I31" s="36">
        <v>3353</v>
      </c>
      <c r="J31" s="37">
        <v>8</v>
      </c>
      <c r="K31" s="25">
        <f t="shared" si="0"/>
        <v>53.138344000000004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 t="s">
        <v>3260</v>
      </c>
      <c r="B33" s="16" t="s">
        <v>2720</v>
      </c>
      <c r="C33" s="17">
        <v>22</v>
      </c>
      <c r="D33" s="18" t="s">
        <v>45</v>
      </c>
      <c r="E33" s="41">
        <v>60</v>
      </c>
      <c r="F33" s="42">
        <v>46.12</v>
      </c>
      <c r="G33" s="34" t="s">
        <v>49</v>
      </c>
      <c r="H33" s="35">
        <v>1829</v>
      </c>
      <c r="I33" s="36">
        <v>3353</v>
      </c>
      <c r="J33" s="37">
        <v>10</v>
      </c>
      <c r="K33" s="25">
        <f t="shared" si="0"/>
        <v>61.326369999999997</v>
      </c>
      <c r="L33" s="39" t="s">
        <v>3261</v>
      </c>
    </row>
    <row r="34" spans="1:12" s="27" customFormat="1" ht="19.5" customHeight="1" x14ac:dyDescent="0.3">
      <c r="A34" s="28"/>
      <c r="B34" s="16"/>
      <c r="C34" s="17">
        <v>22</v>
      </c>
      <c r="D34" s="18" t="s">
        <v>45</v>
      </c>
      <c r="E34" s="41">
        <v>16</v>
      </c>
      <c r="F34" s="42">
        <v>13.28</v>
      </c>
      <c r="G34" s="34"/>
      <c r="H34" s="35"/>
      <c r="I34" s="36"/>
      <c r="J34" s="37"/>
      <c r="K34" s="25">
        <f t="shared" si="0"/>
        <v>0</v>
      </c>
      <c r="L34" s="39" t="s">
        <v>3261</v>
      </c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/>
      <c r="B40" s="29"/>
      <c r="C40" s="30"/>
      <c r="D40" s="31"/>
      <c r="E40" s="41"/>
      <c r="F40" s="42"/>
      <c r="G40" s="43"/>
      <c r="H40" s="35"/>
      <c r="I40" s="36"/>
      <c r="J40" s="37"/>
      <c r="K40" s="38">
        <f t="shared" si="0"/>
        <v>0</v>
      </c>
      <c r="L40" s="39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3251</v>
      </c>
      <c r="B42" s="45" t="s">
        <v>1890</v>
      </c>
      <c r="C42" s="46">
        <v>28</v>
      </c>
      <c r="D42" s="47" t="s">
        <v>3007</v>
      </c>
      <c r="E42" s="48">
        <v>78</v>
      </c>
      <c r="F42" s="49">
        <v>82.41</v>
      </c>
      <c r="G42" s="50" t="s">
        <v>3002</v>
      </c>
      <c r="H42" s="51">
        <v>2438</v>
      </c>
      <c r="I42" s="45">
        <v>3048</v>
      </c>
      <c r="J42" s="52">
        <v>31</v>
      </c>
      <c r="K42" s="53">
        <f t="shared" si="0"/>
        <v>230.36174400000002</v>
      </c>
      <c r="L42" s="54"/>
    </row>
    <row r="43" spans="1:12" s="55" customFormat="1" ht="19.5" customHeight="1" x14ac:dyDescent="0.3">
      <c r="A43" s="44"/>
      <c r="B43" s="45"/>
      <c r="C43" s="46">
        <v>28</v>
      </c>
      <c r="D43" s="47" t="s">
        <v>3001</v>
      </c>
      <c r="E43" s="48">
        <v>42</v>
      </c>
      <c r="F43" s="49">
        <v>99.21</v>
      </c>
      <c r="G43" s="50" t="s">
        <v>189</v>
      </c>
      <c r="H43" s="51">
        <v>2438</v>
      </c>
      <c r="I43" s="45">
        <v>3048</v>
      </c>
      <c r="J43" s="52">
        <v>27</v>
      </c>
      <c r="K43" s="53">
        <f t="shared" si="0"/>
        <v>200.63764800000001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3171</v>
      </c>
      <c r="B45" s="45" t="s">
        <v>1890</v>
      </c>
      <c r="C45" s="46">
        <v>28</v>
      </c>
      <c r="D45" s="47" t="s">
        <v>3007</v>
      </c>
      <c r="E45" s="48">
        <v>15</v>
      </c>
      <c r="F45" s="49">
        <v>12.71</v>
      </c>
      <c r="G45" s="50" t="s">
        <v>3176</v>
      </c>
      <c r="H45" s="51">
        <v>2438</v>
      </c>
      <c r="I45" s="45">
        <v>3048</v>
      </c>
      <c r="J45" s="52">
        <v>4</v>
      </c>
      <c r="K45" s="53">
        <f t="shared" si="0"/>
        <v>29.724096000000003</v>
      </c>
      <c r="L45" s="54" t="s">
        <v>3252</v>
      </c>
    </row>
    <row r="46" spans="1:12" s="55" customFormat="1" ht="19.5" customHeight="1" x14ac:dyDescent="0.3">
      <c r="A46" s="44"/>
      <c r="B46" s="45"/>
      <c r="C46" s="46">
        <v>28</v>
      </c>
      <c r="D46" s="47" t="s">
        <v>3001</v>
      </c>
      <c r="E46" s="48">
        <v>6</v>
      </c>
      <c r="F46" s="49">
        <v>13.98</v>
      </c>
      <c r="G46" s="50"/>
      <c r="H46" s="51"/>
      <c r="I46" s="45"/>
      <c r="J46" s="52"/>
      <c r="K46" s="53">
        <f t="shared" si="0"/>
        <v>0</v>
      </c>
      <c r="L46" s="54" t="s">
        <v>3253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3166</v>
      </c>
      <c r="B48" s="45" t="s">
        <v>1890</v>
      </c>
      <c r="C48" s="46">
        <v>28</v>
      </c>
      <c r="D48" s="47" t="s">
        <v>3007</v>
      </c>
      <c r="E48" s="48">
        <v>74</v>
      </c>
      <c r="F48" s="49">
        <v>76.5</v>
      </c>
      <c r="G48" s="50" t="s">
        <v>189</v>
      </c>
      <c r="H48" s="51">
        <v>2438</v>
      </c>
      <c r="I48" s="45">
        <v>3048</v>
      </c>
      <c r="J48" s="52">
        <v>25</v>
      </c>
      <c r="K48" s="53">
        <f t="shared" si="0"/>
        <v>185.77560000000003</v>
      </c>
      <c r="L48" s="54"/>
    </row>
    <row r="49" spans="1:12" s="55" customFormat="1" ht="19.5" customHeight="1" x14ac:dyDescent="0.3">
      <c r="A49" s="44"/>
      <c r="B49" s="45"/>
      <c r="C49" s="46">
        <v>28</v>
      </c>
      <c r="D49" s="47" t="s">
        <v>3001</v>
      </c>
      <c r="E49" s="48">
        <v>39</v>
      </c>
      <c r="F49" s="49">
        <v>90.87</v>
      </c>
      <c r="G49" s="50" t="s">
        <v>3176</v>
      </c>
      <c r="H49" s="51">
        <v>2438</v>
      </c>
      <c r="I49" s="45">
        <v>3048</v>
      </c>
      <c r="J49" s="52">
        <v>25</v>
      </c>
      <c r="K49" s="53">
        <f t="shared" si="0"/>
        <v>185.77560000000003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57</v>
      </c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3262</v>
      </c>
      <c r="B52" s="45" t="s">
        <v>3263</v>
      </c>
      <c r="C52" s="46">
        <v>28</v>
      </c>
      <c r="D52" s="47" t="s">
        <v>3264</v>
      </c>
      <c r="E52" s="48">
        <v>68</v>
      </c>
      <c r="F52" s="49">
        <v>114.77</v>
      </c>
      <c r="G52" s="50" t="s">
        <v>3265</v>
      </c>
      <c r="H52" s="51">
        <v>1829</v>
      </c>
      <c r="I52" s="45">
        <v>3353</v>
      </c>
      <c r="J52" s="52">
        <v>34</v>
      </c>
      <c r="K52" s="53">
        <f t="shared" si="0"/>
        <v>208.509658</v>
      </c>
      <c r="L52" s="54" t="s">
        <v>3266</v>
      </c>
    </row>
    <row r="53" spans="1:12" s="55" customFormat="1" ht="19.5" customHeight="1" x14ac:dyDescent="0.3">
      <c r="A53" s="44"/>
      <c r="B53" s="45"/>
      <c r="C53" s="46">
        <v>28</v>
      </c>
      <c r="D53" s="47" t="s">
        <v>3264</v>
      </c>
      <c r="E53" s="48">
        <v>30</v>
      </c>
      <c r="F53" s="49">
        <v>78.48</v>
      </c>
      <c r="G53" s="50"/>
      <c r="H53" s="51"/>
      <c r="I53" s="45"/>
      <c r="J53" s="52"/>
      <c r="K53" s="53">
        <f t="shared" si="0"/>
        <v>0</v>
      </c>
      <c r="L53" s="54" t="s">
        <v>3266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3267</v>
      </c>
      <c r="B55" s="45" t="s">
        <v>3259</v>
      </c>
      <c r="C55" s="46">
        <v>24</v>
      </c>
      <c r="D55" s="47" t="s">
        <v>3268</v>
      </c>
      <c r="E55" s="48">
        <v>75</v>
      </c>
      <c r="F55" s="49">
        <v>115.69</v>
      </c>
      <c r="G55" s="50" t="s">
        <v>3271</v>
      </c>
      <c r="H55" s="51">
        <v>2134</v>
      </c>
      <c r="I55" s="45">
        <v>3353</v>
      </c>
      <c r="J55" s="52">
        <v>20</v>
      </c>
      <c r="K55" s="53">
        <f t="shared" si="0"/>
        <v>143.10604000000001</v>
      </c>
      <c r="L55" s="54" t="s">
        <v>3272</v>
      </c>
    </row>
    <row r="56" spans="1:12" s="55" customFormat="1" ht="19.5" customHeight="1" x14ac:dyDescent="0.3">
      <c r="A56" s="44"/>
      <c r="B56" s="45"/>
      <c r="C56" s="46">
        <v>24</v>
      </c>
      <c r="D56" s="47" t="s">
        <v>3269</v>
      </c>
      <c r="E56" s="48">
        <v>6</v>
      </c>
      <c r="F56" s="49">
        <v>12.28</v>
      </c>
      <c r="G56" s="50"/>
      <c r="H56" s="51"/>
      <c r="I56" s="45"/>
      <c r="J56" s="52"/>
      <c r="K56" s="53">
        <f t="shared" si="0"/>
        <v>0</v>
      </c>
      <c r="L56" s="54" t="s">
        <v>3272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76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76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76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9" customFormat="1" ht="20.100000000000001" customHeight="1" x14ac:dyDescent="0.3">
      <c r="A67" s="44"/>
      <c r="B67" s="45"/>
      <c r="C67" s="46"/>
      <c r="D67" s="47"/>
      <c r="E67" s="56"/>
      <c r="F67" s="57"/>
      <c r="G67" s="50"/>
      <c r="H67" s="51"/>
      <c r="I67" s="45"/>
      <c r="J67" s="52"/>
      <c r="K67" s="53">
        <f t="shared" si="0"/>
        <v>0</v>
      </c>
      <c r="L67" s="58">
        <f>SUM(J41:J68)</f>
        <v>166</v>
      </c>
    </row>
    <row r="68" spans="1:12" s="59" customFormat="1" ht="20.100000000000001" customHeight="1" x14ac:dyDescent="0.3">
      <c r="A68" s="44"/>
      <c r="B68" s="45"/>
      <c r="C68" s="46"/>
      <c r="D68" s="47"/>
      <c r="E68" s="60"/>
      <c r="F68" s="61"/>
      <c r="G68" s="62"/>
      <c r="H68" s="51"/>
      <c r="I68" s="45"/>
      <c r="J68" s="63"/>
      <c r="K68" s="53">
        <f t="shared" si="0"/>
        <v>0</v>
      </c>
      <c r="L68" s="64">
        <f>SUM(K41:K68)</f>
        <v>1183.890386</v>
      </c>
    </row>
    <row r="69" spans="1:12" s="59" customFormat="1" ht="20.100000000000001" customHeight="1" thickBot="1" x14ac:dyDescent="0.35">
      <c r="A69" s="114"/>
      <c r="B69" s="115"/>
      <c r="C69" s="115"/>
      <c r="D69" s="115"/>
      <c r="E69" s="115"/>
      <c r="F69" s="115"/>
      <c r="G69" s="115"/>
      <c r="H69" s="115"/>
      <c r="I69" s="115"/>
      <c r="J69" s="65">
        <f>SUM(J7:J68)</f>
        <v>321</v>
      </c>
      <c r="K69" s="66">
        <f>SUM(K7:K68)</f>
        <v>2198.0359399999998</v>
      </c>
      <c r="L69" s="67"/>
    </row>
    <row r="70" spans="1:12" s="59" customFormat="1" ht="20.100000000000001" customHeight="1" thickTop="1" thickBot="1" x14ac:dyDescent="0.35">
      <c r="A70" s="116" t="s">
        <v>52</v>
      </c>
      <c r="B70" s="117"/>
      <c r="C70" s="68"/>
      <c r="D70" s="118">
        <f>J69</f>
        <v>321</v>
      </c>
      <c r="E70" s="119"/>
      <c r="F70" s="119"/>
      <c r="G70" s="120"/>
      <c r="H70" s="121"/>
      <c r="I70" s="121"/>
      <c r="J70" s="122"/>
      <c r="K70" s="119"/>
      <c r="L70" s="123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71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72"/>
      <c r="F76" s="5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5"/>
      <c r="G77" s="73"/>
      <c r="H77" s="5"/>
      <c r="I77" s="74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72"/>
      <c r="I81" s="72"/>
      <c r="J81" s="5"/>
      <c r="K81" s="5"/>
      <c r="L81" s="5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H89" s="72"/>
      <c r="I89" s="72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5" customFormat="1" ht="19.5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ht="19.5" customHeight="1" x14ac:dyDescent="0.3"/>
    <row r="98" spans="2:12" ht="19.5" customHeight="1" x14ac:dyDescent="0.3"/>
    <row r="99" spans="2:12" ht="19.5" customHeight="1" x14ac:dyDescent="0.3"/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>
        <v>2</v>
      </c>
      <c r="C160" s="5"/>
      <c r="D160" s="5"/>
      <c r="E160" s="5"/>
      <c r="F160" s="70"/>
      <c r="G160" s="5"/>
      <c r="H160" s="5"/>
      <c r="I160" s="5"/>
      <c r="J160" s="5"/>
      <c r="K160" s="5"/>
      <c r="L160" s="5"/>
    </row>
  </sheetData>
  <mergeCells count="30">
    <mergeCell ref="A85:B85"/>
    <mergeCell ref="A86:B86"/>
    <mergeCell ref="A76:B76"/>
    <mergeCell ref="A77:B77"/>
    <mergeCell ref="A78:B78"/>
    <mergeCell ref="A80:B80"/>
    <mergeCell ref="A81:B81"/>
    <mergeCell ref="A82:B82"/>
    <mergeCell ref="A75:B7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9:I69"/>
    <mergeCell ref="A70:B70"/>
    <mergeCell ref="D70:G70"/>
    <mergeCell ref="H70:J70"/>
    <mergeCell ref="K70:L70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L177"/>
  <sheetViews>
    <sheetView view="pageBreakPreview" topLeftCell="F67" zoomScale="85" zoomScaleSheetLayoutView="85" workbookViewId="0">
      <selection activeCell="L84" sqref="L84:L85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46135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5" si="0">(H7/1000*I7/1000)*J7</f>
        <v>0</v>
      </c>
      <c r="L7" s="26">
        <f>SUM(J7:J47)</f>
        <v>181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SUM(K7:K47)</f>
        <v>1146.293242</v>
      </c>
    </row>
    <row r="9" spans="1:12" s="27" customFormat="1" ht="19.5" customHeight="1" x14ac:dyDescent="0.3">
      <c r="A9" s="28" t="s">
        <v>3185</v>
      </c>
      <c r="B9" s="16" t="s">
        <v>3186</v>
      </c>
      <c r="C9" s="17">
        <v>24</v>
      </c>
      <c r="D9" s="18" t="s">
        <v>3187</v>
      </c>
      <c r="E9" s="41">
        <v>6</v>
      </c>
      <c r="F9" s="42">
        <v>6.24</v>
      </c>
      <c r="G9" s="34" t="s">
        <v>3188</v>
      </c>
      <c r="H9" s="35">
        <v>2134</v>
      </c>
      <c r="I9" s="36">
        <v>3353</v>
      </c>
      <c r="J9" s="37">
        <v>2</v>
      </c>
      <c r="K9" s="25">
        <f t="shared" si="0"/>
        <v>14.310604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3189</v>
      </c>
      <c r="H10" s="35">
        <v>2134</v>
      </c>
      <c r="I10" s="36">
        <v>3353</v>
      </c>
      <c r="J10" s="37">
        <v>1</v>
      </c>
      <c r="K10" s="25">
        <f t="shared" si="0"/>
        <v>7.1553019999999998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3190</v>
      </c>
      <c r="B12" s="16" t="s">
        <v>3191</v>
      </c>
      <c r="C12" s="17">
        <v>22</v>
      </c>
      <c r="D12" s="18" t="s">
        <v>3192</v>
      </c>
      <c r="E12" s="41">
        <v>60</v>
      </c>
      <c r="F12" s="42">
        <v>46.12</v>
      </c>
      <c r="G12" s="34" t="s">
        <v>3193</v>
      </c>
      <c r="H12" s="35">
        <v>1829</v>
      </c>
      <c r="I12" s="36">
        <v>3048</v>
      </c>
      <c r="J12" s="37">
        <v>11</v>
      </c>
      <c r="K12" s="25">
        <f t="shared" si="0"/>
        <v>61.322711999999996</v>
      </c>
      <c r="L12" s="39" t="s">
        <v>3195</v>
      </c>
    </row>
    <row r="13" spans="1:12" s="27" customFormat="1" ht="19.5" customHeight="1" x14ac:dyDescent="0.3">
      <c r="A13" s="28"/>
      <c r="B13" s="16"/>
      <c r="C13" s="17">
        <v>22</v>
      </c>
      <c r="D13" s="18" t="s">
        <v>3194</v>
      </c>
      <c r="E13" s="41">
        <v>16</v>
      </c>
      <c r="F13" s="42">
        <v>13.28</v>
      </c>
      <c r="G13" s="34" t="s">
        <v>3189</v>
      </c>
      <c r="H13" s="35">
        <v>1829</v>
      </c>
      <c r="I13" s="36">
        <v>3353</v>
      </c>
      <c r="J13" s="37">
        <v>11</v>
      </c>
      <c r="K13" s="25">
        <f t="shared" si="0"/>
        <v>67.459007</v>
      </c>
      <c r="L13" s="39" t="s">
        <v>3195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0"/>
        <v>0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3196</v>
      </c>
      <c r="E15" s="41">
        <v>60</v>
      </c>
      <c r="F15" s="42">
        <v>46.12</v>
      </c>
      <c r="G15" s="34" t="s">
        <v>3189</v>
      </c>
      <c r="H15" s="35">
        <v>1981</v>
      </c>
      <c r="I15" s="36">
        <v>3048</v>
      </c>
      <c r="J15" s="37">
        <v>8</v>
      </c>
      <c r="K15" s="25">
        <f t="shared" si="0"/>
        <v>48.304704000000008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3197</v>
      </c>
      <c r="H16" s="35">
        <v>1981</v>
      </c>
      <c r="I16" s="36">
        <v>3048</v>
      </c>
      <c r="J16" s="37">
        <v>7</v>
      </c>
      <c r="K16" s="25">
        <f t="shared" si="0"/>
        <v>42.266616000000006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>
        <f t="shared" si="0"/>
        <v>0</v>
      </c>
      <c r="L17" s="39"/>
    </row>
    <row r="18" spans="1:12" s="27" customFormat="1" ht="19.5" customHeight="1" x14ac:dyDescent="0.3">
      <c r="A18" s="28" t="s">
        <v>3198</v>
      </c>
      <c r="B18" s="16" t="s">
        <v>1359</v>
      </c>
      <c r="C18" s="17">
        <v>22</v>
      </c>
      <c r="D18" s="18" t="s">
        <v>3199</v>
      </c>
      <c r="E18" s="41">
        <v>91</v>
      </c>
      <c r="F18" s="42">
        <v>73.55</v>
      </c>
      <c r="G18" s="34" t="s">
        <v>2829</v>
      </c>
      <c r="H18" s="35">
        <v>1829</v>
      </c>
      <c r="I18" s="36">
        <v>3353</v>
      </c>
      <c r="J18" s="37">
        <v>13</v>
      </c>
      <c r="K18" s="25">
        <f t="shared" si="0"/>
        <v>79.724281000000005</v>
      </c>
      <c r="L18" s="39" t="s">
        <v>3200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 t="s">
        <v>3189</v>
      </c>
      <c r="H19" s="35">
        <v>1829</v>
      </c>
      <c r="I19" s="36">
        <v>3353</v>
      </c>
      <c r="J19" s="37">
        <v>13</v>
      </c>
      <c r="K19" s="25">
        <f t="shared" si="0"/>
        <v>79.724281000000005</v>
      </c>
      <c r="L19" s="39" t="s">
        <v>3200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/>
      <c r="B21" s="16"/>
      <c r="C21" s="17">
        <v>22</v>
      </c>
      <c r="D21" s="18" t="s">
        <v>496</v>
      </c>
      <c r="E21" s="41">
        <v>91</v>
      </c>
      <c r="F21" s="42">
        <v>72.12</v>
      </c>
      <c r="G21" s="34" t="s">
        <v>3201</v>
      </c>
      <c r="H21" s="35">
        <v>1829</v>
      </c>
      <c r="I21" s="36">
        <v>3353</v>
      </c>
      <c r="J21" s="37">
        <v>12</v>
      </c>
      <c r="K21" s="25">
        <f t="shared" si="0"/>
        <v>73.591644000000002</v>
      </c>
      <c r="L21" s="39" t="s">
        <v>3200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 t="s">
        <v>3189</v>
      </c>
      <c r="H22" s="35">
        <v>1829</v>
      </c>
      <c r="I22" s="36">
        <v>3353</v>
      </c>
      <c r="J22" s="37">
        <v>13</v>
      </c>
      <c r="K22" s="25">
        <f t="shared" si="0"/>
        <v>79.724281000000005</v>
      </c>
      <c r="L22" s="39" t="s">
        <v>3200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0"/>
        <v>0</v>
      </c>
      <c r="L23" s="39"/>
    </row>
    <row r="24" spans="1:12" s="27" customFormat="1" ht="19.5" customHeight="1" x14ac:dyDescent="0.3">
      <c r="A24" s="28" t="s">
        <v>3202</v>
      </c>
      <c r="B24" s="16" t="s">
        <v>3203</v>
      </c>
      <c r="C24" s="17">
        <v>24</v>
      </c>
      <c r="D24" s="18" t="s">
        <v>3204</v>
      </c>
      <c r="E24" s="41">
        <v>1</v>
      </c>
      <c r="F24" s="42">
        <v>0.62</v>
      </c>
      <c r="G24" s="34" t="s">
        <v>3205</v>
      </c>
      <c r="H24" s="35"/>
      <c r="I24" s="36"/>
      <c r="J24" s="37"/>
      <c r="K24" s="25">
        <f t="shared" si="0"/>
        <v>0</v>
      </c>
      <c r="L24" s="39" t="s">
        <v>3206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 t="s">
        <v>3207</v>
      </c>
      <c r="B26" s="16" t="s">
        <v>1359</v>
      </c>
      <c r="C26" s="17">
        <v>22</v>
      </c>
      <c r="D26" s="18" t="s">
        <v>3199</v>
      </c>
      <c r="E26" s="41">
        <v>96</v>
      </c>
      <c r="F26" s="42">
        <v>73.08</v>
      </c>
      <c r="G26" s="34" t="s">
        <v>2829</v>
      </c>
      <c r="H26" s="35">
        <v>1981</v>
      </c>
      <c r="I26" s="36">
        <v>3353</v>
      </c>
      <c r="J26" s="37">
        <v>12</v>
      </c>
      <c r="K26" s="25">
        <f t="shared" si="0"/>
        <v>79.707515999999998</v>
      </c>
      <c r="L26" s="39" t="s">
        <v>3200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 t="s">
        <v>3189</v>
      </c>
      <c r="H27" s="35">
        <v>1981</v>
      </c>
      <c r="I27" s="36">
        <v>3353</v>
      </c>
      <c r="J27" s="37">
        <v>12</v>
      </c>
      <c r="K27" s="25">
        <f t="shared" si="0"/>
        <v>79.707515999999998</v>
      </c>
      <c r="L27" s="39" t="s">
        <v>3200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/>
      <c r="B29" s="16"/>
      <c r="C29" s="17">
        <v>22</v>
      </c>
      <c r="D29" s="18" t="s">
        <v>496</v>
      </c>
      <c r="E29" s="41">
        <v>98</v>
      </c>
      <c r="F29" s="42">
        <v>76.06</v>
      </c>
      <c r="G29" s="34" t="s">
        <v>3201</v>
      </c>
      <c r="H29" s="35">
        <v>1981</v>
      </c>
      <c r="I29" s="36">
        <v>3353</v>
      </c>
      <c r="J29" s="37">
        <v>13</v>
      </c>
      <c r="K29" s="25">
        <f t="shared" si="0"/>
        <v>86.349809000000008</v>
      </c>
      <c r="L29" s="39" t="s">
        <v>3200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 t="s">
        <v>3189</v>
      </c>
      <c r="H30" s="35">
        <v>1981</v>
      </c>
      <c r="I30" s="36">
        <v>3353</v>
      </c>
      <c r="J30" s="37">
        <v>12</v>
      </c>
      <c r="K30" s="25">
        <f t="shared" si="0"/>
        <v>79.707515999999998</v>
      </c>
      <c r="L30" s="39" t="s">
        <v>3200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 t="s">
        <v>57</v>
      </c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 t="s">
        <v>3231</v>
      </c>
      <c r="B35" s="16" t="s">
        <v>3232</v>
      </c>
      <c r="C35" s="17">
        <v>22</v>
      </c>
      <c r="D35" s="18" t="s">
        <v>3233</v>
      </c>
      <c r="E35" s="41">
        <v>52</v>
      </c>
      <c r="F35" s="42">
        <v>44.92</v>
      </c>
      <c r="G35" s="34" t="s">
        <v>3235</v>
      </c>
      <c r="H35" s="35">
        <v>1829</v>
      </c>
      <c r="I35" s="36">
        <v>3353</v>
      </c>
      <c r="J35" s="37">
        <v>10</v>
      </c>
      <c r="K35" s="25">
        <f t="shared" si="0"/>
        <v>61.326369999999997</v>
      </c>
      <c r="L35" s="39"/>
    </row>
    <row r="36" spans="1:12" s="27" customFormat="1" ht="19.5" customHeight="1" x14ac:dyDescent="0.3">
      <c r="A36" s="28"/>
      <c r="B36" s="16"/>
      <c r="C36" s="17">
        <v>22</v>
      </c>
      <c r="D36" s="18" t="s">
        <v>3234</v>
      </c>
      <c r="E36" s="41">
        <v>52</v>
      </c>
      <c r="F36" s="42">
        <v>44.92</v>
      </c>
      <c r="G36" s="34" t="s">
        <v>3236</v>
      </c>
      <c r="H36" s="35">
        <v>1981</v>
      </c>
      <c r="I36" s="36">
        <v>3353</v>
      </c>
      <c r="J36" s="37">
        <v>7</v>
      </c>
      <c r="K36" s="25">
        <f t="shared" si="0"/>
        <v>46.496051000000001</v>
      </c>
      <c r="L36" s="39"/>
    </row>
    <row r="37" spans="1:12" s="27" customFormat="1" ht="19.5" customHeight="1" x14ac:dyDescent="0.3">
      <c r="A37" s="28"/>
      <c r="B37" s="16"/>
      <c r="C37" s="17">
        <v>22</v>
      </c>
      <c r="D37" s="18" t="s">
        <v>3233</v>
      </c>
      <c r="E37" s="41">
        <v>16</v>
      </c>
      <c r="F37" s="42">
        <v>13.28</v>
      </c>
      <c r="G37" s="34" t="s">
        <v>3237</v>
      </c>
      <c r="H37" s="35">
        <v>1981</v>
      </c>
      <c r="I37" s="36">
        <v>3353</v>
      </c>
      <c r="J37" s="37">
        <v>17</v>
      </c>
      <c r="K37" s="25">
        <f t="shared" si="0"/>
        <v>112.918981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 t="s">
        <v>3238</v>
      </c>
      <c r="B39" s="16" t="s">
        <v>3232</v>
      </c>
      <c r="C39" s="17">
        <v>22</v>
      </c>
      <c r="D39" s="18" t="s">
        <v>3234</v>
      </c>
      <c r="E39" s="41">
        <v>60</v>
      </c>
      <c r="F39" s="42">
        <v>46.12</v>
      </c>
      <c r="G39" s="34" t="s">
        <v>3237</v>
      </c>
      <c r="H39" s="35">
        <v>1981</v>
      </c>
      <c r="I39" s="36">
        <v>3353</v>
      </c>
      <c r="J39" s="37">
        <v>7</v>
      </c>
      <c r="K39" s="25">
        <f>(H39/1000*I39/1000)*J39</f>
        <v>46.496051000000001</v>
      </c>
      <c r="L39" s="39" t="s">
        <v>3239</v>
      </c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0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0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0"/>
        <v>0</v>
      </c>
      <c r="L44" s="39"/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25">
        <f t="shared" si="0"/>
        <v>0</v>
      </c>
      <c r="L45" s="39"/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/>
      <c r="H46" s="35"/>
      <c r="I46" s="36"/>
      <c r="J46" s="37"/>
      <c r="K46" s="25">
        <f t="shared" si="0"/>
        <v>0</v>
      </c>
      <c r="L46" s="39"/>
    </row>
    <row r="47" spans="1:12" s="27" customFormat="1" ht="19.5" customHeight="1" x14ac:dyDescent="0.3">
      <c r="A47" s="28"/>
      <c r="B47" s="29"/>
      <c r="C47" s="30"/>
      <c r="D47" s="31"/>
      <c r="E47" s="41"/>
      <c r="F47" s="42"/>
      <c r="G47" s="43"/>
      <c r="H47" s="35"/>
      <c r="I47" s="36"/>
      <c r="J47" s="37"/>
      <c r="K47" s="38">
        <f t="shared" si="0"/>
        <v>0</v>
      </c>
      <c r="L47" s="39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3208</v>
      </c>
      <c r="B49" s="45" t="s">
        <v>3209</v>
      </c>
      <c r="C49" s="46">
        <v>24</v>
      </c>
      <c r="D49" s="47" t="s">
        <v>3210</v>
      </c>
      <c r="E49" s="48">
        <v>7</v>
      </c>
      <c r="F49" s="49">
        <v>5.6</v>
      </c>
      <c r="G49" s="50" t="s">
        <v>3211</v>
      </c>
      <c r="H49" s="51">
        <v>2438</v>
      </c>
      <c r="I49" s="45">
        <v>3048</v>
      </c>
      <c r="J49" s="52">
        <v>2</v>
      </c>
      <c r="K49" s="53">
        <f t="shared" si="0"/>
        <v>14.862048000000001</v>
      </c>
      <c r="L49" s="54" t="s">
        <v>3227</v>
      </c>
    </row>
    <row r="50" spans="1:12" s="55" customFormat="1" ht="19.5" customHeight="1" x14ac:dyDescent="0.3">
      <c r="A50" s="44"/>
      <c r="B50" s="45"/>
      <c r="C50" s="46">
        <v>24</v>
      </c>
      <c r="D50" s="47" t="s">
        <v>3212</v>
      </c>
      <c r="E50" s="48">
        <v>17</v>
      </c>
      <c r="F50" s="49">
        <v>9.66</v>
      </c>
      <c r="G50" s="50" t="s">
        <v>18</v>
      </c>
      <c r="H50" s="51">
        <v>2590</v>
      </c>
      <c r="I50" s="45">
        <v>3048</v>
      </c>
      <c r="J50" s="52">
        <v>2</v>
      </c>
      <c r="K50" s="53">
        <f t="shared" si="0"/>
        <v>15.788639999999999</v>
      </c>
      <c r="L50" s="54" t="s">
        <v>3228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3213</v>
      </c>
      <c r="B52" s="45" t="s">
        <v>3214</v>
      </c>
      <c r="C52" s="46">
        <v>24</v>
      </c>
      <c r="D52" s="47" t="s">
        <v>3215</v>
      </c>
      <c r="E52" s="48">
        <v>2</v>
      </c>
      <c r="F52" s="49">
        <v>2.1800000000000002</v>
      </c>
      <c r="G52" s="50" t="s">
        <v>3216</v>
      </c>
      <c r="H52" s="51"/>
      <c r="I52" s="45"/>
      <c r="J52" s="52"/>
      <c r="K52" s="53">
        <f t="shared" si="0"/>
        <v>0</v>
      </c>
      <c r="L52" s="54" t="s">
        <v>3218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 t="s">
        <v>3217</v>
      </c>
      <c r="H53" s="51"/>
      <c r="I53" s="45"/>
      <c r="J53" s="52"/>
      <c r="K53" s="53">
        <f t="shared" si="0"/>
        <v>0</v>
      </c>
      <c r="L53" s="54" t="s">
        <v>3206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3219</v>
      </c>
      <c r="B55" s="45" t="s">
        <v>3220</v>
      </c>
      <c r="C55" s="46">
        <v>16</v>
      </c>
      <c r="D55" s="47" t="s">
        <v>199</v>
      </c>
      <c r="E55" s="48">
        <v>2</v>
      </c>
      <c r="F55" s="49">
        <v>1.86</v>
      </c>
      <c r="G55" s="50" t="s">
        <v>3221</v>
      </c>
      <c r="H55" s="51"/>
      <c r="I55" s="45"/>
      <c r="J55" s="52"/>
      <c r="K55" s="53">
        <f t="shared" si="0"/>
        <v>0</v>
      </c>
      <c r="L55" s="54" t="s">
        <v>3218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 t="s">
        <v>3197</v>
      </c>
      <c r="H56" s="51"/>
      <c r="I56" s="45"/>
      <c r="J56" s="52"/>
      <c r="K56" s="53">
        <f t="shared" si="0"/>
        <v>0</v>
      </c>
      <c r="L56" s="54" t="s">
        <v>3206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3222</v>
      </c>
      <c r="B58" s="45" t="s">
        <v>3209</v>
      </c>
      <c r="C58" s="46">
        <v>24</v>
      </c>
      <c r="D58" s="47" t="s">
        <v>3223</v>
      </c>
      <c r="E58" s="48">
        <v>22</v>
      </c>
      <c r="F58" s="49">
        <v>47.46</v>
      </c>
      <c r="G58" s="50" t="s">
        <v>910</v>
      </c>
      <c r="H58" s="51">
        <v>2438</v>
      </c>
      <c r="I58" s="45">
        <v>3048</v>
      </c>
      <c r="J58" s="52">
        <v>24</v>
      </c>
      <c r="K58" s="53">
        <f t="shared" si="0"/>
        <v>178.34457600000002</v>
      </c>
      <c r="L58" s="54"/>
    </row>
    <row r="59" spans="1:12" s="55" customFormat="1" ht="19.5" customHeight="1" x14ac:dyDescent="0.3">
      <c r="A59" s="44"/>
      <c r="B59" s="45"/>
      <c r="C59" s="46"/>
      <c r="D59" s="47" t="s">
        <v>3225</v>
      </c>
      <c r="E59" s="48">
        <v>22</v>
      </c>
      <c r="F59" s="49">
        <v>68.400000000000006</v>
      </c>
      <c r="G59" s="50" t="s">
        <v>3224</v>
      </c>
      <c r="H59" s="51">
        <v>2743</v>
      </c>
      <c r="I59" s="45">
        <v>3048</v>
      </c>
      <c r="J59" s="52">
        <v>7</v>
      </c>
      <c r="K59" s="53">
        <f t="shared" si="0"/>
        <v>58.524647999999985</v>
      </c>
      <c r="L59" s="54" t="s">
        <v>3226</v>
      </c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 t="s">
        <v>3224</v>
      </c>
      <c r="H60" s="51">
        <v>3048</v>
      </c>
      <c r="I60" s="45">
        <v>3658</v>
      </c>
      <c r="J60" s="52">
        <v>6</v>
      </c>
      <c r="K60" s="53">
        <f t="shared" si="0"/>
        <v>66.897503999999998</v>
      </c>
      <c r="L60" s="54" t="s">
        <v>3226</v>
      </c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>
        <v>24</v>
      </c>
      <c r="D62" s="47" t="s">
        <v>3229</v>
      </c>
      <c r="E62" s="48">
        <v>6</v>
      </c>
      <c r="F62" s="49">
        <v>14.38</v>
      </c>
      <c r="G62" s="50" t="s">
        <v>3230</v>
      </c>
      <c r="H62" s="51">
        <v>2743</v>
      </c>
      <c r="I62" s="45">
        <v>3048</v>
      </c>
      <c r="J62" s="52">
        <v>1</v>
      </c>
      <c r="K62" s="53">
        <f t="shared" si="0"/>
        <v>8.3606639999999981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>
        <v>2590</v>
      </c>
      <c r="I63" s="45">
        <v>3048</v>
      </c>
      <c r="J63" s="52">
        <v>1</v>
      </c>
      <c r="K63" s="53">
        <f t="shared" si="0"/>
        <v>7.8943199999999996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3267</v>
      </c>
      <c r="B65" s="45" t="s">
        <v>3259</v>
      </c>
      <c r="C65" s="46">
        <v>24</v>
      </c>
      <c r="D65" s="47" t="s">
        <v>3268</v>
      </c>
      <c r="E65" s="48">
        <v>75</v>
      </c>
      <c r="F65" s="49">
        <v>115.69</v>
      </c>
      <c r="G65" s="50" t="s">
        <v>3270</v>
      </c>
      <c r="H65" s="51">
        <v>2134</v>
      </c>
      <c r="I65" s="45">
        <v>3353</v>
      </c>
      <c r="J65" s="52">
        <v>20</v>
      </c>
      <c r="K65" s="53">
        <f t="shared" si="0"/>
        <v>143.10604000000001</v>
      </c>
      <c r="L65" s="54" t="s">
        <v>3266</v>
      </c>
    </row>
    <row r="66" spans="1:12" s="55" customFormat="1" ht="19.5" customHeight="1" x14ac:dyDescent="0.3">
      <c r="A66" s="44"/>
      <c r="B66" s="45"/>
      <c r="C66" s="46">
        <v>24</v>
      </c>
      <c r="D66" s="47" t="s">
        <v>3269</v>
      </c>
      <c r="E66" s="48">
        <v>6</v>
      </c>
      <c r="F66" s="49">
        <v>12.28</v>
      </c>
      <c r="G66" s="50"/>
      <c r="H66" s="51"/>
      <c r="I66" s="45"/>
      <c r="J66" s="52"/>
      <c r="K66" s="53">
        <f t="shared" si="0"/>
        <v>0</v>
      </c>
      <c r="L66" s="54" t="s">
        <v>3266</v>
      </c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57</v>
      </c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 t="s">
        <v>3240</v>
      </c>
      <c r="B70" s="45" t="s">
        <v>3241</v>
      </c>
      <c r="C70" s="46">
        <v>24</v>
      </c>
      <c r="D70" s="47" t="s">
        <v>3242</v>
      </c>
      <c r="E70" s="48">
        <v>19</v>
      </c>
      <c r="F70" s="49">
        <v>10.45</v>
      </c>
      <c r="G70" s="50" t="s">
        <v>3236</v>
      </c>
      <c r="H70" s="51">
        <v>1981</v>
      </c>
      <c r="I70" s="45">
        <v>3353</v>
      </c>
      <c r="J70" s="52">
        <v>2</v>
      </c>
      <c r="K70" s="53">
        <f t="shared" si="0"/>
        <v>13.284586000000001</v>
      </c>
      <c r="L70" s="54" t="s">
        <v>3245</v>
      </c>
    </row>
    <row r="71" spans="1:12" s="55" customFormat="1" ht="19.5" customHeight="1" x14ac:dyDescent="0.3">
      <c r="A71" s="44"/>
      <c r="B71" s="45"/>
      <c r="C71" s="46">
        <v>39</v>
      </c>
      <c r="D71" s="47" t="s">
        <v>3243</v>
      </c>
      <c r="E71" s="48">
        <v>89</v>
      </c>
      <c r="F71" s="49">
        <v>108.45</v>
      </c>
      <c r="G71" s="50" t="s">
        <v>3244</v>
      </c>
      <c r="H71" s="51">
        <v>1981</v>
      </c>
      <c r="I71" s="45">
        <v>3353</v>
      </c>
      <c r="J71" s="52">
        <v>20</v>
      </c>
      <c r="K71" s="53">
        <f t="shared" si="0"/>
        <v>132.84586000000002</v>
      </c>
      <c r="L71" s="54" t="s">
        <v>3239</v>
      </c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 t="s">
        <v>3246</v>
      </c>
      <c r="B73" s="45" t="s">
        <v>3241</v>
      </c>
      <c r="C73" s="46">
        <v>24</v>
      </c>
      <c r="D73" s="47" t="s">
        <v>3242</v>
      </c>
      <c r="E73" s="48">
        <v>19</v>
      </c>
      <c r="F73" s="49">
        <v>10.45</v>
      </c>
      <c r="G73" s="50" t="s">
        <v>3236</v>
      </c>
      <c r="H73" s="51">
        <v>1981</v>
      </c>
      <c r="I73" s="45">
        <v>3353</v>
      </c>
      <c r="J73" s="52">
        <v>2</v>
      </c>
      <c r="K73" s="53">
        <f t="shared" si="0"/>
        <v>13.284586000000001</v>
      </c>
      <c r="L73" s="54" t="s">
        <v>3245</v>
      </c>
    </row>
    <row r="74" spans="1:12" s="55" customFormat="1" ht="19.5" customHeight="1" x14ac:dyDescent="0.3">
      <c r="A74" s="44"/>
      <c r="B74" s="45"/>
      <c r="C74" s="46">
        <v>39</v>
      </c>
      <c r="D74" s="47" t="s">
        <v>3243</v>
      </c>
      <c r="E74" s="48">
        <v>89</v>
      </c>
      <c r="F74" s="49">
        <v>108.45</v>
      </c>
      <c r="G74" s="50" t="s">
        <v>3244</v>
      </c>
      <c r="H74" s="51">
        <v>1981</v>
      </c>
      <c r="I74" s="45">
        <v>3353</v>
      </c>
      <c r="J74" s="52">
        <v>20</v>
      </c>
      <c r="K74" s="53">
        <f t="shared" si="0"/>
        <v>132.84586000000002</v>
      </c>
      <c r="L74" s="54" t="s">
        <v>3239</v>
      </c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76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/>
      <c r="B78" s="76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76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/>
      <c r="B80" s="76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76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76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5" customFormat="1" ht="19.5" customHeight="1" x14ac:dyDescent="0.3">
      <c r="A83" s="44"/>
      <c r="B83" s="45"/>
      <c r="C83" s="46"/>
      <c r="D83" s="47"/>
      <c r="E83" s="48"/>
      <c r="F83" s="49"/>
      <c r="G83" s="50"/>
      <c r="H83" s="51"/>
      <c r="I83" s="45"/>
      <c r="J83" s="52"/>
      <c r="K83" s="53">
        <f t="shared" si="0"/>
        <v>0</v>
      </c>
      <c r="L83" s="54"/>
    </row>
    <row r="84" spans="1:12" s="59" customFormat="1" ht="20.100000000000001" customHeight="1" x14ac:dyDescent="0.3">
      <c r="A84" s="44"/>
      <c r="B84" s="45"/>
      <c r="C84" s="46"/>
      <c r="D84" s="47"/>
      <c r="E84" s="56"/>
      <c r="F84" s="57"/>
      <c r="G84" s="50"/>
      <c r="H84" s="51"/>
      <c r="I84" s="45"/>
      <c r="J84" s="52"/>
      <c r="K84" s="53">
        <f t="shared" si="0"/>
        <v>0</v>
      </c>
      <c r="L84" s="58">
        <f>SUM(J48:J85)</f>
        <v>107</v>
      </c>
    </row>
    <row r="85" spans="1:12" s="59" customFormat="1" ht="20.100000000000001" customHeight="1" x14ac:dyDescent="0.3">
      <c r="A85" s="44"/>
      <c r="B85" s="45"/>
      <c r="C85" s="46"/>
      <c r="D85" s="47"/>
      <c r="E85" s="60"/>
      <c r="F85" s="61"/>
      <c r="G85" s="62"/>
      <c r="H85" s="51"/>
      <c r="I85" s="45"/>
      <c r="J85" s="63"/>
      <c r="K85" s="53">
        <f t="shared" si="0"/>
        <v>0</v>
      </c>
      <c r="L85" s="64">
        <f>SUM(K48:K85)</f>
        <v>786.03933199999994</v>
      </c>
    </row>
    <row r="86" spans="1:12" s="59" customFormat="1" ht="20.100000000000001" customHeight="1" thickBot="1" x14ac:dyDescent="0.35">
      <c r="A86" s="114"/>
      <c r="B86" s="115"/>
      <c r="C86" s="115"/>
      <c r="D86" s="115"/>
      <c r="E86" s="115"/>
      <c r="F86" s="115"/>
      <c r="G86" s="115"/>
      <c r="H86" s="115"/>
      <c r="I86" s="115"/>
      <c r="J86" s="65">
        <f>SUM(J7:J85)</f>
        <v>288</v>
      </c>
      <c r="K86" s="66">
        <f>SUM(K7:K85)</f>
        <v>1932.3325740000005</v>
      </c>
      <c r="L86" s="67"/>
    </row>
    <row r="87" spans="1:12" s="59" customFormat="1" ht="20.100000000000001" customHeight="1" thickTop="1" thickBot="1" x14ac:dyDescent="0.35">
      <c r="A87" s="116" t="s">
        <v>52</v>
      </c>
      <c r="B87" s="117"/>
      <c r="C87" s="68"/>
      <c r="D87" s="118">
        <f>J86</f>
        <v>288</v>
      </c>
      <c r="E87" s="119"/>
      <c r="F87" s="119"/>
      <c r="G87" s="120"/>
      <c r="H87" s="121"/>
      <c r="I87" s="121"/>
      <c r="J87" s="122"/>
      <c r="K87" s="119"/>
      <c r="L87" s="123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71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72"/>
      <c r="F93" s="5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5"/>
      <c r="G94" s="73"/>
      <c r="H94" s="5"/>
      <c r="I94" s="74"/>
      <c r="J94" s="5"/>
      <c r="K94" s="5"/>
      <c r="L94" s="5"/>
    </row>
    <row r="95" spans="1:12" s="59" customFormat="1" ht="20.100000000000001" customHeight="1" x14ac:dyDescent="0.3">
      <c r="A95" s="113"/>
      <c r="B95" s="113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113"/>
      <c r="B98" s="113"/>
      <c r="C98" s="5"/>
      <c r="D98" s="5"/>
      <c r="E98" s="5"/>
      <c r="F98" s="70"/>
      <c r="G98" s="5"/>
      <c r="H98" s="72"/>
      <c r="I98" s="72"/>
      <c r="J98" s="5"/>
      <c r="K98" s="5"/>
      <c r="L98" s="5"/>
    </row>
    <row r="99" spans="1:12" ht="20.100000000000001" customHeight="1" x14ac:dyDescent="0.3">
      <c r="A99" s="113"/>
      <c r="B99" s="113"/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H101" s="72"/>
      <c r="I101" s="72"/>
    </row>
    <row r="102" spans="1:12" ht="20.100000000000001" customHeight="1" x14ac:dyDescent="0.3">
      <c r="A102" s="113"/>
      <c r="B102" s="113"/>
      <c r="H102" s="72"/>
      <c r="I102" s="72"/>
    </row>
    <row r="103" spans="1:12" ht="20.100000000000001" customHeight="1" x14ac:dyDescent="0.3">
      <c r="A103" s="113"/>
      <c r="B103" s="113"/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H105" s="72"/>
      <c r="I105" s="72"/>
    </row>
    <row r="106" spans="1:12" ht="20.100000000000001" customHeight="1" x14ac:dyDescent="0.3">
      <c r="H106" s="72"/>
      <c r="I106" s="72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J107" s="5"/>
      <c r="K107" s="5"/>
      <c r="L107" s="5"/>
    </row>
    <row r="108" spans="1:12" s="72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5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5" customFormat="1" ht="20.100000000000001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5" customFormat="1" ht="19.5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72" customFormat="1" ht="20.100000000000001" customHeight="1" x14ac:dyDescent="0.3">
      <c r="A113" s="69"/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ht="19.5" customHeight="1" x14ac:dyDescent="0.3"/>
    <row r="115" spans="1:12" ht="19.5" customHeight="1" x14ac:dyDescent="0.3"/>
    <row r="116" spans="1:12" ht="19.5" customHeight="1" x14ac:dyDescent="0.3"/>
    <row r="117" spans="1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>
        <v>2</v>
      </c>
      <c r="C177" s="5"/>
      <c r="D177" s="5"/>
      <c r="E177" s="5"/>
      <c r="F177" s="70"/>
      <c r="G177" s="5"/>
      <c r="H177" s="5"/>
      <c r="I177" s="5"/>
      <c r="J177" s="5"/>
      <c r="K177" s="5"/>
      <c r="L177" s="5"/>
    </row>
  </sheetData>
  <mergeCells count="30">
    <mergeCell ref="A102:B102"/>
    <mergeCell ref="A103:B103"/>
    <mergeCell ref="A93:B93"/>
    <mergeCell ref="A94:B94"/>
    <mergeCell ref="A95:B95"/>
    <mergeCell ref="A97:B97"/>
    <mergeCell ref="A98:B98"/>
    <mergeCell ref="A99:B99"/>
    <mergeCell ref="A92:B92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6:I86"/>
    <mergeCell ref="A87:B87"/>
    <mergeCell ref="D87:G87"/>
    <mergeCell ref="H87:J87"/>
    <mergeCell ref="K87:L87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L184"/>
  <sheetViews>
    <sheetView view="pageBreakPreview" topLeftCell="F82" zoomScale="85" zoomScaleSheetLayoutView="85" workbookViewId="0">
      <selection activeCell="L91" sqref="L91:L92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46134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92" si="0">(H7/1000*I7/1000)*J7</f>
        <v>0</v>
      </c>
      <c r="L7" s="26">
        <f>SUM(J7:J45)</f>
        <v>172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SUM(K7:K45)</f>
        <v>1086.1831790000001</v>
      </c>
    </row>
    <row r="9" spans="1:12" s="27" customFormat="1" ht="19.5" customHeight="1" x14ac:dyDescent="0.3">
      <c r="A9" s="28" t="s">
        <v>3101</v>
      </c>
      <c r="B9" s="16" t="s">
        <v>3102</v>
      </c>
      <c r="C9" s="17">
        <v>22</v>
      </c>
      <c r="D9" s="18" t="s">
        <v>3103</v>
      </c>
      <c r="E9" s="41">
        <v>1</v>
      </c>
      <c r="F9" s="42">
        <v>3.08</v>
      </c>
      <c r="G9" s="34" t="s">
        <v>3104</v>
      </c>
      <c r="H9" s="35">
        <v>1981</v>
      </c>
      <c r="I9" s="36">
        <v>3048</v>
      </c>
      <c r="J9" s="37">
        <v>1</v>
      </c>
      <c r="K9" s="25">
        <f t="shared" si="0"/>
        <v>6.038088000000001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3105</v>
      </c>
      <c r="H10" s="35">
        <v>1981</v>
      </c>
      <c r="I10" s="36">
        <v>3353</v>
      </c>
      <c r="J10" s="37">
        <v>1</v>
      </c>
      <c r="K10" s="25">
        <f t="shared" si="0"/>
        <v>6.6422930000000004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 t="s">
        <v>3106</v>
      </c>
      <c r="B12" s="16" t="s">
        <v>3107</v>
      </c>
      <c r="C12" s="17">
        <v>12</v>
      </c>
      <c r="D12" s="18" t="s">
        <v>3108</v>
      </c>
      <c r="E12" s="41">
        <v>2</v>
      </c>
      <c r="F12" s="42">
        <v>3.9</v>
      </c>
      <c r="G12" s="34" t="s">
        <v>3109</v>
      </c>
      <c r="H12" s="35">
        <v>2134</v>
      </c>
      <c r="I12" s="36">
        <v>3048</v>
      </c>
      <c r="J12" s="37">
        <v>1</v>
      </c>
      <c r="K12" s="25">
        <f t="shared" si="0"/>
        <v>6.5044319999999995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 t="s">
        <v>3110</v>
      </c>
      <c r="B14" s="16" t="s">
        <v>3111</v>
      </c>
      <c r="C14" s="17">
        <v>16</v>
      </c>
      <c r="D14" s="18" t="s">
        <v>3112</v>
      </c>
      <c r="E14" s="41">
        <v>2</v>
      </c>
      <c r="F14" s="42">
        <v>1.86</v>
      </c>
      <c r="G14" s="34"/>
      <c r="H14" s="35"/>
      <c r="I14" s="36"/>
      <c r="J14" s="37"/>
      <c r="K14" s="25">
        <f t="shared" si="0"/>
        <v>0</v>
      </c>
      <c r="L14" s="39" t="s">
        <v>3113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25">
        <f t="shared" si="0"/>
        <v>0</v>
      </c>
      <c r="L15" s="39"/>
    </row>
    <row r="16" spans="1:12" s="27" customFormat="1" ht="19.5" customHeight="1" x14ac:dyDescent="0.3">
      <c r="A16" s="28" t="s">
        <v>3114</v>
      </c>
      <c r="B16" s="16" t="s">
        <v>3115</v>
      </c>
      <c r="C16" s="17">
        <v>16</v>
      </c>
      <c r="D16" s="18" t="s">
        <v>3116</v>
      </c>
      <c r="E16" s="41">
        <v>5</v>
      </c>
      <c r="F16" s="42">
        <v>3.75</v>
      </c>
      <c r="G16" s="34" t="s">
        <v>3117</v>
      </c>
      <c r="H16" s="35">
        <v>2590</v>
      </c>
      <c r="I16" s="36">
        <v>3353</v>
      </c>
      <c r="J16" s="37">
        <v>1</v>
      </c>
      <c r="K16" s="25">
        <f t="shared" si="0"/>
        <v>8.6842699999999979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>
        <f t="shared" si="0"/>
        <v>0</v>
      </c>
      <c r="L17" s="39"/>
    </row>
    <row r="18" spans="1:12" s="27" customFormat="1" ht="19.5" customHeight="1" x14ac:dyDescent="0.3">
      <c r="A18" s="28" t="s">
        <v>3118</v>
      </c>
      <c r="B18" s="16" t="s">
        <v>3119</v>
      </c>
      <c r="C18" s="17">
        <v>22</v>
      </c>
      <c r="D18" s="18" t="s">
        <v>3120</v>
      </c>
      <c r="E18" s="41">
        <v>21</v>
      </c>
      <c r="F18" s="42">
        <v>29.57</v>
      </c>
      <c r="G18" s="34" t="s">
        <v>3105</v>
      </c>
      <c r="H18" s="35">
        <v>1981</v>
      </c>
      <c r="I18" s="36">
        <v>3353</v>
      </c>
      <c r="J18" s="37">
        <v>6</v>
      </c>
      <c r="K18" s="25">
        <f t="shared" si="0"/>
        <v>39.853757999999999</v>
      </c>
      <c r="L18" s="39" t="s">
        <v>3123</v>
      </c>
    </row>
    <row r="19" spans="1:12" s="27" customFormat="1" ht="19.5" customHeight="1" x14ac:dyDescent="0.3">
      <c r="A19" s="28"/>
      <c r="B19" s="16"/>
      <c r="C19" s="17">
        <v>22</v>
      </c>
      <c r="D19" s="18" t="s">
        <v>3121</v>
      </c>
      <c r="E19" s="41">
        <v>22</v>
      </c>
      <c r="F19" s="42">
        <v>30.94</v>
      </c>
      <c r="G19" s="34" t="s">
        <v>3117</v>
      </c>
      <c r="H19" s="35">
        <v>1981</v>
      </c>
      <c r="I19" s="36">
        <v>3353</v>
      </c>
      <c r="J19" s="37">
        <v>6</v>
      </c>
      <c r="K19" s="25">
        <f t="shared" si="0"/>
        <v>39.853757999999999</v>
      </c>
      <c r="L19" s="39" t="s">
        <v>3123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 t="s">
        <v>3122</v>
      </c>
      <c r="H20" s="35">
        <v>1981</v>
      </c>
      <c r="I20" s="36">
        <v>3353</v>
      </c>
      <c r="J20" s="37">
        <v>12</v>
      </c>
      <c r="K20" s="25">
        <f t="shared" si="0"/>
        <v>79.707515999999998</v>
      </c>
      <c r="L20" s="39" t="s">
        <v>3123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 t="s">
        <v>3124</v>
      </c>
      <c r="B22" s="16" t="s">
        <v>3119</v>
      </c>
      <c r="C22" s="17">
        <v>22</v>
      </c>
      <c r="D22" s="18" t="s">
        <v>3121</v>
      </c>
      <c r="E22" s="41">
        <v>150</v>
      </c>
      <c r="F22" s="42">
        <v>118.4</v>
      </c>
      <c r="G22" s="34" t="s">
        <v>3117</v>
      </c>
      <c r="H22" s="35">
        <v>1829</v>
      </c>
      <c r="I22" s="36">
        <v>3353</v>
      </c>
      <c r="J22" s="37">
        <v>21</v>
      </c>
      <c r="K22" s="25">
        <f t="shared" si="0"/>
        <v>128.78537700000001</v>
      </c>
      <c r="L22" s="39" t="s">
        <v>3123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 t="s">
        <v>3122</v>
      </c>
      <c r="H23" s="35">
        <v>1829</v>
      </c>
      <c r="I23" s="36">
        <v>3353</v>
      </c>
      <c r="J23" s="37">
        <v>20</v>
      </c>
      <c r="K23" s="25">
        <f t="shared" si="0"/>
        <v>122.65273999999999</v>
      </c>
      <c r="L23" s="39" t="s">
        <v>3123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 t="s">
        <v>3125</v>
      </c>
      <c r="B25" s="16" t="s">
        <v>3126</v>
      </c>
      <c r="C25" s="17">
        <v>22</v>
      </c>
      <c r="D25" s="18" t="s">
        <v>3127</v>
      </c>
      <c r="E25" s="41">
        <v>7</v>
      </c>
      <c r="F25" s="42">
        <v>9.42</v>
      </c>
      <c r="G25" s="34" t="s">
        <v>3117</v>
      </c>
      <c r="H25" s="35">
        <v>1981</v>
      </c>
      <c r="I25" s="36">
        <v>3353</v>
      </c>
      <c r="J25" s="37">
        <v>2</v>
      </c>
      <c r="K25" s="25">
        <f t="shared" si="0"/>
        <v>13.284586000000001</v>
      </c>
      <c r="L25" s="39"/>
    </row>
    <row r="26" spans="1:12" s="27" customFormat="1" ht="19.5" customHeight="1" x14ac:dyDescent="0.3">
      <c r="A26" s="28"/>
      <c r="B26" s="16"/>
      <c r="C26" s="17">
        <v>22</v>
      </c>
      <c r="D26" s="18" t="s">
        <v>3103</v>
      </c>
      <c r="E26" s="41">
        <v>1</v>
      </c>
      <c r="F26" s="42">
        <v>1.29</v>
      </c>
      <c r="G26" s="34" t="s">
        <v>3129</v>
      </c>
      <c r="H26" s="35">
        <v>1981</v>
      </c>
      <c r="I26" s="36">
        <v>3353</v>
      </c>
      <c r="J26" s="37">
        <v>3</v>
      </c>
      <c r="K26" s="25">
        <f t="shared" si="0"/>
        <v>19.926879</v>
      </c>
      <c r="L26" s="39"/>
    </row>
    <row r="27" spans="1:12" s="27" customFormat="1" ht="19.5" customHeight="1" x14ac:dyDescent="0.3">
      <c r="A27" s="28"/>
      <c r="B27" s="16"/>
      <c r="C27" s="17">
        <v>22</v>
      </c>
      <c r="D27" s="18" t="s">
        <v>3128</v>
      </c>
      <c r="E27" s="41">
        <v>2</v>
      </c>
      <c r="F27" s="42">
        <v>5.9</v>
      </c>
      <c r="G27" s="34" t="s">
        <v>3105</v>
      </c>
      <c r="H27" s="35">
        <v>1981</v>
      </c>
      <c r="I27" s="36">
        <v>3353</v>
      </c>
      <c r="J27" s="37">
        <v>1</v>
      </c>
      <c r="K27" s="25">
        <f t="shared" si="0"/>
        <v>6.6422930000000004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 t="s">
        <v>3130</v>
      </c>
      <c r="B29" s="16" t="s">
        <v>3119</v>
      </c>
      <c r="C29" s="17">
        <v>22</v>
      </c>
      <c r="D29" s="18" t="s">
        <v>3120</v>
      </c>
      <c r="E29" s="41">
        <v>118</v>
      </c>
      <c r="F29" s="42">
        <v>102.76</v>
      </c>
      <c r="G29" s="34" t="s">
        <v>3105</v>
      </c>
      <c r="H29" s="35">
        <v>1829</v>
      </c>
      <c r="I29" s="36">
        <v>3353</v>
      </c>
      <c r="J29" s="37">
        <v>18</v>
      </c>
      <c r="K29" s="25">
        <f t="shared" si="0"/>
        <v>110.387466</v>
      </c>
      <c r="L29" s="39" t="s">
        <v>3123</v>
      </c>
    </row>
    <row r="30" spans="1:12" s="27" customFormat="1" ht="19.5" customHeight="1" x14ac:dyDescent="0.3">
      <c r="A30" s="28"/>
      <c r="B30" s="16"/>
      <c r="C30" s="17">
        <v>22</v>
      </c>
      <c r="D30" s="18" t="s">
        <v>3121</v>
      </c>
      <c r="E30" s="41">
        <v>118</v>
      </c>
      <c r="F30" s="42">
        <v>102.76</v>
      </c>
      <c r="G30" s="34" t="s">
        <v>3122</v>
      </c>
      <c r="H30" s="35">
        <v>1829</v>
      </c>
      <c r="I30" s="36">
        <v>3353</v>
      </c>
      <c r="J30" s="37">
        <v>36</v>
      </c>
      <c r="K30" s="25">
        <f t="shared" si="0"/>
        <v>220.77493200000001</v>
      </c>
      <c r="L30" s="39" t="s">
        <v>3131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 t="s">
        <v>3132</v>
      </c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 t="s">
        <v>3130</v>
      </c>
      <c r="B33" s="16" t="s">
        <v>306</v>
      </c>
      <c r="C33" s="17">
        <v>22</v>
      </c>
      <c r="D33" s="18" t="s">
        <v>320</v>
      </c>
      <c r="E33" s="41">
        <v>118</v>
      </c>
      <c r="F33" s="42">
        <v>102.76</v>
      </c>
      <c r="G33" s="34" t="s">
        <v>3158</v>
      </c>
      <c r="H33" s="35">
        <v>1829</v>
      </c>
      <c r="I33" s="36">
        <v>3353</v>
      </c>
      <c r="J33" s="37">
        <v>18</v>
      </c>
      <c r="K33" s="25">
        <f t="shared" si="0"/>
        <v>110.387466</v>
      </c>
      <c r="L33" s="39" t="s">
        <v>3159</v>
      </c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 t="s">
        <v>3160</v>
      </c>
      <c r="B35" s="16" t="s">
        <v>306</v>
      </c>
      <c r="C35" s="17">
        <v>22</v>
      </c>
      <c r="D35" s="18" t="s">
        <v>307</v>
      </c>
      <c r="E35" s="41">
        <v>96</v>
      </c>
      <c r="F35" s="42">
        <v>73.08</v>
      </c>
      <c r="G35" s="34" t="s">
        <v>49</v>
      </c>
      <c r="H35" s="35">
        <v>1981</v>
      </c>
      <c r="I35" s="36">
        <v>3353</v>
      </c>
      <c r="J35" s="37">
        <v>12</v>
      </c>
      <c r="K35" s="25">
        <f t="shared" si="0"/>
        <v>79.707515999999998</v>
      </c>
      <c r="L35" s="39" t="s">
        <v>465</v>
      </c>
    </row>
    <row r="36" spans="1:12" s="27" customFormat="1" ht="19.5" customHeight="1" x14ac:dyDescent="0.3">
      <c r="A36" s="28"/>
      <c r="B36" s="16"/>
      <c r="C36" s="17">
        <v>22</v>
      </c>
      <c r="D36" s="18" t="s">
        <v>320</v>
      </c>
      <c r="E36" s="41">
        <v>98</v>
      </c>
      <c r="F36" s="42">
        <v>76.06</v>
      </c>
      <c r="G36" s="34" t="s">
        <v>3158</v>
      </c>
      <c r="H36" s="35">
        <v>1981</v>
      </c>
      <c r="I36" s="36">
        <v>3353</v>
      </c>
      <c r="J36" s="37">
        <v>13</v>
      </c>
      <c r="K36" s="25">
        <f t="shared" si="0"/>
        <v>86.349809000000008</v>
      </c>
      <c r="L36" s="39" t="s">
        <v>3159</v>
      </c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0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0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0"/>
        <v>0</v>
      </c>
      <c r="L44" s="39"/>
    </row>
    <row r="45" spans="1:12" s="27" customFormat="1" ht="19.5" customHeight="1" x14ac:dyDescent="0.3">
      <c r="A45" s="28"/>
      <c r="B45" s="29"/>
      <c r="C45" s="30"/>
      <c r="D45" s="31"/>
      <c r="E45" s="41"/>
      <c r="F45" s="42"/>
      <c r="G45" s="43"/>
      <c r="H45" s="35"/>
      <c r="I45" s="36"/>
      <c r="J45" s="37"/>
      <c r="K45" s="38">
        <f t="shared" si="0"/>
        <v>0</v>
      </c>
      <c r="L45" s="39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3133</v>
      </c>
      <c r="B47" s="45" t="s">
        <v>3134</v>
      </c>
      <c r="C47" s="46">
        <v>0.39</v>
      </c>
      <c r="D47" s="47" t="s">
        <v>3135</v>
      </c>
      <c r="E47" s="48">
        <v>2</v>
      </c>
      <c r="F47" s="49">
        <v>1.55</v>
      </c>
      <c r="G47" s="50" t="s">
        <v>3117</v>
      </c>
      <c r="H47" s="51">
        <v>1981</v>
      </c>
      <c r="I47" s="45">
        <v>3353</v>
      </c>
      <c r="J47" s="52">
        <v>1</v>
      </c>
      <c r="K47" s="53">
        <f t="shared" si="0"/>
        <v>6.6422930000000004</v>
      </c>
      <c r="L47" s="54" t="s">
        <v>3139</v>
      </c>
    </row>
    <row r="48" spans="1:12" s="55" customFormat="1" ht="19.5" customHeight="1" x14ac:dyDescent="0.3">
      <c r="A48" s="44" t="s">
        <v>3136</v>
      </c>
      <c r="B48" s="45" t="s">
        <v>3137</v>
      </c>
      <c r="C48" s="46">
        <v>22</v>
      </c>
      <c r="D48" s="47" t="s">
        <v>3138</v>
      </c>
      <c r="E48" s="48">
        <v>1</v>
      </c>
      <c r="F48" s="49">
        <v>2.06</v>
      </c>
      <c r="G48" s="97"/>
      <c r="H48" s="51"/>
      <c r="I48" s="45"/>
      <c r="J48" s="52"/>
      <c r="K48" s="53">
        <f t="shared" si="0"/>
        <v>0</v>
      </c>
      <c r="L48" s="54" t="s">
        <v>3139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3133</v>
      </c>
      <c r="B50" s="45" t="s">
        <v>3134</v>
      </c>
      <c r="C50" s="46">
        <v>0.39</v>
      </c>
      <c r="D50" s="47" t="s">
        <v>3135</v>
      </c>
      <c r="E50" s="48">
        <v>3</v>
      </c>
      <c r="F50" s="49">
        <v>2.42</v>
      </c>
      <c r="G50" s="50"/>
      <c r="H50" s="51"/>
      <c r="I50" s="45"/>
      <c r="J50" s="52"/>
      <c r="K50" s="53">
        <f t="shared" si="0"/>
        <v>0</v>
      </c>
      <c r="L50" s="54" t="s">
        <v>3140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3141</v>
      </c>
      <c r="B52" s="45" t="s">
        <v>3142</v>
      </c>
      <c r="C52" s="46">
        <v>24</v>
      </c>
      <c r="D52" s="47" t="s">
        <v>3143</v>
      </c>
      <c r="E52" s="48">
        <v>4</v>
      </c>
      <c r="F52" s="49">
        <v>12.56</v>
      </c>
      <c r="G52" s="50" t="s">
        <v>3105</v>
      </c>
      <c r="H52" s="51">
        <v>1981</v>
      </c>
      <c r="I52" s="45">
        <v>3353</v>
      </c>
      <c r="J52" s="52">
        <v>2</v>
      </c>
      <c r="K52" s="53">
        <f t="shared" si="0"/>
        <v>13.284586000000001</v>
      </c>
      <c r="L52" s="54" t="s">
        <v>3144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3145</v>
      </c>
      <c r="B54" s="45" t="s">
        <v>3146</v>
      </c>
      <c r="C54" s="46">
        <v>28</v>
      </c>
      <c r="D54" s="47" t="s">
        <v>3147</v>
      </c>
      <c r="E54" s="48">
        <v>1</v>
      </c>
      <c r="F54" s="49">
        <v>2.33</v>
      </c>
      <c r="G54" s="50" t="s">
        <v>3148</v>
      </c>
      <c r="H54" s="51">
        <v>1981</v>
      </c>
      <c r="I54" s="45">
        <v>3048</v>
      </c>
      <c r="J54" s="52">
        <v>1</v>
      </c>
      <c r="K54" s="53">
        <f t="shared" si="0"/>
        <v>6.038088000000001</v>
      </c>
      <c r="L54" s="54" t="s">
        <v>3149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3150</v>
      </c>
      <c r="B56" s="45" t="s">
        <v>3151</v>
      </c>
      <c r="C56" s="46">
        <v>22</v>
      </c>
      <c r="D56" s="47" t="s">
        <v>3127</v>
      </c>
      <c r="E56" s="48">
        <v>108</v>
      </c>
      <c r="F56" s="49">
        <v>88.68</v>
      </c>
      <c r="G56" s="50" t="s">
        <v>3117</v>
      </c>
      <c r="H56" s="51">
        <v>1981</v>
      </c>
      <c r="I56" s="45">
        <v>3353</v>
      </c>
      <c r="J56" s="52">
        <v>15</v>
      </c>
      <c r="K56" s="53">
        <f t="shared" si="0"/>
        <v>99.634395000000012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 t="s">
        <v>19</v>
      </c>
      <c r="H57" s="51">
        <v>1981</v>
      </c>
      <c r="I57" s="45">
        <v>3353</v>
      </c>
      <c r="J57" s="52">
        <v>15</v>
      </c>
      <c r="K57" s="53">
        <f t="shared" si="0"/>
        <v>99.634395000000012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3152</v>
      </c>
      <c r="B59" s="45" t="s">
        <v>3151</v>
      </c>
      <c r="C59" s="46">
        <v>22</v>
      </c>
      <c r="D59" s="47" t="s">
        <v>3127</v>
      </c>
      <c r="E59" s="48">
        <v>96</v>
      </c>
      <c r="F59" s="49">
        <v>77.400000000000006</v>
      </c>
      <c r="G59" s="50" t="s">
        <v>3117</v>
      </c>
      <c r="H59" s="51">
        <v>1981</v>
      </c>
      <c r="I59" s="45">
        <v>3353</v>
      </c>
      <c r="J59" s="52">
        <v>13</v>
      </c>
      <c r="K59" s="53">
        <f t="shared" si="0"/>
        <v>86.349809000000008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 t="s">
        <v>19</v>
      </c>
      <c r="H60" s="51">
        <v>1981</v>
      </c>
      <c r="I60" s="45">
        <v>3353</v>
      </c>
      <c r="J60" s="52">
        <v>13</v>
      </c>
      <c r="K60" s="53">
        <f t="shared" si="0"/>
        <v>86.349809000000008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3153</v>
      </c>
      <c r="B62" s="45" t="s">
        <v>3156</v>
      </c>
      <c r="C62" s="46">
        <v>39</v>
      </c>
      <c r="D62" s="47" t="s">
        <v>3154</v>
      </c>
      <c r="E62" s="48">
        <v>89</v>
      </c>
      <c r="F62" s="49">
        <v>108.45</v>
      </c>
      <c r="G62" s="50" t="s">
        <v>3117</v>
      </c>
      <c r="H62" s="51">
        <v>1981</v>
      </c>
      <c r="I62" s="45">
        <v>3353</v>
      </c>
      <c r="J62" s="52">
        <v>18</v>
      </c>
      <c r="K62" s="53">
        <f t="shared" si="0"/>
        <v>119.56127400000001</v>
      </c>
      <c r="L62" s="54" t="s">
        <v>3155</v>
      </c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3157</v>
      </c>
      <c r="B64" s="45" t="s">
        <v>3156</v>
      </c>
      <c r="C64" s="46">
        <v>39</v>
      </c>
      <c r="D64" s="47" t="s">
        <v>3154</v>
      </c>
      <c r="E64" s="48">
        <v>89</v>
      </c>
      <c r="F64" s="49">
        <v>108.45</v>
      </c>
      <c r="G64" s="50" t="s">
        <v>3117</v>
      </c>
      <c r="H64" s="51">
        <v>1981</v>
      </c>
      <c r="I64" s="45">
        <v>3353</v>
      </c>
      <c r="J64" s="52">
        <v>18</v>
      </c>
      <c r="K64" s="53">
        <f t="shared" si="0"/>
        <v>119.56127400000001</v>
      </c>
      <c r="L64" s="54" t="s">
        <v>3155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3132</v>
      </c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3161</v>
      </c>
      <c r="B67" s="45" t="s">
        <v>3162</v>
      </c>
      <c r="C67" s="46">
        <v>24</v>
      </c>
      <c r="D67" s="47" t="s">
        <v>3163</v>
      </c>
      <c r="E67" s="48">
        <v>28</v>
      </c>
      <c r="F67" s="49">
        <v>21.68</v>
      </c>
      <c r="G67" s="50" t="s">
        <v>3165</v>
      </c>
      <c r="H67" s="51">
        <v>2438</v>
      </c>
      <c r="I67" s="45">
        <v>3353</v>
      </c>
      <c r="J67" s="52">
        <v>11</v>
      </c>
      <c r="K67" s="53">
        <f t="shared" si="0"/>
        <v>89.920754000000002</v>
      </c>
      <c r="L67" s="54"/>
    </row>
    <row r="68" spans="1:12" s="55" customFormat="1" ht="19.5" customHeight="1" x14ac:dyDescent="0.3">
      <c r="A68" s="44"/>
      <c r="B68" s="45"/>
      <c r="C68" s="46">
        <v>24</v>
      </c>
      <c r="D68" s="47" t="s">
        <v>3164</v>
      </c>
      <c r="E68" s="48">
        <v>22</v>
      </c>
      <c r="F68" s="49">
        <v>51.51</v>
      </c>
      <c r="G68" s="50" t="s">
        <v>3158</v>
      </c>
      <c r="H68" s="51">
        <v>2590</v>
      </c>
      <c r="I68" s="45">
        <v>3353</v>
      </c>
      <c r="J68" s="52">
        <v>10</v>
      </c>
      <c r="K68" s="53">
        <f t="shared" si="0"/>
        <v>86.842699999999979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 t="s">
        <v>3171</v>
      </c>
      <c r="B70" s="45" t="s">
        <v>3167</v>
      </c>
      <c r="C70" s="46">
        <v>24</v>
      </c>
      <c r="D70" s="47" t="s">
        <v>3168</v>
      </c>
      <c r="E70" s="48">
        <v>3</v>
      </c>
      <c r="F70" s="49">
        <v>6.99</v>
      </c>
      <c r="G70" s="50" t="s">
        <v>3169</v>
      </c>
      <c r="H70" s="51">
        <v>2438</v>
      </c>
      <c r="I70" s="45">
        <v>3048</v>
      </c>
      <c r="J70" s="52">
        <v>3</v>
      </c>
      <c r="K70" s="53">
        <f t="shared" si="0"/>
        <v>22.293072000000002</v>
      </c>
      <c r="L70" s="54" t="s">
        <v>3170</v>
      </c>
    </row>
    <row r="71" spans="1:12" s="55" customFormat="1" ht="19.5" customHeight="1" x14ac:dyDescent="0.3">
      <c r="A71" s="44" t="s">
        <v>3166</v>
      </c>
      <c r="B71" s="45" t="s">
        <v>3167</v>
      </c>
      <c r="C71" s="46">
        <v>24</v>
      </c>
      <c r="D71" s="47" t="s">
        <v>3168</v>
      </c>
      <c r="E71" s="48">
        <v>3</v>
      </c>
      <c r="F71" s="49">
        <v>6.99</v>
      </c>
      <c r="G71" s="50" t="s">
        <v>3158</v>
      </c>
      <c r="H71" s="51">
        <v>1981</v>
      </c>
      <c r="I71" s="45">
        <v>3048</v>
      </c>
      <c r="J71" s="52">
        <v>3</v>
      </c>
      <c r="K71" s="53">
        <f t="shared" si="0"/>
        <v>18.114264000000002</v>
      </c>
      <c r="L71" s="54" t="s">
        <v>3170</v>
      </c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 t="s">
        <v>3171</v>
      </c>
      <c r="B73" s="45" t="s">
        <v>3167</v>
      </c>
      <c r="C73" s="46">
        <v>28</v>
      </c>
      <c r="D73" s="47" t="s">
        <v>3172</v>
      </c>
      <c r="E73" s="48">
        <v>60</v>
      </c>
      <c r="F73" s="49">
        <v>62.36</v>
      </c>
      <c r="G73" s="50" t="s">
        <v>3174</v>
      </c>
      <c r="H73" s="51">
        <v>2438</v>
      </c>
      <c r="I73" s="45">
        <v>3048</v>
      </c>
      <c r="J73" s="52">
        <v>20</v>
      </c>
      <c r="K73" s="53">
        <f t="shared" si="0"/>
        <v>148.62048000000001</v>
      </c>
      <c r="L73" s="54" t="s">
        <v>3175</v>
      </c>
    </row>
    <row r="74" spans="1:12" s="55" customFormat="1" ht="19.5" customHeight="1" x14ac:dyDescent="0.3">
      <c r="A74" s="44"/>
      <c r="B74" s="45"/>
      <c r="C74" s="46">
        <v>28</v>
      </c>
      <c r="D74" s="47" t="s">
        <v>3173</v>
      </c>
      <c r="E74" s="48">
        <v>30</v>
      </c>
      <c r="F74" s="49">
        <v>69.900000000000006</v>
      </c>
      <c r="G74" s="50"/>
      <c r="H74" s="51"/>
      <c r="I74" s="45"/>
      <c r="J74" s="52"/>
      <c r="K74" s="53">
        <f t="shared" si="0"/>
        <v>0</v>
      </c>
      <c r="L74" s="54" t="s">
        <v>3175</v>
      </c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 t="s">
        <v>3171</v>
      </c>
      <c r="B76" s="45" t="s">
        <v>3167</v>
      </c>
      <c r="C76" s="46">
        <v>28</v>
      </c>
      <c r="D76" s="47" t="s">
        <v>3172</v>
      </c>
      <c r="E76" s="48">
        <v>45</v>
      </c>
      <c r="F76" s="49">
        <v>49.65</v>
      </c>
      <c r="G76" s="50" t="s">
        <v>3176</v>
      </c>
      <c r="H76" s="51">
        <v>2438</v>
      </c>
      <c r="I76" s="45">
        <v>3048</v>
      </c>
      <c r="J76" s="52">
        <v>16</v>
      </c>
      <c r="K76" s="53">
        <f t="shared" si="0"/>
        <v>118.89638400000001</v>
      </c>
      <c r="L76" s="54" t="s">
        <v>3177</v>
      </c>
    </row>
    <row r="77" spans="1:12" s="55" customFormat="1" ht="19.5" customHeight="1" x14ac:dyDescent="0.3">
      <c r="A77" s="44"/>
      <c r="B77" s="45"/>
      <c r="C77" s="46">
        <v>28</v>
      </c>
      <c r="D77" s="47" t="s">
        <v>3173</v>
      </c>
      <c r="E77" s="48">
        <v>24</v>
      </c>
      <c r="F77" s="49">
        <v>55.92</v>
      </c>
      <c r="G77" s="50"/>
      <c r="H77" s="51"/>
      <c r="I77" s="45"/>
      <c r="J77" s="52"/>
      <c r="K77" s="53">
        <f t="shared" si="0"/>
        <v>0</v>
      </c>
      <c r="L77" s="54" t="s">
        <v>3178</v>
      </c>
    </row>
    <row r="78" spans="1:12" s="55" customFormat="1" ht="19.5" customHeight="1" x14ac:dyDescent="0.3">
      <c r="A78" s="44"/>
      <c r="B78" s="76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 t="s">
        <v>3179</v>
      </c>
      <c r="B79" s="45" t="s">
        <v>3180</v>
      </c>
      <c r="C79" s="46">
        <v>28</v>
      </c>
      <c r="D79" s="47" t="s">
        <v>3181</v>
      </c>
      <c r="E79" s="48">
        <v>3</v>
      </c>
      <c r="F79" s="49">
        <v>16.55</v>
      </c>
      <c r="G79" s="50" t="s">
        <v>3182</v>
      </c>
      <c r="H79" s="51">
        <v>2438</v>
      </c>
      <c r="I79" s="45">
        <v>3353</v>
      </c>
      <c r="J79" s="52">
        <v>3</v>
      </c>
      <c r="K79" s="53">
        <f t="shared" si="0"/>
        <v>24.523842000000002</v>
      </c>
      <c r="L79" s="54" t="s">
        <v>3183</v>
      </c>
    </row>
    <row r="80" spans="1:12" s="55" customFormat="1" ht="19.5" customHeight="1" x14ac:dyDescent="0.3">
      <c r="A80" s="44"/>
      <c r="B80" s="76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76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5" customFormat="1" ht="19.5" customHeight="1" x14ac:dyDescent="0.3">
      <c r="A83" s="44"/>
      <c r="B83" s="76"/>
      <c r="C83" s="46"/>
      <c r="D83" s="47"/>
      <c r="E83" s="48"/>
      <c r="F83" s="49"/>
      <c r="G83" s="50"/>
      <c r="H83" s="51"/>
      <c r="I83" s="45"/>
      <c r="J83" s="52"/>
      <c r="K83" s="53">
        <f t="shared" si="0"/>
        <v>0</v>
      </c>
      <c r="L83" s="54"/>
    </row>
    <row r="84" spans="1:12" s="55" customFormat="1" ht="19.5" customHeight="1" x14ac:dyDescent="0.3">
      <c r="A84" s="44"/>
      <c r="B84" s="45"/>
      <c r="C84" s="46"/>
      <c r="D84" s="47"/>
      <c r="E84" s="48"/>
      <c r="F84" s="49"/>
      <c r="G84" s="50"/>
      <c r="H84" s="51"/>
      <c r="I84" s="45"/>
      <c r="J84" s="52"/>
      <c r="K84" s="53">
        <f t="shared" si="0"/>
        <v>0</v>
      </c>
      <c r="L84" s="54"/>
    </row>
    <row r="85" spans="1:12" s="55" customFormat="1" ht="19.5" customHeight="1" x14ac:dyDescent="0.3">
      <c r="A85" s="44"/>
      <c r="B85" s="76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5" customFormat="1" ht="19.5" customHeight="1" x14ac:dyDescent="0.3">
      <c r="A86" s="44"/>
      <c r="B86" s="76"/>
      <c r="C86" s="46"/>
      <c r="D86" s="47"/>
      <c r="E86" s="48"/>
      <c r="F86" s="49"/>
      <c r="G86" s="50"/>
      <c r="H86" s="51"/>
      <c r="I86" s="45"/>
      <c r="J86" s="52"/>
      <c r="K86" s="53">
        <f t="shared" si="0"/>
        <v>0</v>
      </c>
      <c r="L86" s="54"/>
    </row>
    <row r="87" spans="1:12" s="55" customFormat="1" ht="19.5" customHeight="1" x14ac:dyDescent="0.3">
      <c r="A87" s="44"/>
      <c r="B87" s="76"/>
      <c r="C87" s="46"/>
      <c r="D87" s="47"/>
      <c r="E87" s="48"/>
      <c r="F87" s="49"/>
      <c r="G87" s="50"/>
      <c r="H87" s="51"/>
      <c r="I87" s="45"/>
      <c r="J87" s="52"/>
      <c r="K87" s="53">
        <f t="shared" si="0"/>
        <v>0</v>
      </c>
      <c r="L87" s="54"/>
    </row>
    <row r="88" spans="1:12" s="55" customFormat="1" ht="19.5" customHeight="1" x14ac:dyDescent="0.3">
      <c r="A88" s="44"/>
      <c r="B88" s="76"/>
      <c r="C88" s="46"/>
      <c r="D88" s="47"/>
      <c r="E88" s="48"/>
      <c r="F88" s="49"/>
      <c r="G88" s="50"/>
      <c r="H88" s="51"/>
      <c r="I88" s="45"/>
      <c r="J88" s="52"/>
      <c r="K88" s="53">
        <f t="shared" si="0"/>
        <v>0</v>
      </c>
      <c r="L88" s="54"/>
    </row>
    <row r="89" spans="1:12" s="55" customFormat="1" ht="19.5" customHeight="1" x14ac:dyDescent="0.3">
      <c r="A89" s="44"/>
      <c r="B89" s="76"/>
      <c r="C89" s="46"/>
      <c r="D89" s="47"/>
      <c r="E89" s="48"/>
      <c r="F89" s="49"/>
      <c r="G89" s="50"/>
      <c r="H89" s="51"/>
      <c r="I89" s="45"/>
      <c r="J89" s="52"/>
      <c r="K89" s="53">
        <f t="shared" si="0"/>
        <v>0</v>
      </c>
      <c r="L89" s="54"/>
    </row>
    <row r="90" spans="1:12" s="55" customFormat="1" ht="19.5" customHeight="1" x14ac:dyDescent="0.3">
      <c r="A90" s="44"/>
      <c r="B90" s="45"/>
      <c r="C90" s="46"/>
      <c r="D90" s="47"/>
      <c r="E90" s="48"/>
      <c r="F90" s="49"/>
      <c r="G90" s="50"/>
      <c r="H90" s="51"/>
      <c r="I90" s="45"/>
      <c r="J90" s="52"/>
      <c r="K90" s="53">
        <f t="shared" si="0"/>
        <v>0</v>
      </c>
      <c r="L90" s="54"/>
    </row>
    <row r="91" spans="1:12" s="59" customFormat="1" ht="20.100000000000001" customHeight="1" x14ac:dyDescent="0.3">
      <c r="A91" s="44"/>
      <c r="B91" s="45"/>
      <c r="C91" s="46"/>
      <c r="D91" s="47"/>
      <c r="E91" s="56"/>
      <c r="F91" s="57"/>
      <c r="G91" s="50"/>
      <c r="H91" s="51"/>
      <c r="I91" s="45"/>
      <c r="J91" s="52"/>
      <c r="K91" s="53">
        <f t="shared" si="0"/>
        <v>0</v>
      </c>
      <c r="L91" s="58">
        <f>SUM(J46:J92)</f>
        <v>162</v>
      </c>
    </row>
    <row r="92" spans="1:12" s="59" customFormat="1" ht="20.100000000000001" customHeight="1" x14ac:dyDescent="0.3">
      <c r="A92" s="44"/>
      <c r="B92" s="45"/>
      <c r="C92" s="46"/>
      <c r="D92" s="47"/>
      <c r="E92" s="60"/>
      <c r="F92" s="61"/>
      <c r="G92" s="62"/>
      <c r="H92" s="51"/>
      <c r="I92" s="45"/>
      <c r="J92" s="63"/>
      <c r="K92" s="53">
        <f t="shared" si="0"/>
        <v>0</v>
      </c>
      <c r="L92" s="64">
        <f>SUM(K46:K92)</f>
        <v>1146.2674190000002</v>
      </c>
    </row>
    <row r="93" spans="1:12" s="59" customFormat="1" ht="20.100000000000001" customHeight="1" thickBot="1" x14ac:dyDescent="0.35">
      <c r="A93" s="114"/>
      <c r="B93" s="115"/>
      <c r="C93" s="115"/>
      <c r="D93" s="115"/>
      <c r="E93" s="115"/>
      <c r="F93" s="115"/>
      <c r="G93" s="115"/>
      <c r="H93" s="115"/>
      <c r="I93" s="115"/>
      <c r="J93" s="65">
        <f>SUM(J7:J92)</f>
        <v>334</v>
      </c>
      <c r="K93" s="66">
        <f>SUM(K7:K92)</f>
        <v>2232.4505980000004</v>
      </c>
      <c r="L93" s="67"/>
    </row>
    <row r="94" spans="1:12" s="59" customFormat="1" ht="20.100000000000001" customHeight="1" thickTop="1" thickBot="1" x14ac:dyDescent="0.35">
      <c r="A94" s="116" t="s">
        <v>52</v>
      </c>
      <c r="B94" s="117"/>
      <c r="C94" s="68"/>
      <c r="D94" s="118">
        <f>J93</f>
        <v>334</v>
      </c>
      <c r="E94" s="119"/>
      <c r="F94" s="119"/>
      <c r="G94" s="120"/>
      <c r="H94" s="121"/>
      <c r="I94" s="121"/>
      <c r="J94" s="122"/>
      <c r="K94" s="119"/>
      <c r="L94" s="123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71"/>
    </row>
    <row r="96" spans="1:12" s="59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113"/>
      <c r="B99" s="113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113"/>
      <c r="B100" s="113"/>
      <c r="C100" s="5"/>
      <c r="D100" s="5"/>
      <c r="E100" s="72"/>
      <c r="F100" s="5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113"/>
      <c r="B101" s="113"/>
      <c r="C101" s="5"/>
      <c r="D101" s="5"/>
      <c r="E101" s="5"/>
      <c r="F101" s="5"/>
      <c r="G101" s="73"/>
      <c r="H101" s="5"/>
      <c r="I101" s="74"/>
      <c r="J101" s="5"/>
      <c r="K101" s="5"/>
      <c r="L101" s="5"/>
    </row>
    <row r="102" spans="1:12" s="59" customFormat="1" ht="20.100000000000001" customHeight="1" x14ac:dyDescent="0.3">
      <c r="A102" s="113"/>
      <c r="B102" s="113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59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59" customFormat="1" ht="20.100000000000001" customHeight="1" x14ac:dyDescent="0.3">
      <c r="A104" s="113"/>
      <c r="B104" s="113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59" customFormat="1" ht="20.100000000000001" customHeight="1" x14ac:dyDescent="0.3">
      <c r="A105" s="113"/>
      <c r="B105" s="113"/>
      <c r="C105" s="5"/>
      <c r="D105" s="5"/>
      <c r="E105" s="5"/>
      <c r="F105" s="70"/>
      <c r="G105" s="5"/>
      <c r="H105" s="72"/>
      <c r="I105" s="72"/>
      <c r="J105" s="5"/>
      <c r="K105" s="5"/>
      <c r="L105" s="5"/>
    </row>
    <row r="106" spans="1:12" ht="20.100000000000001" customHeight="1" x14ac:dyDescent="0.3">
      <c r="A106" s="113"/>
      <c r="B106" s="113"/>
      <c r="H106" s="72"/>
      <c r="I106" s="72"/>
    </row>
    <row r="107" spans="1:12" ht="20.100000000000001" customHeight="1" x14ac:dyDescent="0.3">
      <c r="H107" s="72"/>
      <c r="I107" s="72"/>
    </row>
    <row r="108" spans="1:12" ht="20.100000000000001" customHeight="1" x14ac:dyDescent="0.3">
      <c r="H108" s="72"/>
      <c r="I108" s="72"/>
    </row>
    <row r="109" spans="1:12" ht="20.100000000000001" customHeight="1" x14ac:dyDescent="0.3">
      <c r="A109" s="113"/>
      <c r="B109" s="113"/>
      <c r="H109" s="72"/>
      <c r="I109" s="72"/>
    </row>
    <row r="110" spans="1:12" ht="20.100000000000001" customHeight="1" x14ac:dyDescent="0.3">
      <c r="A110" s="113"/>
      <c r="B110" s="113"/>
      <c r="H110" s="72"/>
      <c r="I110" s="72"/>
    </row>
    <row r="111" spans="1:12" ht="20.100000000000001" customHeight="1" x14ac:dyDescent="0.3">
      <c r="H111" s="72"/>
      <c r="I111" s="72"/>
    </row>
    <row r="112" spans="1:12" ht="20.100000000000001" customHeight="1" x14ac:dyDescent="0.3">
      <c r="H112" s="72"/>
      <c r="I112" s="72"/>
    </row>
    <row r="113" spans="1:12" ht="20.100000000000001" customHeight="1" x14ac:dyDescent="0.3">
      <c r="H113" s="72"/>
      <c r="I113" s="72"/>
    </row>
    <row r="114" spans="1:12" s="72" customFormat="1" ht="20.100000000000001" customHeight="1" x14ac:dyDescent="0.3">
      <c r="A114" s="69"/>
      <c r="B114" s="5"/>
      <c r="C114" s="5"/>
      <c r="D114" s="5"/>
      <c r="E114" s="5"/>
      <c r="F114" s="70"/>
      <c r="G114" s="5"/>
      <c r="J114" s="5"/>
      <c r="K114" s="5"/>
      <c r="L114" s="5"/>
    </row>
    <row r="115" spans="1:12" s="72" customFormat="1" ht="20.100000000000001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s="75" customFormat="1" ht="20.100000000000001" customHeight="1" x14ac:dyDescent="0.3">
      <c r="A116" s="69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s="75" customFormat="1" ht="20.100000000000001" customHeight="1" x14ac:dyDescent="0.3">
      <c r="A117" s="69"/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75" customFormat="1" ht="19.5" customHeight="1" x14ac:dyDescent="0.3">
      <c r="A118" s="69"/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72" customFormat="1" ht="20.100000000000001" customHeight="1" x14ac:dyDescent="0.3">
      <c r="A119" s="69"/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72" customFormat="1" ht="20.100000000000001" customHeight="1" x14ac:dyDescent="0.3">
      <c r="A120" s="69"/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ht="19.5" customHeight="1" x14ac:dyDescent="0.3"/>
    <row r="122" spans="1:12" ht="19.5" customHeight="1" x14ac:dyDescent="0.3"/>
    <row r="123" spans="1:12" ht="19.5" customHeight="1" x14ac:dyDescent="0.3"/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ht="19.5" customHeight="1" x14ac:dyDescent="0.3"/>
    <row r="148" spans="2:12" ht="19.5" customHeight="1" x14ac:dyDescent="0.3"/>
    <row r="149" spans="2:12" ht="19.5" customHeight="1" x14ac:dyDescent="0.3"/>
    <row r="150" spans="2:12" ht="19.5" customHeight="1" x14ac:dyDescent="0.3"/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>
        <v>2</v>
      </c>
      <c r="C184" s="5"/>
      <c r="D184" s="5"/>
      <c r="E184" s="5"/>
      <c r="F184" s="70"/>
      <c r="G184" s="5"/>
      <c r="H184" s="5"/>
      <c r="I184" s="5"/>
      <c r="J184" s="5"/>
      <c r="K184" s="5"/>
      <c r="L184" s="5"/>
    </row>
  </sheetData>
  <mergeCells count="30">
    <mergeCell ref="A109:B109"/>
    <mergeCell ref="A110:B110"/>
    <mergeCell ref="A100:B100"/>
    <mergeCell ref="A101:B101"/>
    <mergeCell ref="A102:B102"/>
    <mergeCell ref="A104:B104"/>
    <mergeCell ref="A105:B105"/>
    <mergeCell ref="A106:B106"/>
    <mergeCell ref="A99:B9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93:I93"/>
    <mergeCell ref="A94:B94"/>
    <mergeCell ref="D94:G94"/>
    <mergeCell ref="H94:J94"/>
    <mergeCell ref="K94:L94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L184"/>
  <sheetViews>
    <sheetView view="pageBreakPreview" topLeftCell="F76" zoomScale="85" zoomScaleSheetLayoutView="85" workbookViewId="0">
      <selection activeCell="L91" sqref="L91:L92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46133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92" si="0">(H7/1000*I7/1000)*J7</f>
        <v>0</v>
      </c>
      <c r="L7" s="26">
        <f>SUM(J7:J45)</f>
        <v>216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SUM(K7:K45)</f>
        <v>1335.3671159999999</v>
      </c>
    </row>
    <row r="9" spans="1:12" s="27" customFormat="1" ht="19.5" customHeight="1" x14ac:dyDescent="0.3">
      <c r="A9" s="28" t="s">
        <v>3077</v>
      </c>
      <c r="B9" s="16" t="s">
        <v>981</v>
      </c>
      <c r="C9" s="17">
        <v>23.76</v>
      </c>
      <c r="D9" s="18" t="s">
        <v>394</v>
      </c>
      <c r="E9" s="41">
        <v>1</v>
      </c>
      <c r="F9" s="42">
        <v>3.23</v>
      </c>
      <c r="G9" s="34" t="s">
        <v>18</v>
      </c>
      <c r="H9" s="35">
        <v>2590</v>
      </c>
      <c r="I9" s="36">
        <v>3048</v>
      </c>
      <c r="J9" s="37">
        <v>1</v>
      </c>
      <c r="K9" s="25">
        <f t="shared" si="0"/>
        <v>7.8943199999999996</v>
      </c>
      <c r="L9" s="39" t="s">
        <v>3079</v>
      </c>
    </row>
    <row r="10" spans="1:12" s="27" customFormat="1" ht="19.5" customHeight="1" x14ac:dyDescent="0.3">
      <c r="A10" s="28" t="s">
        <v>3078</v>
      </c>
      <c r="B10" s="16" t="s">
        <v>681</v>
      </c>
      <c r="C10" s="17">
        <v>24</v>
      </c>
      <c r="D10" s="18" t="s">
        <v>78</v>
      </c>
      <c r="E10" s="41">
        <v>2</v>
      </c>
      <c r="F10" s="42">
        <v>5.05</v>
      </c>
      <c r="G10" s="34" t="s">
        <v>18</v>
      </c>
      <c r="H10" s="35">
        <v>2590</v>
      </c>
      <c r="I10" s="36">
        <v>3353</v>
      </c>
      <c r="J10" s="37">
        <v>1</v>
      </c>
      <c r="K10" s="25">
        <f t="shared" si="0"/>
        <v>8.6842699999999979</v>
      </c>
      <c r="L10" s="39" t="s">
        <v>3079</v>
      </c>
    </row>
    <row r="11" spans="1:12" s="27" customFormat="1" ht="19.5" customHeight="1" x14ac:dyDescent="0.3">
      <c r="A11" s="28"/>
      <c r="B11" s="16"/>
      <c r="C11" s="17">
        <v>27.76</v>
      </c>
      <c r="D11" s="18" t="s">
        <v>682</v>
      </c>
      <c r="E11" s="41">
        <v>1</v>
      </c>
      <c r="F11" s="42">
        <v>4.47</v>
      </c>
      <c r="G11" s="34" t="s">
        <v>62</v>
      </c>
      <c r="H11" s="35">
        <v>2438</v>
      </c>
      <c r="I11" s="36">
        <v>3048</v>
      </c>
      <c r="J11" s="37">
        <v>1</v>
      </c>
      <c r="K11" s="25">
        <f t="shared" si="0"/>
        <v>7.4310240000000007</v>
      </c>
      <c r="L11" s="39" t="s">
        <v>3079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25">
        <f t="shared" si="0"/>
        <v>0</v>
      </c>
      <c r="L12" s="39"/>
    </row>
    <row r="13" spans="1:12" s="27" customFormat="1" ht="19.5" customHeight="1" x14ac:dyDescent="0.3">
      <c r="A13" s="28" t="s">
        <v>3080</v>
      </c>
      <c r="B13" s="16" t="s">
        <v>2941</v>
      </c>
      <c r="C13" s="17">
        <v>24</v>
      </c>
      <c r="D13" s="18" t="s">
        <v>2647</v>
      </c>
      <c r="E13" s="41">
        <v>96</v>
      </c>
      <c r="F13" s="42">
        <v>275.52</v>
      </c>
      <c r="G13" s="34" t="s">
        <v>62</v>
      </c>
      <c r="H13" s="35">
        <v>1981</v>
      </c>
      <c r="I13" s="36">
        <v>3048</v>
      </c>
      <c r="J13" s="37">
        <v>49</v>
      </c>
      <c r="K13" s="25">
        <f t="shared" si="0"/>
        <v>295.86631200000005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336</v>
      </c>
      <c r="H14" s="35">
        <v>1981</v>
      </c>
      <c r="I14" s="36">
        <v>3048</v>
      </c>
      <c r="J14" s="37">
        <v>48</v>
      </c>
      <c r="K14" s="25">
        <f t="shared" si="0"/>
        <v>289.82822400000003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25">
        <f t="shared" si="0"/>
        <v>0</v>
      </c>
      <c r="L15" s="39"/>
    </row>
    <row r="16" spans="1:12" s="27" customFormat="1" ht="19.5" customHeight="1" x14ac:dyDescent="0.3">
      <c r="A16" s="28" t="s">
        <v>3081</v>
      </c>
      <c r="B16" s="16" t="s">
        <v>68</v>
      </c>
      <c r="C16" s="17">
        <v>22</v>
      </c>
      <c r="D16" s="18" t="s">
        <v>665</v>
      </c>
      <c r="E16" s="41">
        <v>1</v>
      </c>
      <c r="F16" s="42">
        <v>3.22</v>
      </c>
      <c r="G16" s="34" t="s">
        <v>49</v>
      </c>
      <c r="H16" s="35">
        <v>1981</v>
      </c>
      <c r="I16" s="36">
        <v>3353</v>
      </c>
      <c r="J16" s="37">
        <v>3</v>
      </c>
      <c r="K16" s="25">
        <f t="shared" si="0"/>
        <v>19.926879</v>
      </c>
      <c r="L16" s="39"/>
    </row>
    <row r="17" spans="1:12" s="27" customFormat="1" ht="19.5" customHeight="1" x14ac:dyDescent="0.3">
      <c r="A17" s="28"/>
      <c r="B17" s="16"/>
      <c r="C17" s="17">
        <v>22</v>
      </c>
      <c r="D17" s="18" t="s">
        <v>45</v>
      </c>
      <c r="E17" s="41">
        <v>12</v>
      </c>
      <c r="F17" s="42">
        <v>9.06</v>
      </c>
      <c r="G17" s="34" t="s">
        <v>18</v>
      </c>
      <c r="H17" s="35">
        <v>1981</v>
      </c>
      <c r="I17" s="36">
        <v>3353</v>
      </c>
      <c r="J17" s="37">
        <v>4</v>
      </c>
      <c r="K17" s="25">
        <f t="shared" si="0"/>
        <v>26.569172000000002</v>
      </c>
      <c r="L17" s="39"/>
    </row>
    <row r="18" spans="1:12" s="27" customFormat="1" ht="19.5" customHeight="1" x14ac:dyDescent="0.3">
      <c r="A18" s="28"/>
      <c r="B18" s="16"/>
      <c r="C18" s="17">
        <v>22</v>
      </c>
      <c r="D18" s="18" t="s">
        <v>45</v>
      </c>
      <c r="E18" s="41">
        <v>5</v>
      </c>
      <c r="F18" s="42">
        <v>3.6</v>
      </c>
      <c r="G18" s="34" t="s">
        <v>18</v>
      </c>
      <c r="H18" s="35">
        <v>2134</v>
      </c>
      <c r="I18" s="36">
        <v>3353</v>
      </c>
      <c r="J18" s="37">
        <v>1</v>
      </c>
      <c r="K18" s="25">
        <f t="shared" si="0"/>
        <v>7.1553019999999998</v>
      </c>
      <c r="L18" s="39"/>
    </row>
    <row r="19" spans="1:12" s="27" customFormat="1" ht="19.5" customHeight="1" x14ac:dyDescent="0.3">
      <c r="A19" s="28"/>
      <c r="B19" s="16"/>
      <c r="C19" s="17">
        <v>22</v>
      </c>
      <c r="D19" s="18" t="s">
        <v>17</v>
      </c>
      <c r="E19" s="41">
        <v>23</v>
      </c>
      <c r="F19" s="42">
        <v>24.05</v>
      </c>
      <c r="G19" s="34" t="s">
        <v>70</v>
      </c>
      <c r="H19" s="35">
        <v>1981</v>
      </c>
      <c r="I19" s="36">
        <v>3353</v>
      </c>
      <c r="J19" s="37">
        <v>7</v>
      </c>
      <c r="K19" s="25">
        <f t="shared" si="0"/>
        <v>46.496051000000001</v>
      </c>
      <c r="L19" s="39"/>
    </row>
    <row r="20" spans="1:12" s="27" customFormat="1" ht="19.5" customHeight="1" x14ac:dyDescent="0.3">
      <c r="A20" s="28"/>
      <c r="B20" s="16"/>
      <c r="C20" s="17">
        <v>22</v>
      </c>
      <c r="D20" s="18" t="s">
        <v>17</v>
      </c>
      <c r="E20" s="41">
        <v>3</v>
      </c>
      <c r="F20" s="42">
        <v>3.85</v>
      </c>
      <c r="G20" s="34"/>
      <c r="H20" s="35"/>
      <c r="I20" s="36"/>
      <c r="J20" s="37"/>
      <c r="K20" s="25">
        <f t="shared" si="0"/>
        <v>0</v>
      </c>
      <c r="L20" s="39"/>
    </row>
    <row r="21" spans="1:12" s="27" customFormat="1" ht="19.5" customHeight="1" x14ac:dyDescent="0.3">
      <c r="A21" s="28"/>
      <c r="B21" s="16"/>
      <c r="C21" s="17">
        <v>22</v>
      </c>
      <c r="D21" s="18" t="s">
        <v>78</v>
      </c>
      <c r="E21" s="41">
        <v>2</v>
      </c>
      <c r="F21" s="42">
        <v>2.4</v>
      </c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 t="s">
        <v>3082</v>
      </c>
      <c r="B23" s="16" t="s">
        <v>68</v>
      </c>
      <c r="C23" s="17">
        <v>22</v>
      </c>
      <c r="D23" s="18" t="s">
        <v>146</v>
      </c>
      <c r="E23" s="41">
        <v>3</v>
      </c>
      <c r="F23" s="42">
        <v>9.66</v>
      </c>
      <c r="G23" s="34" t="s">
        <v>49</v>
      </c>
      <c r="H23" s="35">
        <v>1981</v>
      </c>
      <c r="I23" s="36">
        <v>3353</v>
      </c>
      <c r="J23" s="37">
        <v>3</v>
      </c>
      <c r="K23" s="25">
        <f t="shared" si="0"/>
        <v>19.926879</v>
      </c>
      <c r="L23" s="39"/>
    </row>
    <row r="24" spans="1:12" s="27" customFormat="1" ht="19.5" customHeight="1" x14ac:dyDescent="0.3">
      <c r="A24" s="28"/>
      <c r="B24" s="16"/>
      <c r="C24" s="17">
        <v>22</v>
      </c>
      <c r="D24" s="18" t="s">
        <v>45</v>
      </c>
      <c r="E24" s="41">
        <v>8</v>
      </c>
      <c r="F24" s="42">
        <v>6.98</v>
      </c>
      <c r="G24" s="34" t="s">
        <v>18</v>
      </c>
      <c r="H24" s="35">
        <v>1981</v>
      </c>
      <c r="I24" s="36">
        <v>3353</v>
      </c>
      <c r="J24" s="37">
        <v>1</v>
      </c>
      <c r="K24" s="25">
        <f t="shared" si="0"/>
        <v>6.6422930000000004</v>
      </c>
      <c r="L24" s="39"/>
    </row>
    <row r="25" spans="1:12" s="27" customFormat="1" ht="19.5" customHeight="1" x14ac:dyDescent="0.3">
      <c r="A25" s="28"/>
      <c r="B25" s="16"/>
      <c r="C25" s="17">
        <v>22</v>
      </c>
      <c r="D25" s="18" t="s">
        <v>45</v>
      </c>
      <c r="E25" s="41">
        <v>2</v>
      </c>
      <c r="F25" s="42">
        <v>2</v>
      </c>
      <c r="G25" s="34" t="s">
        <v>18</v>
      </c>
      <c r="H25" s="35">
        <v>2134</v>
      </c>
      <c r="I25" s="36">
        <v>3353</v>
      </c>
      <c r="J25" s="37">
        <v>1</v>
      </c>
      <c r="K25" s="25">
        <f t="shared" si="0"/>
        <v>7.1553019999999998</v>
      </c>
      <c r="L25" s="39"/>
    </row>
    <row r="26" spans="1:12" s="27" customFormat="1" ht="19.5" customHeight="1" x14ac:dyDescent="0.3">
      <c r="A26" s="28"/>
      <c r="B26" s="16"/>
      <c r="C26" s="17">
        <v>22</v>
      </c>
      <c r="D26" s="18" t="s">
        <v>17</v>
      </c>
      <c r="E26" s="41">
        <v>9</v>
      </c>
      <c r="F26" s="42">
        <v>8.7899999999999991</v>
      </c>
      <c r="G26" s="34" t="s">
        <v>70</v>
      </c>
      <c r="H26" s="35">
        <v>1981</v>
      </c>
      <c r="I26" s="36">
        <v>3353</v>
      </c>
      <c r="J26" s="37">
        <v>4</v>
      </c>
      <c r="K26" s="25">
        <f t="shared" si="0"/>
        <v>26.569172000000002</v>
      </c>
      <c r="L26" s="39"/>
    </row>
    <row r="27" spans="1:12" s="27" customFormat="1" ht="19.5" customHeight="1" x14ac:dyDescent="0.3">
      <c r="A27" s="28"/>
      <c r="B27" s="16"/>
      <c r="C27" s="17">
        <v>22</v>
      </c>
      <c r="D27" s="18" t="s">
        <v>78</v>
      </c>
      <c r="E27" s="41">
        <v>3</v>
      </c>
      <c r="F27" s="42">
        <v>3.6</v>
      </c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 t="s">
        <v>3083</v>
      </c>
      <c r="B29" s="16" t="s">
        <v>218</v>
      </c>
      <c r="C29" s="17">
        <v>5</v>
      </c>
      <c r="D29" s="18" t="s">
        <v>219</v>
      </c>
      <c r="E29" s="41">
        <v>10</v>
      </c>
      <c r="F29" s="42">
        <v>8.1999999999999993</v>
      </c>
      <c r="G29" s="34" t="s">
        <v>18</v>
      </c>
      <c r="H29" s="35">
        <v>1981</v>
      </c>
      <c r="I29" s="36">
        <v>3353</v>
      </c>
      <c r="J29" s="37">
        <v>2</v>
      </c>
      <c r="K29" s="25">
        <f t="shared" si="0"/>
        <v>13.284586000000001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 t="s">
        <v>3066</v>
      </c>
      <c r="B31" s="16" t="s">
        <v>306</v>
      </c>
      <c r="C31" s="17">
        <v>22</v>
      </c>
      <c r="D31" s="18" t="s">
        <v>307</v>
      </c>
      <c r="E31" s="41">
        <v>80</v>
      </c>
      <c r="F31" s="42">
        <v>24.8</v>
      </c>
      <c r="G31" s="34" t="s">
        <v>49</v>
      </c>
      <c r="H31" s="35">
        <v>1829</v>
      </c>
      <c r="I31" s="36">
        <v>3353</v>
      </c>
      <c r="J31" s="37">
        <v>5</v>
      </c>
      <c r="K31" s="25">
        <f t="shared" si="0"/>
        <v>30.663184999999999</v>
      </c>
      <c r="L31" s="39" t="s">
        <v>3084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 t="s">
        <v>3066</v>
      </c>
      <c r="B33" s="16" t="s">
        <v>306</v>
      </c>
      <c r="C33" s="17">
        <v>22</v>
      </c>
      <c r="D33" s="18" t="s">
        <v>320</v>
      </c>
      <c r="E33" s="41">
        <v>162</v>
      </c>
      <c r="F33" s="42">
        <v>124.54</v>
      </c>
      <c r="G33" s="34" t="s">
        <v>39</v>
      </c>
      <c r="H33" s="35">
        <v>1829</v>
      </c>
      <c r="I33" s="36">
        <v>3353</v>
      </c>
      <c r="J33" s="37">
        <v>22</v>
      </c>
      <c r="K33" s="25">
        <f t="shared" si="0"/>
        <v>134.918014</v>
      </c>
      <c r="L33" s="39" t="s">
        <v>355</v>
      </c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 t="s">
        <v>57</v>
      </c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 t="s">
        <v>3066</v>
      </c>
      <c r="B36" s="16" t="s">
        <v>306</v>
      </c>
      <c r="C36" s="17">
        <v>22</v>
      </c>
      <c r="D36" s="18" t="s">
        <v>320</v>
      </c>
      <c r="E36" s="41">
        <v>162</v>
      </c>
      <c r="F36" s="42">
        <v>124.54</v>
      </c>
      <c r="G36" s="34" t="s">
        <v>18</v>
      </c>
      <c r="H36" s="35">
        <v>1829</v>
      </c>
      <c r="I36" s="36">
        <v>3353</v>
      </c>
      <c r="J36" s="37">
        <v>22</v>
      </c>
      <c r="K36" s="25">
        <f t="shared" ref="K36:K39" si="1">(H36/1000*I36/1000)*J36</f>
        <v>134.918014</v>
      </c>
      <c r="L36" s="39" t="s">
        <v>414</v>
      </c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1"/>
        <v>0</v>
      </c>
      <c r="L37" s="39"/>
    </row>
    <row r="38" spans="1:12" s="27" customFormat="1" ht="19.5" customHeight="1" x14ac:dyDescent="0.3">
      <c r="A38" s="28" t="s">
        <v>3096</v>
      </c>
      <c r="B38" s="16" t="s">
        <v>306</v>
      </c>
      <c r="C38" s="17">
        <v>22</v>
      </c>
      <c r="D38" s="18" t="s">
        <v>307</v>
      </c>
      <c r="E38" s="41">
        <v>151</v>
      </c>
      <c r="F38" s="42">
        <v>118.74</v>
      </c>
      <c r="G38" s="34" t="s">
        <v>3097</v>
      </c>
      <c r="H38" s="35">
        <v>1829</v>
      </c>
      <c r="I38" s="36">
        <v>3353</v>
      </c>
      <c r="J38" s="37">
        <v>20</v>
      </c>
      <c r="K38" s="25">
        <f t="shared" si="1"/>
        <v>122.65273999999999</v>
      </c>
      <c r="L38" s="39" t="s">
        <v>949</v>
      </c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 t="s">
        <v>39</v>
      </c>
      <c r="H39" s="35">
        <v>1829</v>
      </c>
      <c r="I39" s="36">
        <v>3353</v>
      </c>
      <c r="J39" s="37">
        <v>21</v>
      </c>
      <c r="K39" s="25">
        <f t="shared" si="1"/>
        <v>128.78537700000001</v>
      </c>
      <c r="L39" s="39" t="s">
        <v>949</v>
      </c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0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0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0"/>
        <v>0</v>
      </c>
      <c r="L44" s="39"/>
    </row>
    <row r="45" spans="1:12" s="27" customFormat="1" ht="19.5" customHeight="1" x14ac:dyDescent="0.3">
      <c r="A45" s="28"/>
      <c r="B45" s="29"/>
      <c r="C45" s="30"/>
      <c r="D45" s="31"/>
      <c r="E45" s="41"/>
      <c r="F45" s="42"/>
      <c r="G45" s="43"/>
      <c r="H45" s="35"/>
      <c r="I45" s="36"/>
      <c r="J45" s="37"/>
      <c r="K45" s="38">
        <f t="shared" si="0"/>
        <v>0</v>
      </c>
      <c r="L45" s="39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3006</v>
      </c>
      <c r="B47" s="45" t="s">
        <v>1890</v>
      </c>
      <c r="C47" s="46">
        <v>28</v>
      </c>
      <c r="D47" s="47" t="s">
        <v>3001</v>
      </c>
      <c r="E47" s="48">
        <v>6</v>
      </c>
      <c r="F47" s="49">
        <v>10.7</v>
      </c>
      <c r="G47" s="50" t="s">
        <v>3002</v>
      </c>
      <c r="H47" s="51">
        <v>2438</v>
      </c>
      <c r="I47" s="45">
        <v>3048</v>
      </c>
      <c r="J47" s="52">
        <v>3</v>
      </c>
      <c r="K47" s="53">
        <f t="shared" si="0"/>
        <v>22.293072000000002</v>
      </c>
      <c r="L47" s="54" t="s">
        <v>3085</v>
      </c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97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2997</v>
      </c>
      <c r="B49" s="45" t="s">
        <v>1890</v>
      </c>
      <c r="C49" s="46">
        <v>28</v>
      </c>
      <c r="D49" s="47" t="s">
        <v>3001</v>
      </c>
      <c r="E49" s="48">
        <v>1</v>
      </c>
      <c r="F49" s="49">
        <v>1.05</v>
      </c>
      <c r="G49" s="50"/>
      <c r="H49" s="51"/>
      <c r="I49" s="45"/>
      <c r="J49" s="52"/>
      <c r="K49" s="53">
        <f t="shared" si="0"/>
        <v>0</v>
      </c>
      <c r="L49" s="54" t="s">
        <v>345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3086</v>
      </c>
      <c r="B51" s="45" t="s">
        <v>21</v>
      </c>
      <c r="C51" s="46">
        <v>22</v>
      </c>
      <c r="D51" s="47" t="s">
        <v>228</v>
      </c>
      <c r="E51" s="48">
        <v>12</v>
      </c>
      <c r="F51" s="49">
        <v>13.2</v>
      </c>
      <c r="G51" s="50" t="s">
        <v>18</v>
      </c>
      <c r="H51" s="51">
        <v>1981</v>
      </c>
      <c r="I51" s="45">
        <v>3353</v>
      </c>
      <c r="J51" s="52">
        <v>6</v>
      </c>
      <c r="K51" s="53">
        <f t="shared" si="0"/>
        <v>39.853757999999999</v>
      </c>
      <c r="L51" s="54" t="s">
        <v>3089</v>
      </c>
    </row>
    <row r="52" spans="1:12" s="55" customFormat="1" ht="19.5" customHeight="1" x14ac:dyDescent="0.3">
      <c r="A52" s="44" t="s">
        <v>3087</v>
      </c>
      <c r="B52" s="45" t="s">
        <v>21</v>
      </c>
      <c r="C52" s="46">
        <v>22</v>
      </c>
      <c r="D52" s="47" t="s">
        <v>228</v>
      </c>
      <c r="E52" s="48">
        <v>8</v>
      </c>
      <c r="F52" s="49">
        <v>11.28</v>
      </c>
      <c r="G52" s="50" t="s">
        <v>19</v>
      </c>
      <c r="H52" s="51">
        <v>1981</v>
      </c>
      <c r="I52" s="45">
        <v>3353</v>
      </c>
      <c r="J52" s="52">
        <v>6</v>
      </c>
      <c r="K52" s="53">
        <f t="shared" si="0"/>
        <v>39.853757999999999</v>
      </c>
      <c r="L52" s="54" t="s">
        <v>3089</v>
      </c>
    </row>
    <row r="53" spans="1:12" s="55" customFormat="1" ht="19.5" customHeight="1" x14ac:dyDescent="0.3">
      <c r="A53" s="44" t="s">
        <v>3088</v>
      </c>
      <c r="B53" s="45" t="s">
        <v>21</v>
      </c>
      <c r="C53" s="46">
        <v>22</v>
      </c>
      <c r="D53" s="47" t="s">
        <v>228</v>
      </c>
      <c r="E53" s="48">
        <v>12</v>
      </c>
      <c r="F53" s="49">
        <v>13.2</v>
      </c>
      <c r="G53" s="50"/>
      <c r="H53" s="51"/>
      <c r="I53" s="45"/>
      <c r="J53" s="52"/>
      <c r="K53" s="53">
        <f t="shared" si="0"/>
        <v>0</v>
      </c>
      <c r="L53" s="54" t="s">
        <v>3089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3086</v>
      </c>
      <c r="B55" s="45" t="s">
        <v>21</v>
      </c>
      <c r="C55" s="46">
        <v>22</v>
      </c>
      <c r="D55" s="47" t="s">
        <v>83</v>
      </c>
      <c r="E55" s="48">
        <v>12</v>
      </c>
      <c r="F55" s="49">
        <v>13.2</v>
      </c>
      <c r="G55" s="50" t="s">
        <v>18</v>
      </c>
      <c r="H55" s="51">
        <v>2590</v>
      </c>
      <c r="I55" s="45">
        <v>3353</v>
      </c>
      <c r="J55" s="52">
        <v>3</v>
      </c>
      <c r="K55" s="53">
        <f t="shared" si="0"/>
        <v>26.052809999999994</v>
      </c>
      <c r="L55" s="54" t="s">
        <v>3091</v>
      </c>
    </row>
    <row r="56" spans="1:12" s="55" customFormat="1" ht="19.5" customHeight="1" x14ac:dyDescent="0.3">
      <c r="A56" s="44" t="s">
        <v>3090</v>
      </c>
      <c r="B56" s="45" t="s">
        <v>21</v>
      </c>
      <c r="C56" s="46">
        <v>22</v>
      </c>
      <c r="D56" s="47" t="s">
        <v>83</v>
      </c>
      <c r="E56" s="48">
        <v>8</v>
      </c>
      <c r="F56" s="49">
        <v>12.8</v>
      </c>
      <c r="G56" s="50" t="s">
        <v>18</v>
      </c>
      <c r="H56" s="51">
        <v>2590</v>
      </c>
      <c r="I56" s="45">
        <v>3048</v>
      </c>
      <c r="J56" s="52">
        <v>1</v>
      </c>
      <c r="K56" s="53">
        <f t="shared" si="0"/>
        <v>7.8943199999999996</v>
      </c>
      <c r="L56" s="54" t="s">
        <v>3091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 t="s">
        <v>62</v>
      </c>
      <c r="H57" s="51">
        <v>2590</v>
      </c>
      <c r="I57" s="45">
        <v>3353</v>
      </c>
      <c r="J57" s="52">
        <v>2</v>
      </c>
      <c r="K57" s="53">
        <f t="shared" si="0"/>
        <v>17.368539999999996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 t="s">
        <v>62</v>
      </c>
      <c r="H58" s="51">
        <v>1981</v>
      </c>
      <c r="I58" s="45">
        <v>3353</v>
      </c>
      <c r="J58" s="52">
        <v>2</v>
      </c>
      <c r="K58" s="53">
        <f t="shared" si="0"/>
        <v>13.284586000000001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3086</v>
      </c>
      <c r="B60" s="45" t="s">
        <v>21</v>
      </c>
      <c r="C60" s="46">
        <v>46.76</v>
      </c>
      <c r="D60" s="47" t="s">
        <v>272</v>
      </c>
      <c r="E60" s="48">
        <v>8</v>
      </c>
      <c r="F60" s="49">
        <v>3.6</v>
      </c>
      <c r="G60" s="50" t="s">
        <v>62</v>
      </c>
      <c r="H60" s="51">
        <v>1981</v>
      </c>
      <c r="I60" s="45">
        <v>3353</v>
      </c>
      <c r="J60" s="52">
        <v>1</v>
      </c>
      <c r="K60" s="53">
        <f t="shared" si="0"/>
        <v>6.6422930000000004</v>
      </c>
      <c r="L60" s="54" t="s">
        <v>3092</v>
      </c>
    </row>
    <row r="61" spans="1:12" s="55" customFormat="1" ht="19.5" customHeight="1" x14ac:dyDescent="0.3">
      <c r="A61" s="44" t="s">
        <v>3090</v>
      </c>
      <c r="B61" s="45" t="s">
        <v>21</v>
      </c>
      <c r="C61" s="46">
        <v>46.76</v>
      </c>
      <c r="D61" s="47" t="s">
        <v>272</v>
      </c>
      <c r="E61" s="48">
        <v>4</v>
      </c>
      <c r="F61" s="49">
        <v>1.6</v>
      </c>
      <c r="G61" s="50" t="s">
        <v>19</v>
      </c>
      <c r="H61" s="51">
        <v>1981</v>
      </c>
      <c r="I61" s="45">
        <v>3048</v>
      </c>
      <c r="J61" s="52">
        <v>2</v>
      </c>
      <c r="K61" s="53">
        <f t="shared" si="0"/>
        <v>12.076176000000002</v>
      </c>
      <c r="L61" s="54" t="s">
        <v>3092</v>
      </c>
    </row>
    <row r="62" spans="1:12" s="55" customFormat="1" ht="19.5" customHeight="1" x14ac:dyDescent="0.3">
      <c r="A62" s="44" t="s">
        <v>3087</v>
      </c>
      <c r="B62" s="45" t="s">
        <v>21</v>
      </c>
      <c r="C62" s="46">
        <v>46.76</v>
      </c>
      <c r="D62" s="47" t="s">
        <v>272</v>
      </c>
      <c r="E62" s="48">
        <v>4</v>
      </c>
      <c r="F62" s="49">
        <v>1.8</v>
      </c>
      <c r="G62" s="50"/>
      <c r="H62" s="51"/>
      <c r="I62" s="45"/>
      <c r="J62" s="52"/>
      <c r="K62" s="53">
        <f t="shared" si="0"/>
        <v>0</v>
      </c>
      <c r="L62" s="54" t="s">
        <v>3092</v>
      </c>
    </row>
    <row r="63" spans="1:12" s="55" customFormat="1" ht="19.5" customHeight="1" x14ac:dyDescent="0.3">
      <c r="A63" s="44" t="s">
        <v>3088</v>
      </c>
      <c r="B63" s="45" t="s">
        <v>21</v>
      </c>
      <c r="C63" s="46">
        <v>46.76</v>
      </c>
      <c r="D63" s="47" t="s">
        <v>272</v>
      </c>
      <c r="E63" s="48">
        <v>4</v>
      </c>
      <c r="F63" s="49">
        <v>1.8</v>
      </c>
      <c r="G63" s="50"/>
      <c r="H63" s="51"/>
      <c r="I63" s="45"/>
      <c r="J63" s="52"/>
      <c r="K63" s="53">
        <f t="shared" si="0"/>
        <v>0</v>
      </c>
      <c r="L63" s="54" t="s">
        <v>3092</v>
      </c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3086</v>
      </c>
      <c r="B65" s="45" t="s">
        <v>21</v>
      </c>
      <c r="C65" s="46">
        <v>25.76</v>
      </c>
      <c r="D65" s="47" t="s">
        <v>227</v>
      </c>
      <c r="E65" s="48">
        <v>72</v>
      </c>
      <c r="F65" s="49">
        <v>41.76</v>
      </c>
      <c r="G65" s="50" t="s">
        <v>39</v>
      </c>
      <c r="H65" s="51">
        <v>2134</v>
      </c>
      <c r="I65" s="45">
        <v>3353</v>
      </c>
      <c r="J65" s="52">
        <v>7</v>
      </c>
      <c r="K65" s="53">
        <f t="shared" ref="K65:K75" si="2">(H65/1000*I65/1000)*J65</f>
        <v>50.087114</v>
      </c>
      <c r="L65" s="54"/>
    </row>
    <row r="66" spans="1:12" s="55" customFormat="1" ht="19.5" customHeight="1" x14ac:dyDescent="0.3">
      <c r="A66" s="44"/>
      <c r="B66" s="45"/>
      <c r="C66" s="46">
        <v>22</v>
      </c>
      <c r="D66" s="47" t="s">
        <v>17</v>
      </c>
      <c r="E66" s="48">
        <v>168</v>
      </c>
      <c r="F66" s="49">
        <v>152.32</v>
      </c>
      <c r="G66" s="50" t="s">
        <v>19</v>
      </c>
      <c r="H66" s="51">
        <v>1981</v>
      </c>
      <c r="I66" s="45">
        <v>3353</v>
      </c>
      <c r="J66" s="52">
        <v>25</v>
      </c>
      <c r="K66" s="53">
        <f t="shared" si="2"/>
        <v>166.05732500000002</v>
      </c>
      <c r="L66" s="54" t="s">
        <v>106</v>
      </c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2"/>
        <v>0</v>
      </c>
      <c r="L67" s="54"/>
    </row>
    <row r="68" spans="1:12" s="55" customFormat="1" ht="19.5" customHeight="1" x14ac:dyDescent="0.3">
      <c r="A68" s="44" t="s">
        <v>3090</v>
      </c>
      <c r="B68" s="45" t="s">
        <v>21</v>
      </c>
      <c r="C68" s="46">
        <v>25.76</v>
      </c>
      <c r="D68" s="47" t="s">
        <v>227</v>
      </c>
      <c r="E68" s="48">
        <v>36</v>
      </c>
      <c r="F68" s="49">
        <v>18.48</v>
      </c>
      <c r="G68" s="50" t="s">
        <v>39</v>
      </c>
      <c r="H68" s="51">
        <v>2134</v>
      </c>
      <c r="I68" s="45">
        <v>3353</v>
      </c>
      <c r="J68" s="52">
        <v>3</v>
      </c>
      <c r="K68" s="53">
        <f t="shared" si="2"/>
        <v>21.465906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2"/>
        <v>0</v>
      </c>
      <c r="L69" s="54"/>
    </row>
    <row r="70" spans="1:12" s="55" customFormat="1" ht="19.5" customHeight="1" x14ac:dyDescent="0.3">
      <c r="A70" s="44" t="s">
        <v>3087</v>
      </c>
      <c r="B70" s="45" t="s">
        <v>21</v>
      </c>
      <c r="C70" s="46">
        <v>25.76</v>
      </c>
      <c r="D70" s="47" t="s">
        <v>227</v>
      </c>
      <c r="E70" s="48">
        <v>28</v>
      </c>
      <c r="F70" s="49">
        <v>13.36</v>
      </c>
      <c r="G70" s="50" t="s">
        <v>39</v>
      </c>
      <c r="H70" s="51">
        <v>2134</v>
      </c>
      <c r="I70" s="45">
        <v>3353</v>
      </c>
      <c r="J70" s="52">
        <v>2</v>
      </c>
      <c r="K70" s="53">
        <f t="shared" si="2"/>
        <v>14.310604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2"/>
        <v>0</v>
      </c>
      <c r="L71" s="54"/>
    </row>
    <row r="72" spans="1:12" s="55" customFormat="1" ht="19.5" customHeight="1" x14ac:dyDescent="0.3">
      <c r="A72" s="44" t="s">
        <v>3088</v>
      </c>
      <c r="B72" s="45" t="s">
        <v>21</v>
      </c>
      <c r="C72" s="46">
        <v>25.76</v>
      </c>
      <c r="D72" s="47" t="s">
        <v>227</v>
      </c>
      <c r="E72" s="48">
        <v>28</v>
      </c>
      <c r="F72" s="49">
        <v>16.64</v>
      </c>
      <c r="G72" s="50" t="s">
        <v>39</v>
      </c>
      <c r="H72" s="51">
        <v>2134</v>
      </c>
      <c r="I72" s="45">
        <v>3353</v>
      </c>
      <c r="J72" s="52">
        <v>2</v>
      </c>
      <c r="K72" s="53">
        <f t="shared" si="2"/>
        <v>14.310604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2"/>
        <v>0</v>
      </c>
      <c r="L73" s="54"/>
    </row>
    <row r="74" spans="1:12" s="55" customFormat="1" ht="19.5" customHeight="1" x14ac:dyDescent="0.3">
      <c r="A74" s="44" t="s">
        <v>3093</v>
      </c>
      <c r="B74" s="45" t="s">
        <v>1568</v>
      </c>
      <c r="C74" s="46">
        <v>39</v>
      </c>
      <c r="D74" s="47" t="s">
        <v>1569</v>
      </c>
      <c r="E74" s="48">
        <v>89</v>
      </c>
      <c r="F74" s="49">
        <v>108.45</v>
      </c>
      <c r="G74" s="50" t="s">
        <v>18</v>
      </c>
      <c r="H74" s="51">
        <v>1981</v>
      </c>
      <c r="I74" s="45">
        <v>3353</v>
      </c>
      <c r="J74" s="52">
        <v>18</v>
      </c>
      <c r="K74" s="53">
        <f t="shared" si="2"/>
        <v>119.56127400000001</v>
      </c>
      <c r="L74" s="54" t="s">
        <v>3094</v>
      </c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2"/>
        <v>0</v>
      </c>
      <c r="L75" s="54"/>
    </row>
    <row r="76" spans="1:12" s="55" customFormat="1" ht="19.5" customHeight="1" x14ac:dyDescent="0.3">
      <c r="A76" s="44" t="s">
        <v>3095</v>
      </c>
      <c r="B76" s="45" t="s">
        <v>1568</v>
      </c>
      <c r="C76" s="46">
        <v>39</v>
      </c>
      <c r="D76" s="47" t="s">
        <v>1569</v>
      </c>
      <c r="E76" s="48">
        <v>89</v>
      </c>
      <c r="F76" s="49">
        <v>108.45</v>
      </c>
      <c r="G76" s="50" t="s">
        <v>18</v>
      </c>
      <c r="H76" s="51">
        <v>1981</v>
      </c>
      <c r="I76" s="45">
        <v>3353</v>
      </c>
      <c r="J76" s="52">
        <v>18</v>
      </c>
      <c r="K76" s="53">
        <f t="shared" si="0"/>
        <v>119.56127400000001</v>
      </c>
      <c r="L76" s="54" t="s">
        <v>3094</v>
      </c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 t="s">
        <v>57</v>
      </c>
      <c r="B78" s="76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 t="s">
        <v>3098</v>
      </c>
      <c r="B79" s="45" t="s">
        <v>21</v>
      </c>
      <c r="C79" s="46">
        <v>22</v>
      </c>
      <c r="D79" s="47" t="s">
        <v>17</v>
      </c>
      <c r="E79" s="48">
        <v>80</v>
      </c>
      <c r="F79" s="49">
        <v>69.36</v>
      </c>
      <c r="G79" s="50" t="s">
        <v>3099</v>
      </c>
      <c r="H79" s="51">
        <v>1981</v>
      </c>
      <c r="I79" s="45">
        <v>3353</v>
      </c>
      <c r="J79" s="52">
        <v>11</v>
      </c>
      <c r="K79" s="53">
        <f t="shared" ref="K79:K84" si="3">(H79/1000*I79/1000)*J79</f>
        <v>73.065223000000003</v>
      </c>
      <c r="L79" s="54"/>
    </row>
    <row r="80" spans="1:12" s="55" customFormat="1" ht="19.5" customHeight="1" x14ac:dyDescent="0.3">
      <c r="A80" s="44"/>
      <c r="B80" s="76"/>
      <c r="C80" s="46"/>
      <c r="D80" s="47"/>
      <c r="E80" s="48"/>
      <c r="F80" s="49"/>
      <c r="G80" s="50" t="s">
        <v>19</v>
      </c>
      <c r="H80" s="51">
        <v>1981</v>
      </c>
      <c r="I80" s="45">
        <v>3353</v>
      </c>
      <c r="J80" s="52">
        <v>12</v>
      </c>
      <c r="K80" s="53">
        <f t="shared" si="3"/>
        <v>79.707515999999998</v>
      </c>
      <c r="L80" s="54"/>
    </row>
    <row r="81" spans="1:12" s="55" customFormat="1" ht="19.5" customHeight="1" x14ac:dyDescent="0.3">
      <c r="A81" s="44"/>
      <c r="B81" s="76"/>
      <c r="C81" s="46"/>
      <c r="D81" s="47"/>
      <c r="E81" s="48"/>
      <c r="F81" s="49"/>
      <c r="G81" s="50"/>
      <c r="H81" s="51"/>
      <c r="I81" s="45"/>
      <c r="J81" s="52"/>
      <c r="K81" s="53">
        <f t="shared" si="3"/>
        <v>0</v>
      </c>
      <c r="L81" s="54"/>
    </row>
    <row r="82" spans="1:12" s="55" customFormat="1" ht="19.5" customHeight="1" x14ac:dyDescent="0.3">
      <c r="A82" s="44" t="s">
        <v>3086</v>
      </c>
      <c r="B82" s="45" t="s">
        <v>21</v>
      </c>
      <c r="C82" s="46">
        <v>22</v>
      </c>
      <c r="D82" s="47" t="s">
        <v>17</v>
      </c>
      <c r="E82" s="48">
        <v>168</v>
      </c>
      <c r="F82" s="49">
        <v>152.32</v>
      </c>
      <c r="G82" s="50" t="s">
        <v>3099</v>
      </c>
      <c r="H82" s="51">
        <v>1981</v>
      </c>
      <c r="I82" s="45">
        <v>3353</v>
      </c>
      <c r="J82" s="52">
        <v>25</v>
      </c>
      <c r="K82" s="53">
        <f t="shared" si="3"/>
        <v>166.05732500000002</v>
      </c>
      <c r="L82" s="54" t="s">
        <v>3100</v>
      </c>
    </row>
    <row r="83" spans="1:12" s="55" customFormat="1" ht="19.5" customHeight="1" x14ac:dyDescent="0.3">
      <c r="A83" s="44"/>
      <c r="B83" s="76"/>
      <c r="C83" s="46"/>
      <c r="D83" s="47"/>
      <c r="E83" s="48"/>
      <c r="F83" s="49"/>
      <c r="G83" s="50"/>
      <c r="H83" s="51"/>
      <c r="I83" s="45"/>
      <c r="J83" s="52"/>
      <c r="K83" s="53">
        <f t="shared" si="3"/>
        <v>0</v>
      </c>
      <c r="L83" s="54"/>
    </row>
    <row r="84" spans="1:12" s="55" customFormat="1" ht="19.5" customHeight="1" x14ac:dyDescent="0.3">
      <c r="A84" s="44"/>
      <c r="B84" s="45"/>
      <c r="C84" s="46"/>
      <c r="D84" s="47"/>
      <c r="E84" s="48"/>
      <c r="F84" s="49"/>
      <c r="G84" s="50"/>
      <c r="H84" s="51"/>
      <c r="I84" s="45"/>
      <c r="J84" s="52"/>
      <c r="K84" s="53">
        <f t="shared" si="3"/>
        <v>0</v>
      </c>
      <c r="L84" s="54"/>
    </row>
    <row r="85" spans="1:12" s="55" customFormat="1" ht="19.5" customHeight="1" x14ac:dyDescent="0.3">
      <c r="A85" s="44"/>
      <c r="B85" s="76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5" customFormat="1" ht="19.5" customHeight="1" x14ac:dyDescent="0.3">
      <c r="A86" s="44"/>
      <c r="B86" s="76"/>
      <c r="C86" s="46"/>
      <c r="D86" s="47"/>
      <c r="E86" s="48"/>
      <c r="F86" s="49"/>
      <c r="G86" s="50"/>
      <c r="H86" s="51"/>
      <c r="I86" s="45"/>
      <c r="J86" s="52"/>
      <c r="K86" s="53">
        <f t="shared" si="0"/>
        <v>0</v>
      </c>
      <c r="L86" s="54"/>
    </row>
    <row r="87" spans="1:12" s="55" customFormat="1" ht="19.5" customHeight="1" x14ac:dyDescent="0.3">
      <c r="A87" s="44"/>
      <c r="B87" s="76"/>
      <c r="C87" s="46"/>
      <c r="D87" s="47"/>
      <c r="E87" s="48"/>
      <c r="F87" s="49"/>
      <c r="G87" s="50"/>
      <c r="H87" s="51"/>
      <c r="I87" s="45"/>
      <c r="J87" s="52"/>
      <c r="K87" s="53">
        <f t="shared" si="0"/>
        <v>0</v>
      </c>
      <c r="L87" s="54"/>
    </row>
    <row r="88" spans="1:12" s="55" customFormat="1" ht="19.5" customHeight="1" x14ac:dyDescent="0.3">
      <c r="A88" s="44"/>
      <c r="B88" s="76"/>
      <c r="C88" s="46"/>
      <c r="D88" s="47"/>
      <c r="E88" s="48"/>
      <c r="F88" s="49"/>
      <c r="G88" s="50"/>
      <c r="H88" s="51"/>
      <c r="I88" s="45"/>
      <c r="J88" s="52"/>
      <c r="K88" s="53">
        <f t="shared" si="0"/>
        <v>0</v>
      </c>
      <c r="L88" s="54"/>
    </row>
    <row r="89" spans="1:12" s="55" customFormat="1" ht="19.5" customHeight="1" x14ac:dyDescent="0.3">
      <c r="A89" s="44"/>
      <c r="B89" s="76"/>
      <c r="C89" s="46"/>
      <c r="D89" s="47"/>
      <c r="E89" s="48"/>
      <c r="F89" s="49"/>
      <c r="G89" s="50"/>
      <c r="H89" s="51"/>
      <c r="I89" s="45"/>
      <c r="J89" s="52"/>
      <c r="K89" s="53">
        <f t="shared" si="0"/>
        <v>0</v>
      </c>
      <c r="L89" s="54"/>
    </row>
    <row r="90" spans="1:12" s="55" customFormat="1" ht="19.5" customHeight="1" x14ac:dyDescent="0.3">
      <c r="A90" s="44"/>
      <c r="B90" s="45"/>
      <c r="C90" s="46"/>
      <c r="D90" s="47"/>
      <c r="E90" s="48"/>
      <c r="F90" s="49"/>
      <c r="G90" s="50"/>
      <c r="H90" s="51"/>
      <c r="I90" s="45"/>
      <c r="J90" s="52"/>
      <c r="K90" s="53">
        <f t="shared" si="0"/>
        <v>0</v>
      </c>
      <c r="L90" s="54"/>
    </row>
    <row r="91" spans="1:12" s="59" customFormat="1" ht="20.100000000000001" customHeight="1" x14ac:dyDescent="0.3">
      <c r="A91" s="44"/>
      <c r="B91" s="45"/>
      <c r="C91" s="46"/>
      <c r="D91" s="47"/>
      <c r="E91" s="56"/>
      <c r="F91" s="57"/>
      <c r="G91" s="50"/>
      <c r="H91" s="51"/>
      <c r="I91" s="45"/>
      <c r="J91" s="52"/>
      <c r="K91" s="53">
        <f t="shared" si="0"/>
        <v>0</v>
      </c>
      <c r="L91" s="58">
        <f>SUM(J46:J92)</f>
        <v>149</v>
      </c>
    </row>
    <row r="92" spans="1:12" s="59" customFormat="1" ht="20.100000000000001" customHeight="1" x14ac:dyDescent="0.3">
      <c r="A92" s="44"/>
      <c r="B92" s="45"/>
      <c r="C92" s="46"/>
      <c r="D92" s="47"/>
      <c r="E92" s="60"/>
      <c r="F92" s="61"/>
      <c r="G92" s="62"/>
      <c r="H92" s="51"/>
      <c r="I92" s="45"/>
      <c r="J92" s="63"/>
      <c r="K92" s="53">
        <f t="shared" si="0"/>
        <v>0</v>
      </c>
      <c r="L92" s="64">
        <f>SUM(K46:K92)</f>
        <v>1009.5034780000001</v>
      </c>
    </row>
    <row r="93" spans="1:12" s="59" customFormat="1" ht="20.100000000000001" customHeight="1" thickBot="1" x14ac:dyDescent="0.35">
      <c r="A93" s="114"/>
      <c r="B93" s="115"/>
      <c r="C93" s="115"/>
      <c r="D93" s="115"/>
      <c r="E93" s="115"/>
      <c r="F93" s="115"/>
      <c r="G93" s="115"/>
      <c r="H93" s="115"/>
      <c r="I93" s="115"/>
      <c r="J93" s="65">
        <f>SUM(J7:J92)</f>
        <v>365</v>
      </c>
      <c r="K93" s="66">
        <f>SUM(K7:K92)</f>
        <v>2344.8705939999995</v>
      </c>
      <c r="L93" s="67"/>
    </row>
    <row r="94" spans="1:12" s="59" customFormat="1" ht="20.100000000000001" customHeight="1" thickTop="1" thickBot="1" x14ac:dyDescent="0.35">
      <c r="A94" s="116" t="s">
        <v>52</v>
      </c>
      <c r="B94" s="117"/>
      <c r="C94" s="68"/>
      <c r="D94" s="118">
        <f>J93</f>
        <v>365</v>
      </c>
      <c r="E94" s="119"/>
      <c r="F94" s="119"/>
      <c r="G94" s="120"/>
      <c r="H94" s="121"/>
      <c r="I94" s="121"/>
      <c r="J94" s="122"/>
      <c r="K94" s="119"/>
      <c r="L94" s="123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71"/>
    </row>
    <row r="96" spans="1:12" s="59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113"/>
      <c r="B99" s="113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113"/>
      <c r="B100" s="113"/>
      <c r="C100" s="5"/>
      <c r="D100" s="5"/>
      <c r="E100" s="72"/>
      <c r="F100" s="5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113"/>
      <c r="B101" s="113"/>
      <c r="C101" s="5"/>
      <c r="D101" s="5"/>
      <c r="E101" s="5"/>
      <c r="F101" s="5"/>
      <c r="G101" s="73"/>
      <c r="H101" s="5"/>
      <c r="I101" s="74"/>
      <c r="J101" s="5"/>
      <c r="K101" s="5"/>
      <c r="L101" s="5"/>
    </row>
    <row r="102" spans="1:12" s="59" customFormat="1" ht="20.100000000000001" customHeight="1" x14ac:dyDescent="0.3">
      <c r="A102" s="113"/>
      <c r="B102" s="113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59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59" customFormat="1" ht="20.100000000000001" customHeight="1" x14ac:dyDescent="0.3">
      <c r="A104" s="113"/>
      <c r="B104" s="113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59" customFormat="1" ht="20.100000000000001" customHeight="1" x14ac:dyDescent="0.3">
      <c r="A105" s="113"/>
      <c r="B105" s="113"/>
      <c r="C105" s="5"/>
      <c r="D105" s="5"/>
      <c r="E105" s="5"/>
      <c r="F105" s="70"/>
      <c r="G105" s="5"/>
      <c r="H105" s="72"/>
      <c r="I105" s="72"/>
      <c r="J105" s="5"/>
      <c r="K105" s="5"/>
      <c r="L105" s="5"/>
    </row>
    <row r="106" spans="1:12" ht="20.100000000000001" customHeight="1" x14ac:dyDescent="0.3">
      <c r="A106" s="113"/>
      <c r="B106" s="113"/>
      <c r="H106" s="72"/>
      <c r="I106" s="72"/>
    </row>
    <row r="107" spans="1:12" ht="20.100000000000001" customHeight="1" x14ac:dyDescent="0.3">
      <c r="H107" s="72"/>
      <c r="I107" s="72"/>
    </row>
    <row r="108" spans="1:12" ht="20.100000000000001" customHeight="1" x14ac:dyDescent="0.3">
      <c r="H108" s="72"/>
      <c r="I108" s="72"/>
    </row>
    <row r="109" spans="1:12" ht="20.100000000000001" customHeight="1" x14ac:dyDescent="0.3">
      <c r="A109" s="113"/>
      <c r="B109" s="113"/>
      <c r="H109" s="72"/>
      <c r="I109" s="72"/>
    </row>
    <row r="110" spans="1:12" ht="20.100000000000001" customHeight="1" x14ac:dyDescent="0.3">
      <c r="A110" s="113"/>
      <c r="B110" s="113"/>
      <c r="H110" s="72"/>
      <c r="I110" s="72"/>
    </row>
    <row r="111" spans="1:12" ht="20.100000000000001" customHeight="1" x14ac:dyDescent="0.3">
      <c r="H111" s="72"/>
      <c r="I111" s="72"/>
    </row>
    <row r="112" spans="1:12" ht="20.100000000000001" customHeight="1" x14ac:dyDescent="0.3">
      <c r="H112" s="72"/>
      <c r="I112" s="72"/>
    </row>
    <row r="113" spans="1:12" ht="20.100000000000001" customHeight="1" x14ac:dyDescent="0.3">
      <c r="H113" s="72"/>
      <c r="I113" s="72"/>
    </row>
    <row r="114" spans="1:12" s="72" customFormat="1" ht="20.100000000000001" customHeight="1" x14ac:dyDescent="0.3">
      <c r="A114" s="69"/>
      <c r="B114" s="5"/>
      <c r="C114" s="5"/>
      <c r="D114" s="5"/>
      <c r="E114" s="5"/>
      <c r="F114" s="70"/>
      <c r="G114" s="5"/>
      <c r="J114" s="5"/>
      <c r="K114" s="5"/>
      <c r="L114" s="5"/>
    </row>
    <row r="115" spans="1:12" s="72" customFormat="1" ht="20.100000000000001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s="75" customFormat="1" ht="20.100000000000001" customHeight="1" x14ac:dyDescent="0.3">
      <c r="A116" s="69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s="75" customFormat="1" ht="20.100000000000001" customHeight="1" x14ac:dyDescent="0.3">
      <c r="A117" s="69"/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75" customFormat="1" ht="19.5" customHeight="1" x14ac:dyDescent="0.3">
      <c r="A118" s="69"/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72" customFormat="1" ht="20.100000000000001" customHeight="1" x14ac:dyDescent="0.3">
      <c r="A119" s="69"/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72" customFormat="1" ht="20.100000000000001" customHeight="1" x14ac:dyDescent="0.3">
      <c r="A120" s="69"/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ht="19.5" customHeight="1" x14ac:dyDescent="0.3"/>
    <row r="122" spans="1:12" ht="19.5" customHeight="1" x14ac:dyDescent="0.3"/>
    <row r="123" spans="1:12" ht="19.5" customHeight="1" x14ac:dyDescent="0.3"/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ht="19.5" customHeight="1" x14ac:dyDescent="0.3"/>
    <row r="148" spans="2:12" ht="19.5" customHeight="1" x14ac:dyDescent="0.3"/>
    <row r="149" spans="2:12" ht="19.5" customHeight="1" x14ac:dyDescent="0.3"/>
    <row r="150" spans="2:12" ht="19.5" customHeight="1" x14ac:dyDescent="0.3"/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>
        <v>2</v>
      </c>
      <c r="C184" s="5"/>
      <c r="D184" s="5"/>
      <c r="E184" s="5"/>
      <c r="F184" s="70"/>
      <c r="G184" s="5"/>
      <c r="H184" s="5"/>
      <c r="I184" s="5"/>
      <c r="J184" s="5"/>
      <c r="K184" s="5"/>
      <c r="L184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9:B9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93:I93"/>
    <mergeCell ref="A94:B94"/>
    <mergeCell ref="D94:G94"/>
    <mergeCell ref="H94:J94"/>
    <mergeCell ref="K94:L94"/>
    <mergeCell ref="A109:B109"/>
    <mergeCell ref="A110:B110"/>
    <mergeCell ref="A100:B100"/>
    <mergeCell ref="A101:B101"/>
    <mergeCell ref="A102:B102"/>
    <mergeCell ref="A104:B104"/>
    <mergeCell ref="A105:B105"/>
    <mergeCell ref="A106:B106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L169"/>
  <sheetViews>
    <sheetView view="pageBreakPreview" topLeftCell="F61" zoomScale="85" zoomScaleSheetLayoutView="85" workbookViewId="0">
      <selection activeCell="L76" sqref="L76:L7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46132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7" si="0">(H7/1000*I7/1000)*J7</f>
        <v>0</v>
      </c>
      <c r="L7" s="26">
        <f>SUM(J7:J45)</f>
        <v>232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SUM(K7:K45)</f>
        <v>1456.5198129999997</v>
      </c>
    </row>
    <row r="9" spans="1:12" s="27" customFormat="1" ht="19.5" customHeight="1" x14ac:dyDescent="0.3">
      <c r="A9" s="28" t="s">
        <v>3053</v>
      </c>
      <c r="B9" s="16" t="s">
        <v>132</v>
      </c>
      <c r="C9" s="17">
        <v>5</v>
      </c>
      <c r="D9" s="18" t="s">
        <v>3054</v>
      </c>
      <c r="E9" s="41">
        <v>3</v>
      </c>
      <c r="F9" s="42">
        <v>7.1</v>
      </c>
      <c r="G9" s="34" t="s">
        <v>49</v>
      </c>
      <c r="H9" s="35">
        <v>1981</v>
      </c>
      <c r="I9" s="36">
        <v>3353</v>
      </c>
      <c r="J9" s="37">
        <v>2</v>
      </c>
      <c r="K9" s="25">
        <f t="shared" si="0"/>
        <v>13.284586000000001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25">
        <f t="shared" si="0"/>
        <v>0</v>
      </c>
      <c r="L10" s="39"/>
    </row>
    <row r="11" spans="1:12" s="27" customFormat="1" ht="19.5" customHeight="1" x14ac:dyDescent="0.3">
      <c r="A11" s="28" t="s">
        <v>3055</v>
      </c>
      <c r="B11" s="16" t="s">
        <v>2720</v>
      </c>
      <c r="C11" s="17">
        <v>22</v>
      </c>
      <c r="D11" s="18" t="s">
        <v>45</v>
      </c>
      <c r="E11" s="41">
        <v>75</v>
      </c>
      <c r="F11" s="42">
        <v>60.05</v>
      </c>
      <c r="G11" s="34" t="s">
        <v>49</v>
      </c>
      <c r="H11" s="35">
        <v>1829</v>
      </c>
      <c r="I11" s="36">
        <v>3353</v>
      </c>
      <c r="J11" s="37">
        <v>12</v>
      </c>
      <c r="K11" s="25">
        <f t="shared" si="0"/>
        <v>73.591644000000002</v>
      </c>
      <c r="L11" s="39"/>
    </row>
    <row r="12" spans="1:12" s="27" customFormat="1" ht="19.5" customHeight="1" x14ac:dyDescent="0.3">
      <c r="A12" s="28"/>
      <c r="B12" s="16"/>
      <c r="C12" s="17">
        <v>22</v>
      </c>
      <c r="D12" s="18" t="s">
        <v>17</v>
      </c>
      <c r="E12" s="41">
        <v>75</v>
      </c>
      <c r="F12" s="42">
        <v>60.05</v>
      </c>
      <c r="G12" s="34" t="s">
        <v>18</v>
      </c>
      <c r="H12" s="35">
        <v>1981</v>
      </c>
      <c r="I12" s="36">
        <v>3353</v>
      </c>
      <c r="J12" s="37">
        <v>9</v>
      </c>
      <c r="K12" s="25">
        <f t="shared" si="0"/>
        <v>59.780637000000006</v>
      </c>
      <c r="L12" s="39"/>
    </row>
    <row r="13" spans="1:12" s="27" customFormat="1" ht="19.5" customHeight="1" x14ac:dyDescent="0.3">
      <c r="A13" s="28"/>
      <c r="B13" s="16"/>
      <c r="C13" s="17">
        <v>22</v>
      </c>
      <c r="D13" s="18" t="s">
        <v>45</v>
      </c>
      <c r="E13" s="41">
        <v>20</v>
      </c>
      <c r="F13" s="42">
        <v>19.399999999999999</v>
      </c>
      <c r="G13" s="34" t="s">
        <v>18</v>
      </c>
      <c r="H13" s="35">
        <v>1981</v>
      </c>
      <c r="I13" s="36">
        <v>3048</v>
      </c>
      <c r="J13" s="37">
        <v>1</v>
      </c>
      <c r="K13" s="25">
        <f t="shared" si="0"/>
        <v>6.038088000000001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19</v>
      </c>
      <c r="H14" s="35">
        <v>1981</v>
      </c>
      <c r="I14" s="36">
        <v>3048</v>
      </c>
      <c r="J14" s="37">
        <v>14</v>
      </c>
      <c r="K14" s="25">
        <f t="shared" si="0"/>
        <v>84.533232000000012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19</v>
      </c>
      <c r="H15" s="35">
        <v>1981</v>
      </c>
      <c r="I15" s="36">
        <v>3353</v>
      </c>
      <c r="J15" s="37">
        <v>10</v>
      </c>
      <c r="K15" s="25">
        <f t="shared" si="0"/>
        <v>66.422930000000008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 t="s">
        <v>3056</v>
      </c>
      <c r="B17" s="16" t="s">
        <v>2720</v>
      </c>
      <c r="C17" s="17">
        <v>22</v>
      </c>
      <c r="D17" s="18" t="s">
        <v>45</v>
      </c>
      <c r="E17" s="41">
        <v>75</v>
      </c>
      <c r="F17" s="42">
        <v>57.65</v>
      </c>
      <c r="G17" s="34" t="s">
        <v>49</v>
      </c>
      <c r="H17" s="35">
        <v>1829</v>
      </c>
      <c r="I17" s="36">
        <v>3353</v>
      </c>
      <c r="J17" s="37">
        <v>13</v>
      </c>
      <c r="K17" s="25">
        <f t="shared" si="0"/>
        <v>79.724281000000005</v>
      </c>
      <c r="L17" s="39"/>
    </row>
    <row r="18" spans="1:12" s="27" customFormat="1" ht="19.5" customHeight="1" x14ac:dyDescent="0.3">
      <c r="A18" s="28"/>
      <c r="B18" s="16"/>
      <c r="C18" s="17">
        <v>22</v>
      </c>
      <c r="D18" s="18" t="s">
        <v>45</v>
      </c>
      <c r="E18" s="41">
        <v>20</v>
      </c>
      <c r="F18" s="42">
        <v>16.600000000000001</v>
      </c>
      <c r="G18" s="34" t="s">
        <v>19</v>
      </c>
      <c r="H18" s="35">
        <v>1981</v>
      </c>
      <c r="I18" s="36">
        <v>3353</v>
      </c>
      <c r="J18" s="37">
        <v>12</v>
      </c>
      <c r="K18" s="25">
        <f t="shared" si="0"/>
        <v>79.707515999999998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25">
        <f t="shared" si="0"/>
        <v>0</v>
      </c>
      <c r="L19" s="39"/>
    </row>
    <row r="20" spans="1:12" s="27" customFormat="1" ht="19.5" customHeight="1" x14ac:dyDescent="0.3">
      <c r="A20" s="28" t="s">
        <v>3184</v>
      </c>
      <c r="B20" s="16" t="s">
        <v>2720</v>
      </c>
      <c r="C20" s="17">
        <v>22</v>
      </c>
      <c r="D20" s="18" t="s">
        <v>17</v>
      </c>
      <c r="E20" s="41">
        <v>75</v>
      </c>
      <c r="F20" s="42">
        <v>57.65</v>
      </c>
      <c r="G20" s="34" t="s">
        <v>18</v>
      </c>
      <c r="H20" s="35">
        <v>1981</v>
      </c>
      <c r="I20" s="36">
        <v>3353</v>
      </c>
      <c r="J20" s="37">
        <v>9</v>
      </c>
      <c r="K20" s="25">
        <f t="shared" ref="K20:K22" si="1">(H20/1000*I20/1000)*J20</f>
        <v>59.780637000000006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 t="s">
        <v>19</v>
      </c>
      <c r="H21" s="35">
        <v>1981</v>
      </c>
      <c r="I21" s="36">
        <v>3353</v>
      </c>
      <c r="J21" s="37">
        <v>9</v>
      </c>
      <c r="K21" s="25">
        <f t="shared" si="1"/>
        <v>59.780637000000006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25">
        <f t="shared" si="1"/>
        <v>0</v>
      </c>
      <c r="L22" s="39"/>
    </row>
    <row r="23" spans="1:12" s="27" customFormat="1" ht="19.5" customHeight="1" x14ac:dyDescent="0.3">
      <c r="A23" s="28" t="s">
        <v>3048</v>
      </c>
      <c r="B23" s="16" t="s">
        <v>2720</v>
      </c>
      <c r="C23" s="17">
        <v>22</v>
      </c>
      <c r="D23" s="18" t="s">
        <v>17</v>
      </c>
      <c r="E23" s="41">
        <v>75</v>
      </c>
      <c r="F23" s="42">
        <v>57.65</v>
      </c>
      <c r="G23" s="34" t="s">
        <v>18</v>
      </c>
      <c r="H23" s="35">
        <v>1981</v>
      </c>
      <c r="I23" s="36">
        <v>3353</v>
      </c>
      <c r="J23" s="37">
        <v>9</v>
      </c>
      <c r="K23" s="25">
        <f t="shared" si="0"/>
        <v>59.780637000000006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19</v>
      </c>
      <c r="H24" s="35">
        <v>1981</v>
      </c>
      <c r="I24" s="36">
        <v>3353</v>
      </c>
      <c r="J24" s="37">
        <v>9</v>
      </c>
      <c r="K24" s="25">
        <f t="shared" si="0"/>
        <v>59.780637000000006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25">
        <f t="shared" si="0"/>
        <v>0</v>
      </c>
      <c r="L25" s="39"/>
    </row>
    <row r="26" spans="1:12" s="27" customFormat="1" ht="19.5" customHeight="1" x14ac:dyDescent="0.3">
      <c r="A26" s="28" t="s">
        <v>3057</v>
      </c>
      <c r="B26" s="16" t="s">
        <v>306</v>
      </c>
      <c r="C26" s="17">
        <v>22</v>
      </c>
      <c r="D26" s="18" t="s">
        <v>307</v>
      </c>
      <c r="E26" s="41">
        <v>77</v>
      </c>
      <c r="F26" s="42">
        <v>75.569999999999993</v>
      </c>
      <c r="G26" s="34" t="s">
        <v>49</v>
      </c>
      <c r="H26" s="35">
        <v>1829</v>
      </c>
      <c r="I26" s="36">
        <v>3353</v>
      </c>
      <c r="J26" s="37">
        <v>14</v>
      </c>
      <c r="K26" s="25">
        <f t="shared" si="0"/>
        <v>85.856917999999993</v>
      </c>
      <c r="L26" s="39" t="s">
        <v>321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 t="s">
        <v>39</v>
      </c>
      <c r="H27" s="35">
        <v>1829</v>
      </c>
      <c r="I27" s="36">
        <v>3353</v>
      </c>
      <c r="J27" s="37">
        <v>14</v>
      </c>
      <c r="K27" s="25">
        <f t="shared" si="0"/>
        <v>85.856917999999993</v>
      </c>
      <c r="L27" s="39" t="s">
        <v>321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 t="s">
        <v>57</v>
      </c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 t="s">
        <v>3064</v>
      </c>
      <c r="B30" s="16" t="s">
        <v>3065</v>
      </c>
      <c r="C30" s="17">
        <v>22</v>
      </c>
      <c r="D30" s="18" t="s">
        <v>307</v>
      </c>
      <c r="E30" s="41">
        <v>77</v>
      </c>
      <c r="F30" s="42">
        <v>75.569999999999993</v>
      </c>
      <c r="G30" s="34" t="s">
        <v>49</v>
      </c>
      <c r="H30" s="35">
        <v>1829</v>
      </c>
      <c r="I30" s="36">
        <v>3353</v>
      </c>
      <c r="J30" s="37">
        <v>14</v>
      </c>
      <c r="K30" s="25">
        <f t="shared" si="0"/>
        <v>85.856917999999993</v>
      </c>
      <c r="L30" s="39" t="s">
        <v>321</v>
      </c>
    </row>
    <row r="31" spans="1:12" s="27" customFormat="1" ht="19.5" customHeight="1" x14ac:dyDescent="0.3">
      <c r="A31" s="28"/>
      <c r="B31" s="16"/>
      <c r="C31" s="17">
        <v>22</v>
      </c>
      <c r="D31" s="18" t="s">
        <v>320</v>
      </c>
      <c r="E31" s="41">
        <v>77</v>
      </c>
      <c r="F31" s="42">
        <v>75.569999999999993</v>
      </c>
      <c r="G31" s="34" t="s">
        <v>18</v>
      </c>
      <c r="H31" s="35">
        <v>1829</v>
      </c>
      <c r="I31" s="36">
        <v>3353</v>
      </c>
      <c r="J31" s="37">
        <v>14</v>
      </c>
      <c r="K31" s="25">
        <f t="shared" si="0"/>
        <v>85.856917999999993</v>
      </c>
      <c r="L31" s="39" t="s">
        <v>321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 t="s">
        <v>39</v>
      </c>
      <c r="H32" s="35">
        <v>1829</v>
      </c>
      <c r="I32" s="36">
        <v>3353</v>
      </c>
      <c r="J32" s="37">
        <v>28</v>
      </c>
      <c r="K32" s="25">
        <f t="shared" si="0"/>
        <v>171.71383599999999</v>
      </c>
      <c r="L32" s="39" t="s">
        <v>321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 t="s">
        <v>3066</v>
      </c>
      <c r="B34" s="16" t="s">
        <v>3065</v>
      </c>
      <c r="C34" s="17">
        <v>22</v>
      </c>
      <c r="D34" s="18" t="s">
        <v>307</v>
      </c>
      <c r="E34" s="41">
        <v>162</v>
      </c>
      <c r="F34" s="42">
        <v>126.82</v>
      </c>
      <c r="G34" s="34" t="s">
        <v>39</v>
      </c>
      <c r="H34" s="35">
        <v>1829</v>
      </c>
      <c r="I34" s="36">
        <v>3353</v>
      </c>
      <c r="J34" s="37">
        <v>22</v>
      </c>
      <c r="K34" s="25">
        <f t="shared" si="0"/>
        <v>134.918014</v>
      </c>
      <c r="L34" s="39" t="s">
        <v>321</v>
      </c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 t="s">
        <v>3066</v>
      </c>
      <c r="B36" s="16" t="s">
        <v>3065</v>
      </c>
      <c r="C36" s="17">
        <v>22</v>
      </c>
      <c r="D36" s="18" t="s">
        <v>307</v>
      </c>
      <c r="E36" s="41">
        <v>82</v>
      </c>
      <c r="F36" s="42">
        <v>102.02000000000001</v>
      </c>
      <c r="G36" s="34" t="s">
        <v>49</v>
      </c>
      <c r="H36" s="35">
        <v>1829</v>
      </c>
      <c r="I36" s="36">
        <v>3353</v>
      </c>
      <c r="J36" s="37">
        <v>17</v>
      </c>
      <c r="K36" s="25">
        <f t="shared" si="0"/>
        <v>104.254829</v>
      </c>
      <c r="L36" s="39" t="s">
        <v>3067</v>
      </c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25">
        <f t="shared" si="0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25">
        <f t="shared" si="0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0"/>
        <v>0</v>
      </c>
      <c r="L44" s="39"/>
    </row>
    <row r="45" spans="1:12" s="27" customFormat="1" ht="19.5" customHeight="1" x14ac:dyDescent="0.3">
      <c r="A45" s="28"/>
      <c r="B45" s="29"/>
      <c r="C45" s="30"/>
      <c r="D45" s="31"/>
      <c r="E45" s="41"/>
      <c r="F45" s="42"/>
      <c r="G45" s="43"/>
      <c r="H45" s="35"/>
      <c r="I45" s="36"/>
      <c r="J45" s="37"/>
      <c r="K45" s="38">
        <f t="shared" si="0"/>
        <v>0</v>
      </c>
      <c r="L45" s="39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2815</v>
      </c>
      <c r="B47" s="45" t="s">
        <v>2456</v>
      </c>
      <c r="C47" s="46">
        <v>43</v>
      </c>
      <c r="D47" s="47" t="s">
        <v>791</v>
      </c>
      <c r="E47" s="48">
        <v>1</v>
      </c>
      <c r="F47" s="49">
        <v>0.5</v>
      </c>
      <c r="G47" s="50"/>
      <c r="H47" s="51"/>
      <c r="I47" s="45"/>
      <c r="J47" s="52"/>
      <c r="K47" s="53">
        <f t="shared" si="0"/>
        <v>0</v>
      </c>
      <c r="L47" s="54" t="s">
        <v>892</v>
      </c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97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2773</v>
      </c>
      <c r="B49" s="45" t="s">
        <v>1568</v>
      </c>
      <c r="C49" s="46">
        <v>39</v>
      </c>
      <c r="D49" s="47" t="s">
        <v>1569</v>
      </c>
      <c r="E49" s="48">
        <v>1</v>
      </c>
      <c r="F49" s="49">
        <v>0.75</v>
      </c>
      <c r="G49" s="50"/>
      <c r="H49" s="51"/>
      <c r="I49" s="45"/>
      <c r="J49" s="52"/>
      <c r="K49" s="53">
        <f t="shared" si="0"/>
        <v>0</v>
      </c>
      <c r="L49" s="54" t="s">
        <v>345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3046</v>
      </c>
      <c r="B51" s="45" t="s">
        <v>363</v>
      </c>
      <c r="C51" s="46">
        <v>43</v>
      </c>
      <c r="D51" s="47" t="s">
        <v>3058</v>
      </c>
      <c r="E51" s="48">
        <v>1</v>
      </c>
      <c r="F51" s="49">
        <v>0.48</v>
      </c>
      <c r="G51" s="50"/>
      <c r="H51" s="51"/>
      <c r="I51" s="45"/>
      <c r="J51" s="52"/>
      <c r="K51" s="53">
        <f t="shared" si="0"/>
        <v>0</v>
      </c>
      <c r="L51" s="54" t="s">
        <v>3059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3046</v>
      </c>
      <c r="B53" s="45" t="s">
        <v>363</v>
      </c>
      <c r="C53" s="46">
        <v>43</v>
      </c>
      <c r="D53" s="47" t="s">
        <v>3058</v>
      </c>
      <c r="E53" s="48">
        <v>2</v>
      </c>
      <c r="F53" s="49">
        <v>8.94</v>
      </c>
      <c r="G53" s="50" t="s">
        <v>421</v>
      </c>
      <c r="H53" s="51">
        <v>2134</v>
      </c>
      <c r="I53" s="45">
        <v>3048</v>
      </c>
      <c r="J53" s="52">
        <v>2</v>
      </c>
      <c r="K53" s="53">
        <f t="shared" si="0"/>
        <v>13.008863999999999</v>
      </c>
      <c r="L53" s="54" t="s">
        <v>831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2811</v>
      </c>
      <c r="B55" s="45" t="s">
        <v>2456</v>
      </c>
      <c r="C55" s="46">
        <v>43</v>
      </c>
      <c r="D55" s="47" t="s">
        <v>791</v>
      </c>
      <c r="E55" s="48">
        <v>1</v>
      </c>
      <c r="F55" s="49">
        <v>0.28000000000000003</v>
      </c>
      <c r="G55" s="50"/>
      <c r="H55" s="51"/>
      <c r="I55" s="45"/>
      <c r="J55" s="52"/>
      <c r="K55" s="53">
        <f t="shared" si="0"/>
        <v>0</v>
      </c>
      <c r="L55" s="54" t="s">
        <v>3060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3061</v>
      </c>
      <c r="B57" s="45" t="s">
        <v>306</v>
      </c>
      <c r="C57" s="46">
        <v>22</v>
      </c>
      <c r="D57" s="47" t="s">
        <v>1771</v>
      </c>
      <c r="E57" s="48">
        <v>205</v>
      </c>
      <c r="F57" s="49">
        <v>168.81</v>
      </c>
      <c r="G57" s="50" t="s">
        <v>49</v>
      </c>
      <c r="H57" s="51">
        <v>1829</v>
      </c>
      <c r="I57" s="45">
        <v>3353</v>
      </c>
      <c r="J57" s="52">
        <v>29</v>
      </c>
      <c r="K57" s="53">
        <f t="shared" si="0"/>
        <v>177.846473</v>
      </c>
      <c r="L57" s="54" t="s">
        <v>1472</v>
      </c>
    </row>
    <row r="58" spans="1:12" s="55" customFormat="1" ht="19.5" customHeight="1" x14ac:dyDescent="0.3">
      <c r="A58" s="44"/>
      <c r="B58" s="45"/>
      <c r="C58" s="46">
        <v>22</v>
      </c>
      <c r="D58" s="47" t="s">
        <v>320</v>
      </c>
      <c r="E58" s="48">
        <v>204</v>
      </c>
      <c r="F58" s="49">
        <v>167.2</v>
      </c>
      <c r="G58" s="50" t="s">
        <v>18</v>
      </c>
      <c r="H58" s="51">
        <v>1829</v>
      </c>
      <c r="I58" s="45">
        <v>3353</v>
      </c>
      <c r="J58" s="52">
        <v>29</v>
      </c>
      <c r="K58" s="53">
        <f t="shared" si="0"/>
        <v>177.846473</v>
      </c>
      <c r="L58" s="54" t="s">
        <v>1472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 t="s">
        <v>286</v>
      </c>
      <c r="H59" s="51">
        <v>1829</v>
      </c>
      <c r="I59" s="45">
        <v>3353</v>
      </c>
      <c r="J59" s="52">
        <v>58</v>
      </c>
      <c r="K59" s="53">
        <f t="shared" si="0"/>
        <v>355.69294600000001</v>
      </c>
      <c r="L59" s="54" t="s">
        <v>1472</v>
      </c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3062</v>
      </c>
      <c r="B61" s="45" t="s">
        <v>278</v>
      </c>
      <c r="C61" s="46">
        <v>43</v>
      </c>
      <c r="D61" s="47" t="s">
        <v>3063</v>
      </c>
      <c r="E61" s="48">
        <v>1</v>
      </c>
      <c r="F61" s="49">
        <v>0.55000000000000004</v>
      </c>
      <c r="G61" s="50"/>
      <c r="H61" s="51"/>
      <c r="I61" s="45"/>
      <c r="J61" s="52"/>
      <c r="K61" s="53">
        <f t="shared" si="0"/>
        <v>0</v>
      </c>
      <c r="L61" s="54" t="s">
        <v>31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57</v>
      </c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3068</v>
      </c>
      <c r="B64" s="45" t="s">
        <v>3069</v>
      </c>
      <c r="C64" s="46">
        <v>39</v>
      </c>
      <c r="D64" s="47" t="s">
        <v>3072</v>
      </c>
      <c r="E64" s="48">
        <v>6</v>
      </c>
      <c r="F64" s="49">
        <v>12.36</v>
      </c>
      <c r="G64" s="50" t="s">
        <v>3070</v>
      </c>
      <c r="H64" s="51">
        <v>1829</v>
      </c>
      <c r="I64" s="45">
        <v>3048</v>
      </c>
      <c r="J64" s="52">
        <v>3</v>
      </c>
      <c r="K64" s="53">
        <f t="shared" si="0"/>
        <v>16.724375999999999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 t="s">
        <v>3071</v>
      </c>
      <c r="H65" s="51">
        <v>1829</v>
      </c>
      <c r="I65" s="45">
        <v>3048</v>
      </c>
      <c r="J65" s="52">
        <v>6</v>
      </c>
      <c r="K65" s="53">
        <f t="shared" si="0"/>
        <v>33.448751999999999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3073</v>
      </c>
      <c r="B67" s="45" t="s">
        <v>3069</v>
      </c>
      <c r="C67" s="46">
        <v>24</v>
      </c>
      <c r="D67" s="47" t="s">
        <v>3074</v>
      </c>
      <c r="E67" s="48">
        <v>19</v>
      </c>
      <c r="F67" s="49">
        <v>10.17</v>
      </c>
      <c r="G67" s="50" t="s">
        <v>3076</v>
      </c>
      <c r="H67" s="51">
        <v>2438</v>
      </c>
      <c r="I67" s="45">
        <v>3353</v>
      </c>
      <c r="J67" s="52">
        <v>17</v>
      </c>
      <c r="K67" s="53">
        <f t="shared" si="0"/>
        <v>138.96843799999999</v>
      </c>
      <c r="L67" s="54"/>
    </row>
    <row r="68" spans="1:12" s="55" customFormat="1" ht="19.5" customHeight="1" x14ac:dyDescent="0.3">
      <c r="A68" s="44"/>
      <c r="B68" s="76"/>
      <c r="C68" s="46">
        <v>24</v>
      </c>
      <c r="D68" s="47" t="s">
        <v>3075</v>
      </c>
      <c r="E68" s="48">
        <v>112</v>
      </c>
      <c r="F68" s="49">
        <v>121.53</v>
      </c>
      <c r="G68" s="50" t="s">
        <v>3071</v>
      </c>
      <c r="H68" s="51">
        <v>1981</v>
      </c>
      <c r="I68" s="45">
        <v>3353</v>
      </c>
      <c r="J68" s="52">
        <v>2</v>
      </c>
      <c r="K68" s="53">
        <f t="shared" si="0"/>
        <v>13.284586000000001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 t="s">
        <v>3071</v>
      </c>
      <c r="H69" s="51">
        <v>2590</v>
      </c>
      <c r="I69" s="45">
        <v>3353</v>
      </c>
      <c r="J69" s="52">
        <v>16</v>
      </c>
      <c r="K69" s="53">
        <f t="shared" si="0"/>
        <v>138.94831999999997</v>
      </c>
      <c r="L69" s="54"/>
    </row>
    <row r="70" spans="1:12" s="55" customFormat="1" ht="19.5" customHeight="1" x14ac:dyDescent="0.3">
      <c r="A70" s="44"/>
      <c r="B70" s="76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76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76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76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76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9" customFormat="1" ht="20.100000000000001" customHeight="1" x14ac:dyDescent="0.3">
      <c r="A76" s="44"/>
      <c r="B76" s="45"/>
      <c r="C76" s="46"/>
      <c r="D76" s="47"/>
      <c r="E76" s="56"/>
      <c r="F76" s="57"/>
      <c r="G76" s="50"/>
      <c r="H76" s="51"/>
      <c r="I76" s="45"/>
      <c r="J76" s="52"/>
      <c r="K76" s="53">
        <f t="shared" si="0"/>
        <v>0</v>
      </c>
      <c r="L76" s="58">
        <f>SUM(J46:J77)</f>
        <v>162</v>
      </c>
    </row>
    <row r="77" spans="1:12" s="59" customFormat="1" ht="20.100000000000001" customHeight="1" x14ac:dyDescent="0.3">
      <c r="A77" s="44"/>
      <c r="B77" s="45"/>
      <c r="C77" s="46"/>
      <c r="D77" s="47"/>
      <c r="E77" s="60"/>
      <c r="F77" s="61"/>
      <c r="G77" s="62"/>
      <c r="H77" s="51"/>
      <c r="I77" s="45"/>
      <c r="J77" s="63"/>
      <c r="K77" s="53">
        <f t="shared" si="0"/>
        <v>0</v>
      </c>
      <c r="L77" s="64">
        <f>SUM(K46:K77)</f>
        <v>1065.7692280000001</v>
      </c>
    </row>
    <row r="78" spans="1:12" s="59" customFormat="1" ht="20.100000000000001" customHeight="1" thickBot="1" x14ac:dyDescent="0.35">
      <c r="A78" s="114"/>
      <c r="B78" s="115"/>
      <c r="C78" s="115"/>
      <c r="D78" s="115"/>
      <c r="E78" s="115"/>
      <c r="F78" s="115"/>
      <c r="G78" s="115"/>
      <c r="H78" s="115"/>
      <c r="I78" s="115"/>
      <c r="J78" s="65">
        <f>SUM(J7:J77)</f>
        <v>394</v>
      </c>
      <c r="K78" s="66">
        <f>SUM(K7:K77)</f>
        <v>2522.2890409999995</v>
      </c>
      <c r="L78" s="67"/>
    </row>
    <row r="79" spans="1:12" s="59" customFormat="1" ht="20.100000000000001" customHeight="1" thickTop="1" thickBot="1" x14ac:dyDescent="0.35">
      <c r="A79" s="116" t="s">
        <v>52</v>
      </c>
      <c r="B79" s="117"/>
      <c r="C79" s="68"/>
      <c r="D79" s="118">
        <f>J78</f>
        <v>394</v>
      </c>
      <c r="E79" s="119"/>
      <c r="F79" s="119"/>
      <c r="G79" s="120"/>
      <c r="H79" s="121"/>
      <c r="I79" s="121"/>
      <c r="J79" s="122"/>
      <c r="K79" s="119"/>
      <c r="L79" s="123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71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72"/>
      <c r="F85" s="5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5"/>
      <c r="G86" s="73"/>
      <c r="H86" s="5"/>
      <c r="I86" s="74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70"/>
      <c r="G90" s="5"/>
      <c r="H90" s="72"/>
      <c r="I90" s="72"/>
      <c r="J90" s="5"/>
      <c r="K90" s="5"/>
      <c r="L90" s="5"/>
    </row>
    <row r="91" spans="1:12" ht="20.100000000000001" customHeight="1" x14ac:dyDescent="0.3">
      <c r="A91" s="113"/>
      <c r="B91" s="113"/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A94" s="113"/>
      <c r="B94" s="113"/>
      <c r="H94" s="72"/>
      <c r="I94" s="72"/>
    </row>
    <row r="95" spans="1:12" ht="20.100000000000001" customHeight="1" x14ac:dyDescent="0.3">
      <c r="A95" s="113"/>
      <c r="B95" s="113"/>
      <c r="H95" s="72"/>
      <c r="I95" s="72"/>
    </row>
    <row r="96" spans="1:12" ht="20.100000000000001" customHeight="1" x14ac:dyDescent="0.3">
      <c r="H96" s="72"/>
      <c r="I96" s="72"/>
    </row>
    <row r="97" spans="1:12" ht="20.100000000000001" customHeight="1" x14ac:dyDescent="0.3">
      <c r="H97" s="72"/>
      <c r="I97" s="72"/>
    </row>
    <row r="98" spans="1:12" ht="20.100000000000001" customHeight="1" x14ac:dyDescent="0.3">
      <c r="H98" s="72"/>
      <c r="I98" s="72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J99" s="5"/>
      <c r="K99" s="5"/>
      <c r="L99" s="5"/>
    </row>
    <row r="100" spans="1:12" s="72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5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5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5" customFormat="1" ht="19.5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2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2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ht="19.5" customHeight="1" x14ac:dyDescent="0.3"/>
    <row r="107" spans="1:12" ht="19.5" customHeight="1" x14ac:dyDescent="0.3"/>
    <row r="108" spans="1:12" ht="19.5" customHeight="1" x14ac:dyDescent="0.3"/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>
        <v>2</v>
      </c>
      <c r="C169" s="5"/>
      <c r="D169" s="5"/>
      <c r="E169" s="5"/>
      <c r="F169" s="70"/>
      <c r="G169" s="5"/>
      <c r="H169" s="5"/>
      <c r="I169" s="5"/>
      <c r="J169" s="5"/>
      <c r="K169" s="5"/>
      <c r="L169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4:B8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8:I78"/>
    <mergeCell ref="A79:B79"/>
    <mergeCell ref="D79:G79"/>
    <mergeCell ref="H79:J79"/>
    <mergeCell ref="K79:L79"/>
    <mergeCell ref="A94:B94"/>
    <mergeCell ref="A95:B95"/>
    <mergeCell ref="A85:B85"/>
    <mergeCell ref="A86:B86"/>
    <mergeCell ref="A87:B87"/>
    <mergeCell ref="A89:B89"/>
    <mergeCell ref="A90:B90"/>
    <mergeCell ref="A91:B91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L166"/>
  <sheetViews>
    <sheetView view="pageBreakPreview" topLeftCell="F55" zoomScale="85" zoomScaleSheetLayoutView="85" workbookViewId="0">
      <selection activeCell="L73" sqref="L73:L7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46130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4" si="0">(H7/1000*I7/1000)*J7</f>
        <v>0</v>
      </c>
      <c r="L7" s="26">
        <f>SUM(J7:J42)</f>
        <v>132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SUM(K7:K42)</f>
        <v>827.17620699999998</v>
      </c>
    </row>
    <row r="9" spans="1:12" s="27" customFormat="1" ht="19.5" customHeight="1" x14ac:dyDescent="0.3">
      <c r="A9" s="28" t="s">
        <v>3031</v>
      </c>
      <c r="B9" s="16" t="s">
        <v>2720</v>
      </c>
      <c r="C9" s="17">
        <v>22</v>
      </c>
      <c r="D9" s="18" t="s">
        <v>60</v>
      </c>
      <c r="E9" s="41">
        <v>65</v>
      </c>
      <c r="F9" s="42">
        <v>56.15</v>
      </c>
      <c r="G9" s="34" t="s">
        <v>49</v>
      </c>
      <c r="H9" s="35">
        <v>1829</v>
      </c>
      <c r="I9" s="36">
        <v>3353</v>
      </c>
      <c r="J9" s="37">
        <v>13</v>
      </c>
      <c r="K9" s="25">
        <f t="shared" si="0"/>
        <v>79.724281000000005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60</v>
      </c>
      <c r="E10" s="41">
        <v>20</v>
      </c>
      <c r="F10" s="42">
        <v>16.600000000000001</v>
      </c>
      <c r="G10" s="34" t="s">
        <v>2683</v>
      </c>
      <c r="H10" s="35">
        <v>1981</v>
      </c>
      <c r="I10" s="36">
        <v>3048</v>
      </c>
      <c r="J10" s="37">
        <v>13</v>
      </c>
      <c r="K10" s="25">
        <f t="shared" si="0"/>
        <v>78.49514400000001</v>
      </c>
      <c r="L10" s="39" t="s">
        <v>3033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25">
        <f t="shared" si="0"/>
        <v>0</v>
      </c>
      <c r="L11" s="39"/>
    </row>
    <row r="12" spans="1:12" s="27" customFormat="1" ht="19.5" customHeight="1" x14ac:dyDescent="0.3">
      <c r="A12" s="28"/>
      <c r="B12" s="16"/>
      <c r="C12" s="17">
        <v>22</v>
      </c>
      <c r="D12" s="18" t="s">
        <v>17</v>
      </c>
      <c r="E12" s="41">
        <v>65</v>
      </c>
      <c r="F12" s="42">
        <v>56.15</v>
      </c>
      <c r="G12" s="34" t="s">
        <v>3032</v>
      </c>
      <c r="H12" s="35">
        <v>1981</v>
      </c>
      <c r="I12" s="36">
        <v>3353</v>
      </c>
      <c r="J12" s="37">
        <v>9</v>
      </c>
      <c r="K12" s="25">
        <f t="shared" si="0"/>
        <v>59.780637000000006</v>
      </c>
      <c r="L12" s="39" t="s">
        <v>3034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2683</v>
      </c>
      <c r="H13" s="35">
        <v>1981</v>
      </c>
      <c r="I13" s="36">
        <v>3353</v>
      </c>
      <c r="J13" s="37">
        <v>9</v>
      </c>
      <c r="K13" s="25">
        <f t="shared" si="0"/>
        <v>59.780637000000006</v>
      </c>
      <c r="L13" s="39" t="s">
        <v>3033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25">
        <f t="shared" si="0"/>
        <v>0</v>
      </c>
      <c r="L14" s="39"/>
    </row>
    <row r="15" spans="1:12" s="27" customFormat="1" ht="19.5" customHeight="1" x14ac:dyDescent="0.3">
      <c r="A15" s="28" t="s">
        <v>3035</v>
      </c>
      <c r="B15" s="16" t="s">
        <v>3036</v>
      </c>
      <c r="C15" s="17">
        <v>22</v>
      </c>
      <c r="D15" s="18" t="s">
        <v>3037</v>
      </c>
      <c r="E15" s="41">
        <v>60</v>
      </c>
      <c r="F15" s="42">
        <v>88.2</v>
      </c>
      <c r="G15" s="34" t="s">
        <v>18</v>
      </c>
      <c r="H15" s="35">
        <v>1981</v>
      </c>
      <c r="I15" s="36">
        <v>3048</v>
      </c>
      <c r="J15" s="37">
        <v>15</v>
      </c>
      <c r="K15" s="25">
        <f t="shared" si="0"/>
        <v>90.571320000000014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3039</v>
      </c>
      <c r="H16" s="35">
        <v>2134</v>
      </c>
      <c r="I16" s="36">
        <v>3048</v>
      </c>
      <c r="J16" s="37">
        <v>15</v>
      </c>
      <c r="K16" s="25">
        <f t="shared" si="0"/>
        <v>97.566479999999999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25">
        <f t="shared" si="0"/>
        <v>0</v>
      </c>
      <c r="L17" s="39"/>
    </row>
    <row r="18" spans="1:12" s="27" customFormat="1" ht="19.5" customHeight="1" x14ac:dyDescent="0.3">
      <c r="A18" s="28" t="s">
        <v>3038</v>
      </c>
      <c r="B18" s="16" t="s">
        <v>2720</v>
      </c>
      <c r="C18" s="17">
        <v>22</v>
      </c>
      <c r="D18" s="18" t="s">
        <v>60</v>
      </c>
      <c r="E18" s="41">
        <v>60</v>
      </c>
      <c r="F18" s="42">
        <v>46.12</v>
      </c>
      <c r="G18" s="34" t="s">
        <v>49</v>
      </c>
      <c r="H18" s="35">
        <v>1829</v>
      </c>
      <c r="I18" s="36">
        <v>3353</v>
      </c>
      <c r="J18" s="37">
        <v>8</v>
      </c>
      <c r="K18" s="25">
        <f t="shared" si="0"/>
        <v>49.061095999999999</v>
      </c>
      <c r="L18" s="39"/>
    </row>
    <row r="19" spans="1:12" s="27" customFormat="1" ht="19.5" customHeight="1" x14ac:dyDescent="0.3">
      <c r="A19" s="28"/>
      <c r="B19" s="16"/>
      <c r="C19" s="17">
        <v>22</v>
      </c>
      <c r="D19" s="18" t="s">
        <v>60</v>
      </c>
      <c r="E19" s="41">
        <v>8</v>
      </c>
      <c r="F19" s="42">
        <v>3.04</v>
      </c>
      <c r="G19" s="34" t="s">
        <v>49</v>
      </c>
      <c r="H19" s="35">
        <v>1981</v>
      </c>
      <c r="I19" s="36">
        <v>3353</v>
      </c>
      <c r="J19" s="37">
        <v>1</v>
      </c>
      <c r="K19" s="25">
        <f t="shared" si="0"/>
        <v>6.6422930000000004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 t="s">
        <v>2683</v>
      </c>
      <c r="H20" s="35">
        <v>1981</v>
      </c>
      <c r="I20" s="36">
        <v>3048</v>
      </c>
      <c r="J20" s="37">
        <v>9</v>
      </c>
      <c r="K20" s="25">
        <f t="shared" si="0"/>
        <v>54.34279200000001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/>
      <c r="B22" s="16"/>
      <c r="C22" s="17">
        <v>22</v>
      </c>
      <c r="D22" s="18" t="s">
        <v>3037</v>
      </c>
      <c r="E22" s="41">
        <v>60</v>
      </c>
      <c r="F22" s="42">
        <v>46.12</v>
      </c>
      <c r="G22" s="34" t="s">
        <v>18</v>
      </c>
      <c r="H22" s="35">
        <v>1981</v>
      </c>
      <c r="I22" s="36">
        <v>3353</v>
      </c>
      <c r="J22" s="37">
        <v>7</v>
      </c>
      <c r="K22" s="25">
        <f t="shared" si="0"/>
        <v>46.496051000000001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 t="s">
        <v>2683</v>
      </c>
      <c r="H23" s="35">
        <v>1981</v>
      </c>
      <c r="I23" s="36">
        <v>3353</v>
      </c>
      <c r="J23" s="37">
        <v>7</v>
      </c>
      <c r="K23" s="25">
        <f t="shared" si="0"/>
        <v>46.496051000000001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25">
        <f t="shared" si="0"/>
        <v>0</v>
      </c>
      <c r="L24" s="39"/>
    </row>
    <row r="25" spans="1:12" s="27" customFormat="1" ht="19.5" customHeight="1" x14ac:dyDescent="0.3">
      <c r="A25" s="28" t="s">
        <v>3048</v>
      </c>
      <c r="B25" s="16" t="s">
        <v>2720</v>
      </c>
      <c r="C25" s="17">
        <v>22</v>
      </c>
      <c r="D25" s="18" t="s">
        <v>60</v>
      </c>
      <c r="E25" s="41">
        <v>75</v>
      </c>
      <c r="F25" s="42">
        <v>57.65</v>
      </c>
      <c r="G25" s="34" t="s">
        <v>49</v>
      </c>
      <c r="H25" s="35">
        <v>1829</v>
      </c>
      <c r="I25" s="36">
        <v>3353</v>
      </c>
      <c r="J25" s="37">
        <v>13</v>
      </c>
      <c r="K25" s="25">
        <f t="shared" si="0"/>
        <v>79.724281000000005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 t="s">
        <v>2683</v>
      </c>
      <c r="H26" s="35">
        <v>1981</v>
      </c>
      <c r="I26" s="36">
        <v>3048</v>
      </c>
      <c r="J26" s="37">
        <v>13</v>
      </c>
      <c r="K26" s="25">
        <f t="shared" si="0"/>
        <v>78.49514400000001</v>
      </c>
      <c r="L26" s="39" t="s">
        <v>3033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25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25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25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25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25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25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25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25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25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si="0"/>
        <v>0</v>
      </c>
      <c r="L41" s="39"/>
    </row>
    <row r="42" spans="1:12" s="27" customFormat="1" ht="19.5" customHeight="1" x14ac:dyDescent="0.3">
      <c r="A42" s="28"/>
      <c r="B42" s="29"/>
      <c r="C42" s="30"/>
      <c r="D42" s="31"/>
      <c r="E42" s="41"/>
      <c r="F42" s="42"/>
      <c r="G42" s="43"/>
      <c r="H42" s="35"/>
      <c r="I42" s="36"/>
      <c r="J42" s="37"/>
      <c r="K42" s="38">
        <f t="shared" si="0"/>
        <v>0</v>
      </c>
      <c r="L42" s="39"/>
    </row>
    <row r="43" spans="1:12" s="55" customFormat="1" ht="19.5" customHeight="1" x14ac:dyDescent="0.3">
      <c r="A43" s="44" t="s">
        <v>3040</v>
      </c>
      <c r="B43" s="45" t="s">
        <v>3041</v>
      </c>
      <c r="C43" s="46">
        <v>43</v>
      </c>
      <c r="D43" s="47" t="s">
        <v>3042</v>
      </c>
      <c r="E43" s="48">
        <v>18</v>
      </c>
      <c r="F43" s="49">
        <v>22.54</v>
      </c>
      <c r="G43" s="50" t="s">
        <v>527</v>
      </c>
      <c r="H43" s="51">
        <v>2438</v>
      </c>
      <c r="I43" s="45">
        <v>3353</v>
      </c>
      <c r="J43" s="52">
        <v>6</v>
      </c>
      <c r="K43" s="53">
        <f t="shared" si="0"/>
        <v>49.047684000000004</v>
      </c>
      <c r="L43" s="54" t="s">
        <v>3033</v>
      </c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 t="s">
        <v>3032</v>
      </c>
      <c r="H44" s="51">
        <v>2590</v>
      </c>
      <c r="I44" s="45">
        <v>3353</v>
      </c>
      <c r="J44" s="52">
        <v>3</v>
      </c>
      <c r="K44" s="53">
        <f t="shared" si="0"/>
        <v>26.052809999999994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97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3009</v>
      </c>
      <c r="B46" s="45" t="s">
        <v>235</v>
      </c>
      <c r="C46" s="46">
        <v>24</v>
      </c>
      <c r="D46" s="47" t="s">
        <v>850</v>
      </c>
      <c r="E46" s="48">
        <v>41</v>
      </c>
      <c r="F46" s="49">
        <v>16.760000000000002</v>
      </c>
      <c r="G46" s="50" t="s">
        <v>1286</v>
      </c>
      <c r="H46" s="51">
        <v>2134</v>
      </c>
      <c r="I46" s="45">
        <v>3353</v>
      </c>
      <c r="J46" s="52">
        <v>3</v>
      </c>
      <c r="K46" s="53">
        <f t="shared" si="0"/>
        <v>21.465906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 t="s">
        <v>189</v>
      </c>
      <c r="H47" s="51">
        <v>2134</v>
      </c>
      <c r="I47" s="45">
        <v>3353</v>
      </c>
      <c r="J47" s="52">
        <v>2</v>
      </c>
      <c r="K47" s="53">
        <f t="shared" si="0"/>
        <v>14.310604</v>
      </c>
      <c r="L47" s="54" t="s">
        <v>3033</v>
      </c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3043</v>
      </c>
      <c r="B49" s="45" t="s">
        <v>3044</v>
      </c>
      <c r="C49" s="46">
        <v>24</v>
      </c>
      <c r="D49" s="47" t="s">
        <v>3045</v>
      </c>
      <c r="E49" s="48">
        <v>1</v>
      </c>
      <c r="F49" s="49">
        <v>5.76</v>
      </c>
      <c r="G49" s="50" t="s">
        <v>189</v>
      </c>
      <c r="H49" s="51">
        <v>1981</v>
      </c>
      <c r="I49" s="45">
        <v>3048</v>
      </c>
      <c r="J49" s="52">
        <v>1</v>
      </c>
      <c r="K49" s="53">
        <f t="shared" si="0"/>
        <v>6.038088000000001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 t="s">
        <v>1805</v>
      </c>
      <c r="H50" s="51">
        <v>2438</v>
      </c>
      <c r="I50" s="45">
        <v>3353</v>
      </c>
      <c r="J50" s="52">
        <v>1</v>
      </c>
      <c r="K50" s="53">
        <f t="shared" si="0"/>
        <v>8.174614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3046</v>
      </c>
      <c r="B52" s="45" t="s">
        <v>363</v>
      </c>
      <c r="C52" s="46">
        <v>43</v>
      </c>
      <c r="D52" s="47" t="s">
        <v>3042</v>
      </c>
      <c r="E52" s="48">
        <v>26</v>
      </c>
      <c r="F52" s="49">
        <v>36.4</v>
      </c>
      <c r="G52" s="50" t="s">
        <v>527</v>
      </c>
      <c r="H52" s="51">
        <v>2438</v>
      </c>
      <c r="I52" s="45">
        <v>3353</v>
      </c>
      <c r="J52" s="52">
        <v>10</v>
      </c>
      <c r="K52" s="53">
        <f t="shared" si="0"/>
        <v>81.746139999999997</v>
      </c>
      <c r="L52" s="54" t="s">
        <v>3033</v>
      </c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 t="s">
        <v>3032</v>
      </c>
      <c r="H53" s="51">
        <v>1981</v>
      </c>
      <c r="I53" s="45">
        <v>3353</v>
      </c>
      <c r="J53" s="52">
        <v>6</v>
      </c>
      <c r="K53" s="53">
        <f t="shared" si="0"/>
        <v>39.853757999999999</v>
      </c>
      <c r="L53" s="54" t="s">
        <v>3034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>
        <v>43</v>
      </c>
      <c r="D55" s="47" t="s">
        <v>3042</v>
      </c>
      <c r="E55" s="48">
        <v>1</v>
      </c>
      <c r="F55" s="49">
        <v>2</v>
      </c>
      <c r="G55" s="50" t="s">
        <v>527</v>
      </c>
      <c r="H55" s="51">
        <v>2134</v>
      </c>
      <c r="I55" s="45">
        <v>3048</v>
      </c>
      <c r="J55" s="52">
        <v>1</v>
      </c>
      <c r="K55" s="53">
        <f t="shared" si="0"/>
        <v>6.5044319999999995</v>
      </c>
      <c r="L55" s="54" t="s">
        <v>3047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3006</v>
      </c>
      <c r="B57" s="45" t="s">
        <v>1890</v>
      </c>
      <c r="C57" s="46">
        <v>28</v>
      </c>
      <c r="D57" s="47" t="s">
        <v>3001</v>
      </c>
      <c r="E57" s="48">
        <v>80</v>
      </c>
      <c r="F57" s="49">
        <v>87.9</v>
      </c>
      <c r="G57" s="50" t="s">
        <v>3051</v>
      </c>
      <c r="H57" s="51">
        <v>2438</v>
      </c>
      <c r="I57" s="45">
        <v>3048</v>
      </c>
      <c r="J57" s="52">
        <v>40</v>
      </c>
      <c r="K57" s="53">
        <f t="shared" si="0"/>
        <v>297.24096000000003</v>
      </c>
      <c r="L57" s="54" t="s">
        <v>3052</v>
      </c>
    </row>
    <row r="58" spans="1:12" s="55" customFormat="1" ht="19.5" customHeight="1" x14ac:dyDescent="0.3">
      <c r="A58" s="44"/>
      <c r="B58" s="45"/>
      <c r="C58" s="46">
        <v>28</v>
      </c>
      <c r="D58" s="47" t="s">
        <v>3007</v>
      </c>
      <c r="E58" s="48">
        <v>76</v>
      </c>
      <c r="F58" s="49">
        <v>80.88</v>
      </c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>
        <v>28</v>
      </c>
      <c r="D59" s="47" t="s">
        <v>3001</v>
      </c>
      <c r="E59" s="48">
        <v>39</v>
      </c>
      <c r="F59" s="49">
        <v>90.69</v>
      </c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76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76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 t="s">
        <v>3049</v>
      </c>
    </row>
    <row r="68" spans="1:12" s="55" customFormat="1" ht="19.5" customHeight="1" x14ac:dyDescent="0.3">
      <c r="A68" s="44"/>
      <c r="B68" s="76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 t="s">
        <v>3050</v>
      </c>
    </row>
    <row r="69" spans="1:12" s="55" customFormat="1" ht="19.5" customHeight="1" x14ac:dyDescent="0.3">
      <c r="A69" s="44"/>
      <c r="B69" s="76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76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76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9" customFormat="1" ht="20.100000000000001" customHeight="1" x14ac:dyDescent="0.3">
      <c r="A73" s="44"/>
      <c r="B73" s="45"/>
      <c r="C73" s="46"/>
      <c r="D73" s="47"/>
      <c r="E73" s="56"/>
      <c r="F73" s="57"/>
      <c r="G73" s="50"/>
      <c r="H73" s="51"/>
      <c r="I73" s="45"/>
      <c r="J73" s="52"/>
      <c r="K73" s="53">
        <f t="shared" si="0"/>
        <v>0</v>
      </c>
      <c r="L73" s="58">
        <f>SUM(J43:J74)</f>
        <v>73</v>
      </c>
    </row>
    <row r="74" spans="1:12" s="59" customFormat="1" ht="20.100000000000001" customHeight="1" x14ac:dyDescent="0.3">
      <c r="A74" s="44"/>
      <c r="B74" s="45"/>
      <c r="C74" s="46"/>
      <c r="D74" s="47"/>
      <c r="E74" s="60"/>
      <c r="F74" s="61"/>
      <c r="G74" s="62"/>
      <c r="H74" s="51"/>
      <c r="I74" s="45"/>
      <c r="J74" s="63"/>
      <c r="K74" s="53">
        <f t="shared" si="0"/>
        <v>0</v>
      </c>
      <c r="L74" s="64">
        <f>SUM(K43:K74)</f>
        <v>550.43499600000007</v>
      </c>
    </row>
    <row r="75" spans="1:12" s="59" customFormat="1" ht="20.100000000000001" customHeight="1" thickBot="1" x14ac:dyDescent="0.35">
      <c r="A75" s="114"/>
      <c r="B75" s="115"/>
      <c r="C75" s="115"/>
      <c r="D75" s="115"/>
      <c r="E75" s="115"/>
      <c r="F75" s="115"/>
      <c r="G75" s="115"/>
      <c r="H75" s="115"/>
      <c r="I75" s="115"/>
      <c r="J75" s="65">
        <f>SUM(J7:J74)</f>
        <v>205</v>
      </c>
      <c r="K75" s="66">
        <f>SUM(K7:K74)</f>
        <v>1377.6112030000002</v>
      </c>
      <c r="L75" s="67"/>
    </row>
    <row r="76" spans="1:12" s="59" customFormat="1" ht="20.100000000000001" customHeight="1" thickTop="1" thickBot="1" x14ac:dyDescent="0.35">
      <c r="A76" s="116" t="s">
        <v>52</v>
      </c>
      <c r="B76" s="117"/>
      <c r="C76" s="68"/>
      <c r="D76" s="118">
        <f>J75</f>
        <v>205</v>
      </c>
      <c r="E76" s="119"/>
      <c r="F76" s="119"/>
      <c r="G76" s="120"/>
      <c r="H76" s="121"/>
      <c r="I76" s="121"/>
      <c r="J76" s="122"/>
      <c r="K76" s="119"/>
      <c r="L76" s="123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71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72"/>
      <c r="F82" s="5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5"/>
      <c r="G83" s="73"/>
      <c r="H83" s="5"/>
      <c r="I83" s="74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72"/>
      <c r="I87" s="72"/>
      <c r="J87" s="5"/>
      <c r="K87" s="5"/>
      <c r="L87" s="5"/>
    </row>
    <row r="88" spans="1:12" ht="20.100000000000001" customHeight="1" x14ac:dyDescent="0.3">
      <c r="A88" s="113"/>
      <c r="B88" s="113"/>
      <c r="H88" s="72"/>
      <c r="I88" s="72"/>
    </row>
    <row r="89" spans="1:12" ht="20.100000000000001" customHeight="1" x14ac:dyDescent="0.3"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A91" s="113"/>
      <c r="B91" s="113"/>
      <c r="H91" s="72"/>
      <c r="I91" s="72"/>
    </row>
    <row r="92" spans="1:12" ht="20.100000000000001" customHeight="1" x14ac:dyDescent="0.3">
      <c r="A92" s="113"/>
      <c r="B92" s="113"/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H95" s="72"/>
      <c r="I95" s="72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J96" s="5"/>
      <c r="K96" s="5"/>
      <c r="L96" s="5"/>
    </row>
    <row r="97" spans="1:12" s="72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5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5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5" customFormat="1" ht="19.5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2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ht="19.5" customHeight="1" x14ac:dyDescent="0.3"/>
    <row r="104" spans="1:12" ht="19.5" customHeight="1" x14ac:dyDescent="0.3"/>
    <row r="105" spans="1:12" ht="19.5" customHeight="1" x14ac:dyDescent="0.3"/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>
        <v>2</v>
      </c>
      <c r="C166" s="5"/>
      <c r="D166" s="5"/>
      <c r="E166" s="5"/>
      <c r="F166" s="70"/>
      <c r="G166" s="5"/>
      <c r="H166" s="5"/>
      <c r="I166" s="5"/>
      <c r="J166" s="5"/>
      <c r="K166" s="5"/>
      <c r="L166" s="5"/>
    </row>
  </sheetData>
  <mergeCells count="30">
    <mergeCell ref="A91:B91"/>
    <mergeCell ref="A92:B92"/>
    <mergeCell ref="A82:B82"/>
    <mergeCell ref="A83:B83"/>
    <mergeCell ref="A84:B84"/>
    <mergeCell ref="A86:B86"/>
    <mergeCell ref="A87:B87"/>
    <mergeCell ref="A88:B88"/>
    <mergeCell ref="A81:B8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5:I75"/>
    <mergeCell ref="A76:B76"/>
    <mergeCell ref="D76:G76"/>
    <mergeCell ref="H76:J76"/>
    <mergeCell ref="K76:L76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L192"/>
  <sheetViews>
    <sheetView view="pageBreakPreview" topLeftCell="E88" zoomScale="85" zoomScaleSheetLayoutView="85" workbookViewId="0">
      <selection activeCell="L99" sqref="L99:L10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46129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100" si="0">(H7/1000*I7/1000)*J7</f>
        <v>0</v>
      </c>
      <c r="L7" s="26">
        <f>SUM(J7:J59)</f>
        <v>105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25">
        <f t="shared" si="0"/>
        <v>0</v>
      </c>
      <c r="L8" s="39">
        <f>SUM(K7:K59)</f>
        <v>697.25105999999994</v>
      </c>
    </row>
    <row r="9" spans="1:12" s="27" customFormat="1" ht="19.5" customHeight="1" x14ac:dyDescent="0.3">
      <c r="A9" s="28" t="s">
        <v>2940</v>
      </c>
      <c r="B9" s="16" t="s">
        <v>2941</v>
      </c>
      <c r="C9" s="17">
        <v>24</v>
      </c>
      <c r="D9" s="18" t="s">
        <v>2942</v>
      </c>
      <c r="E9" s="41">
        <v>2</v>
      </c>
      <c r="F9" s="42">
        <v>7.32</v>
      </c>
      <c r="G9" s="34" t="s">
        <v>2943</v>
      </c>
      <c r="H9" s="35">
        <v>1981</v>
      </c>
      <c r="I9" s="36">
        <v>3048</v>
      </c>
      <c r="J9" s="37">
        <v>2</v>
      </c>
      <c r="K9" s="25">
        <f t="shared" si="0"/>
        <v>12.076176000000002</v>
      </c>
      <c r="L9" s="39" t="s">
        <v>2950</v>
      </c>
    </row>
    <row r="10" spans="1:12" s="27" customFormat="1" ht="19.5" customHeight="1" x14ac:dyDescent="0.3">
      <c r="A10" s="28" t="s">
        <v>2945</v>
      </c>
      <c r="B10" s="16" t="s">
        <v>2946</v>
      </c>
      <c r="C10" s="17">
        <v>22</v>
      </c>
      <c r="D10" s="18" t="s">
        <v>2947</v>
      </c>
      <c r="E10" s="41">
        <v>2</v>
      </c>
      <c r="F10" s="42">
        <v>2.82</v>
      </c>
      <c r="G10" s="34" t="s">
        <v>2944</v>
      </c>
      <c r="H10" s="35">
        <v>2590</v>
      </c>
      <c r="I10" s="36">
        <v>3353</v>
      </c>
      <c r="J10" s="37">
        <v>1</v>
      </c>
      <c r="K10" s="25">
        <f t="shared" si="0"/>
        <v>8.6842699999999979</v>
      </c>
      <c r="L10" s="39" t="s">
        <v>2950</v>
      </c>
    </row>
    <row r="11" spans="1:12" s="27" customFormat="1" ht="19.5" customHeight="1" x14ac:dyDescent="0.3">
      <c r="A11" s="28"/>
      <c r="B11" s="16"/>
      <c r="C11" s="17">
        <v>22</v>
      </c>
      <c r="D11" s="18" t="s">
        <v>2948</v>
      </c>
      <c r="E11" s="41">
        <v>1</v>
      </c>
      <c r="F11" s="42">
        <v>1.6</v>
      </c>
      <c r="G11" s="34" t="s">
        <v>2944</v>
      </c>
      <c r="H11" s="35">
        <v>1981</v>
      </c>
      <c r="I11" s="36">
        <v>3048</v>
      </c>
      <c r="J11" s="37">
        <v>1</v>
      </c>
      <c r="K11" s="25">
        <f t="shared" si="0"/>
        <v>6.038088000000001</v>
      </c>
      <c r="L11" s="39" t="s">
        <v>2950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2949</v>
      </c>
      <c r="H12" s="35">
        <v>2590</v>
      </c>
      <c r="I12" s="36">
        <v>3048</v>
      </c>
      <c r="J12" s="37">
        <v>1</v>
      </c>
      <c r="K12" s="25">
        <f t="shared" si="0"/>
        <v>7.8943199999999996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25">
        <f t="shared" si="0"/>
        <v>0</v>
      </c>
      <c r="L13" s="39"/>
    </row>
    <row r="14" spans="1:12" s="27" customFormat="1" ht="19.5" customHeight="1" x14ac:dyDescent="0.3">
      <c r="A14" s="28" t="s">
        <v>2951</v>
      </c>
      <c r="B14" s="16" t="s">
        <v>2941</v>
      </c>
      <c r="C14" s="17">
        <v>24</v>
      </c>
      <c r="D14" s="18" t="s">
        <v>2942</v>
      </c>
      <c r="E14" s="41">
        <v>11</v>
      </c>
      <c r="F14" s="42">
        <v>13.49</v>
      </c>
      <c r="G14" s="34" t="s">
        <v>2943</v>
      </c>
      <c r="H14" s="35">
        <v>1981</v>
      </c>
      <c r="I14" s="36">
        <v>3048</v>
      </c>
      <c r="J14" s="37">
        <v>4</v>
      </c>
      <c r="K14" s="25">
        <f t="shared" si="0"/>
        <v>24.152352000000004</v>
      </c>
      <c r="L14" s="39"/>
    </row>
    <row r="15" spans="1:12" s="27" customFormat="1" ht="19.5" customHeight="1" x14ac:dyDescent="0.3">
      <c r="A15" s="28"/>
      <c r="B15" s="16"/>
      <c r="C15" s="17">
        <v>24</v>
      </c>
      <c r="D15" s="18" t="s">
        <v>2952</v>
      </c>
      <c r="E15" s="41">
        <v>2</v>
      </c>
      <c r="F15" s="42">
        <v>1.2</v>
      </c>
      <c r="G15" s="34" t="s">
        <v>2944</v>
      </c>
      <c r="H15" s="35">
        <v>2590</v>
      </c>
      <c r="I15" s="36">
        <v>3353</v>
      </c>
      <c r="J15" s="37">
        <v>2</v>
      </c>
      <c r="K15" s="25">
        <f t="shared" si="0"/>
        <v>17.368539999999996</v>
      </c>
      <c r="L15" s="39"/>
    </row>
    <row r="16" spans="1:12" s="27" customFormat="1" ht="19.5" customHeight="1" x14ac:dyDescent="0.3">
      <c r="A16" s="28"/>
      <c r="B16" s="16"/>
      <c r="C16" s="17">
        <v>24</v>
      </c>
      <c r="D16" s="18" t="s">
        <v>2953</v>
      </c>
      <c r="E16" s="41">
        <v>2</v>
      </c>
      <c r="F16" s="42">
        <v>3.46</v>
      </c>
      <c r="G16" s="34"/>
      <c r="H16" s="35"/>
      <c r="I16" s="36"/>
      <c r="J16" s="37"/>
      <c r="K16" s="25">
        <f t="shared" si="0"/>
        <v>0</v>
      </c>
      <c r="L16" s="39"/>
    </row>
    <row r="17" spans="1:12" s="27" customFormat="1" ht="19.5" customHeight="1" x14ac:dyDescent="0.3">
      <c r="A17" s="28"/>
      <c r="B17" s="16"/>
      <c r="C17" s="17">
        <v>24</v>
      </c>
      <c r="D17" s="18" t="s">
        <v>2954</v>
      </c>
      <c r="E17" s="41">
        <v>1</v>
      </c>
      <c r="F17" s="42">
        <v>0.62</v>
      </c>
      <c r="G17" s="34"/>
      <c r="H17" s="35"/>
      <c r="I17" s="36"/>
      <c r="J17" s="37"/>
      <c r="K17" s="25">
        <f t="shared" si="0"/>
        <v>0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25">
        <f t="shared" si="0"/>
        <v>0</v>
      </c>
      <c r="L18" s="39"/>
    </row>
    <row r="19" spans="1:12" s="27" customFormat="1" ht="19.5" customHeight="1" x14ac:dyDescent="0.3">
      <c r="A19" s="28" t="s">
        <v>2955</v>
      </c>
      <c r="B19" s="16" t="s">
        <v>2941</v>
      </c>
      <c r="C19" s="17">
        <v>24</v>
      </c>
      <c r="D19" s="18" t="s">
        <v>2942</v>
      </c>
      <c r="E19" s="41">
        <v>7</v>
      </c>
      <c r="F19" s="42">
        <v>8.5500000000000007</v>
      </c>
      <c r="G19" s="34" t="s">
        <v>2943</v>
      </c>
      <c r="H19" s="35">
        <v>1981</v>
      </c>
      <c r="I19" s="36">
        <v>3048</v>
      </c>
      <c r="J19" s="37">
        <v>3</v>
      </c>
      <c r="K19" s="25">
        <f t="shared" si="0"/>
        <v>18.114264000000002</v>
      </c>
      <c r="L19" s="39"/>
    </row>
    <row r="20" spans="1:12" s="27" customFormat="1" ht="19.5" customHeight="1" x14ac:dyDescent="0.3">
      <c r="A20" s="28"/>
      <c r="B20" s="16"/>
      <c r="C20" s="17">
        <v>24</v>
      </c>
      <c r="D20" s="18" t="s">
        <v>2952</v>
      </c>
      <c r="E20" s="41">
        <v>2</v>
      </c>
      <c r="F20" s="42">
        <v>1.2</v>
      </c>
      <c r="G20" s="34" t="s">
        <v>2944</v>
      </c>
      <c r="H20" s="35">
        <v>1981</v>
      </c>
      <c r="I20" s="36">
        <v>3048</v>
      </c>
      <c r="J20" s="37">
        <v>3</v>
      </c>
      <c r="K20" s="25">
        <f t="shared" si="0"/>
        <v>18.114264000000002</v>
      </c>
      <c r="L20" s="39"/>
    </row>
    <row r="21" spans="1:12" s="27" customFormat="1" ht="19.5" customHeight="1" x14ac:dyDescent="0.3">
      <c r="A21" s="28"/>
      <c r="B21" s="16"/>
      <c r="C21" s="17">
        <v>24</v>
      </c>
      <c r="D21" s="18" t="s">
        <v>2953</v>
      </c>
      <c r="E21" s="41">
        <v>2</v>
      </c>
      <c r="F21" s="42">
        <v>3.46</v>
      </c>
      <c r="G21" s="34"/>
      <c r="H21" s="35"/>
      <c r="I21" s="36"/>
      <c r="J21" s="37"/>
      <c r="K21" s="25">
        <f t="shared" si="0"/>
        <v>0</v>
      </c>
      <c r="L21" s="39"/>
    </row>
    <row r="22" spans="1:12" s="27" customFormat="1" ht="19.5" customHeight="1" x14ac:dyDescent="0.3">
      <c r="A22" s="28"/>
      <c r="B22" s="16"/>
      <c r="C22" s="17">
        <v>24</v>
      </c>
      <c r="D22" s="18" t="s">
        <v>2954</v>
      </c>
      <c r="E22" s="41">
        <v>1</v>
      </c>
      <c r="F22" s="42">
        <v>0.62</v>
      </c>
      <c r="G22" s="34"/>
      <c r="H22" s="35"/>
      <c r="I22" s="36"/>
      <c r="J22" s="37"/>
      <c r="K22" s="25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25">
        <f t="shared" si="0"/>
        <v>0</v>
      </c>
      <c r="L23" s="39"/>
    </row>
    <row r="24" spans="1:12" s="27" customFormat="1" ht="19.5" customHeight="1" x14ac:dyDescent="0.3">
      <c r="A24" s="28" t="s">
        <v>2956</v>
      </c>
      <c r="B24" s="16" t="s">
        <v>2957</v>
      </c>
      <c r="C24" s="17">
        <v>26</v>
      </c>
      <c r="D24" s="18" t="s">
        <v>2958</v>
      </c>
      <c r="E24" s="41">
        <v>1</v>
      </c>
      <c r="F24" s="42">
        <v>2.33</v>
      </c>
      <c r="G24" s="34" t="s">
        <v>2959</v>
      </c>
      <c r="H24" s="35">
        <v>1981</v>
      </c>
      <c r="I24" s="36">
        <v>3048</v>
      </c>
      <c r="J24" s="37">
        <v>1</v>
      </c>
      <c r="K24" s="25">
        <f t="shared" si="0"/>
        <v>6.038088000000001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 t="s">
        <v>2960</v>
      </c>
      <c r="H25" s="35">
        <v>1981</v>
      </c>
      <c r="I25" s="36">
        <v>3048</v>
      </c>
      <c r="J25" s="37">
        <v>1</v>
      </c>
      <c r="K25" s="25">
        <f t="shared" si="0"/>
        <v>6.038088000000001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25">
        <f t="shared" si="0"/>
        <v>0</v>
      </c>
      <c r="L26" s="39"/>
    </row>
    <row r="27" spans="1:12" s="27" customFormat="1" ht="19.5" customHeight="1" x14ac:dyDescent="0.3">
      <c r="A27" s="28" t="s">
        <v>2961</v>
      </c>
      <c r="B27" s="16" t="s">
        <v>2962</v>
      </c>
      <c r="C27" s="17">
        <v>22</v>
      </c>
      <c r="D27" s="18" t="s">
        <v>2963</v>
      </c>
      <c r="E27" s="41">
        <v>75</v>
      </c>
      <c r="F27" s="42">
        <v>60.05</v>
      </c>
      <c r="G27" s="34" t="s">
        <v>2964</v>
      </c>
      <c r="H27" s="35">
        <v>1829</v>
      </c>
      <c r="I27" s="36">
        <v>3353</v>
      </c>
      <c r="J27" s="37">
        <v>11</v>
      </c>
      <c r="K27" s="25">
        <f t="shared" si="0"/>
        <v>67.459007</v>
      </c>
      <c r="L27" s="39"/>
    </row>
    <row r="28" spans="1:12" s="27" customFormat="1" ht="19.5" customHeight="1" x14ac:dyDescent="0.3">
      <c r="A28" s="28"/>
      <c r="B28" s="16"/>
      <c r="C28" s="17">
        <v>22</v>
      </c>
      <c r="D28" s="18" t="s">
        <v>2963</v>
      </c>
      <c r="E28" s="41">
        <v>10</v>
      </c>
      <c r="F28" s="42">
        <v>3.8</v>
      </c>
      <c r="G28" s="34" t="s">
        <v>2965</v>
      </c>
      <c r="H28" s="35">
        <v>1981</v>
      </c>
      <c r="I28" s="36">
        <v>3353</v>
      </c>
      <c r="J28" s="37">
        <v>10</v>
      </c>
      <c r="K28" s="25">
        <f t="shared" si="0"/>
        <v>66.422930000000008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25">
        <f t="shared" si="0"/>
        <v>0</v>
      </c>
      <c r="L29" s="39"/>
    </row>
    <row r="30" spans="1:12" s="27" customFormat="1" ht="19.5" customHeight="1" x14ac:dyDescent="0.3">
      <c r="A30" s="28" t="s">
        <v>2966</v>
      </c>
      <c r="B30" s="16" t="s">
        <v>2967</v>
      </c>
      <c r="C30" s="17">
        <v>22</v>
      </c>
      <c r="D30" s="18" t="s">
        <v>2947</v>
      </c>
      <c r="E30" s="41">
        <v>2</v>
      </c>
      <c r="F30" s="42">
        <v>1.57</v>
      </c>
      <c r="G30" s="34"/>
      <c r="H30" s="35"/>
      <c r="I30" s="36"/>
      <c r="J30" s="37"/>
      <c r="K30" s="25">
        <f t="shared" si="0"/>
        <v>0</v>
      </c>
      <c r="L30" s="39" t="s">
        <v>2968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25">
        <f t="shared" si="0"/>
        <v>0</v>
      </c>
      <c r="L31" s="39"/>
    </row>
    <row r="32" spans="1:12" s="27" customFormat="1" ht="19.5" customHeight="1" x14ac:dyDescent="0.3">
      <c r="A32" s="28" t="s">
        <v>2969</v>
      </c>
      <c r="B32" s="16" t="s">
        <v>2941</v>
      </c>
      <c r="C32" s="17">
        <v>24</v>
      </c>
      <c r="D32" s="18" t="s">
        <v>2952</v>
      </c>
      <c r="E32" s="41">
        <v>1</v>
      </c>
      <c r="F32" s="42">
        <v>2.87</v>
      </c>
      <c r="G32" s="34" t="s">
        <v>2944</v>
      </c>
      <c r="H32" s="35">
        <v>1981</v>
      </c>
      <c r="I32" s="36">
        <v>3048</v>
      </c>
      <c r="J32" s="37">
        <v>1</v>
      </c>
      <c r="K32" s="25">
        <f t="shared" si="0"/>
        <v>6.038088000000001</v>
      </c>
      <c r="L32" s="39" t="s">
        <v>2973</v>
      </c>
    </row>
    <row r="33" spans="1:12" s="27" customFormat="1" ht="19.5" customHeight="1" x14ac:dyDescent="0.3">
      <c r="A33" s="28" t="s">
        <v>2970</v>
      </c>
      <c r="B33" s="16" t="s">
        <v>2941</v>
      </c>
      <c r="C33" s="17">
        <v>24</v>
      </c>
      <c r="D33" s="18" t="s">
        <v>2952</v>
      </c>
      <c r="E33" s="41">
        <v>1</v>
      </c>
      <c r="F33" s="42">
        <v>2.4500000000000002</v>
      </c>
      <c r="G33" s="34"/>
      <c r="H33" s="35"/>
      <c r="I33" s="36"/>
      <c r="J33" s="37"/>
      <c r="K33" s="25">
        <f t="shared" si="0"/>
        <v>0</v>
      </c>
      <c r="L33" s="39" t="s">
        <v>2974</v>
      </c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25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25">
        <f t="shared" si="0"/>
        <v>0</v>
      </c>
      <c r="L35" s="39"/>
    </row>
    <row r="36" spans="1:12" s="27" customFormat="1" ht="19.5" customHeight="1" x14ac:dyDescent="0.3">
      <c r="A36" s="28" t="s">
        <v>2970</v>
      </c>
      <c r="B36" s="16" t="s">
        <v>2941</v>
      </c>
      <c r="C36" s="17">
        <v>24</v>
      </c>
      <c r="D36" s="18" t="s">
        <v>2952</v>
      </c>
      <c r="E36" s="41">
        <v>1</v>
      </c>
      <c r="F36" s="42">
        <v>1.91</v>
      </c>
      <c r="G36" s="34" t="s">
        <v>2943</v>
      </c>
      <c r="H36" s="35">
        <v>1981</v>
      </c>
      <c r="I36" s="36">
        <v>3048</v>
      </c>
      <c r="J36" s="37">
        <v>1</v>
      </c>
      <c r="K36" s="25">
        <f t="shared" si="0"/>
        <v>6.038088000000001</v>
      </c>
      <c r="L36" s="39" t="s">
        <v>2971</v>
      </c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25">
        <f t="shared" si="0"/>
        <v>0</v>
      </c>
      <c r="L37" s="39"/>
    </row>
    <row r="38" spans="1:12" s="27" customFormat="1" ht="19.5" customHeight="1" x14ac:dyDescent="0.3">
      <c r="A38" s="28" t="s">
        <v>2972</v>
      </c>
      <c r="B38" s="16" t="s">
        <v>2967</v>
      </c>
      <c r="C38" s="17">
        <v>22</v>
      </c>
      <c r="D38" s="18" t="s">
        <v>2975</v>
      </c>
      <c r="E38" s="41">
        <v>2</v>
      </c>
      <c r="F38" s="42">
        <v>3.56</v>
      </c>
      <c r="G38" s="34" t="s">
        <v>2949</v>
      </c>
      <c r="H38" s="35">
        <v>1981</v>
      </c>
      <c r="I38" s="36">
        <v>3353</v>
      </c>
      <c r="J38" s="37">
        <v>1</v>
      </c>
      <c r="K38" s="25">
        <f t="shared" si="0"/>
        <v>6.6422930000000004</v>
      </c>
      <c r="L38" s="39" t="s">
        <v>2980</v>
      </c>
    </row>
    <row r="39" spans="1:12" s="27" customFormat="1" ht="19.5" customHeight="1" x14ac:dyDescent="0.3">
      <c r="A39" s="28" t="s">
        <v>2976</v>
      </c>
      <c r="B39" s="16" t="s">
        <v>2977</v>
      </c>
      <c r="C39" s="17">
        <v>39</v>
      </c>
      <c r="D39" s="18" t="s">
        <v>2978</v>
      </c>
      <c r="E39" s="41">
        <v>1</v>
      </c>
      <c r="F39" s="42">
        <v>2.36</v>
      </c>
      <c r="G39" s="34" t="s">
        <v>2949</v>
      </c>
      <c r="H39" s="35">
        <v>2590</v>
      </c>
      <c r="I39" s="36">
        <v>3353</v>
      </c>
      <c r="J39" s="37">
        <v>1</v>
      </c>
      <c r="K39" s="25">
        <f t="shared" si="0"/>
        <v>8.6842699999999979</v>
      </c>
      <c r="L39" s="39" t="s">
        <v>2980</v>
      </c>
    </row>
    <row r="40" spans="1:12" s="27" customFormat="1" ht="19.5" customHeight="1" x14ac:dyDescent="0.3">
      <c r="A40" s="28" t="s">
        <v>2979</v>
      </c>
      <c r="B40" s="16" t="s">
        <v>2977</v>
      </c>
      <c r="C40" s="17">
        <v>39</v>
      </c>
      <c r="D40" s="18" t="s">
        <v>2978</v>
      </c>
      <c r="E40" s="41">
        <v>3</v>
      </c>
      <c r="F40" s="42">
        <v>5.26</v>
      </c>
      <c r="G40" s="34"/>
      <c r="H40" s="35"/>
      <c r="I40" s="36"/>
      <c r="J40" s="37"/>
      <c r="K40" s="25">
        <f t="shared" si="0"/>
        <v>0</v>
      </c>
      <c r="L40" s="39" t="s">
        <v>2980</v>
      </c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25">
        <f t="shared" ref="K41:K56" si="1">(H41/1000*I41/1000)*J41</f>
        <v>0</v>
      </c>
      <c r="L41" s="39"/>
    </row>
    <row r="42" spans="1:12" s="27" customFormat="1" ht="19.5" customHeight="1" x14ac:dyDescent="0.3">
      <c r="A42" s="28" t="s">
        <v>2981</v>
      </c>
      <c r="B42" s="16" t="s">
        <v>2962</v>
      </c>
      <c r="C42" s="17">
        <v>22</v>
      </c>
      <c r="D42" s="18" t="s">
        <v>2963</v>
      </c>
      <c r="E42" s="41">
        <v>60</v>
      </c>
      <c r="F42" s="42">
        <v>46.12</v>
      </c>
      <c r="G42" s="34" t="s">
        <v>2964</v>
      </c>
      <c r="H42" s="35">
        <v>1829</v>
      </c>
      <c r="I42" s="36">
        <v>3353</v>
      </c>
      <c r="J42" s="37">
        <v>10</v>
      </c>
      <c r="K42" s="25">
        <f t="shared" si="1"/>
        <v>61.326369999999997</v>
      </c>
      <c r="L42" s="39"/>
    </row>
    <row r="43" spans="1:12" s="27" customFormat="1" ht="19.5" customHeight="1" x14ac:dyDescent="0.3">
      <c r="A43" s="28"/>
      <c r="B43" s="16"/>
      <c r="C43" s="17">
        <v>22</v>
      </c>
      <c r="D43" s="18" t="s">
        <v>2963</v>
      </c>
      <c r="E43" s="41">
        <v>16</v>
      </c>
      <c r="F43" s="42">
        <v>13.28</v>
      </c>
      <c r="G43" s="34" t="s">
        <v>2965</v>
      </c>
      <c r="H43" s="35">
        <v>1981</v>
      </c>
      <c r="I43" s="36">
        <v>3353</v>
      </c>
      <c r="J43" s="37">
        <v>10</v>
      </c>
      <c r="K43" s="25">
        <f t="shared" si="1"/>
        <v>66.422930000000008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25">
        <f t="shared" si="1"/>
        <v>0</v>
      </c>
      <c r="L44" s="39"/>
    </row>
    <row r="45" spans="1:12" s="27" customFormat="1" ht="19.5" customHeight="1" x14ac:dyDescent="0.3">
      <c r="A45" s="28" t="s">
        <v>2722</v>
      </c>
      <c r="B45" s="16" t="s">
        <v>2720</v>
      </c>
      <c r="C45" s="17">
        <v>22</v>
      </c>
      <c r="D45" s="18" t="s">
        <v>45</v>
      </c>
      <c r="E45" s="41">
        <v>75</v>
      </c>
      <c r="F45" s="42">
        <v>57.65</v>
      </c>
      <c r="G45" s="34" t="s">
        <v>2964</v>
      </c>
      <c r="H45" s="35">
        <v>1981</v>
      </c>
      <c r="I45" s="36">
        <v>3353</v>
      </c>
      <c r="J45" s="37">
        <v>10</v>
      </c>
      <c r="K45" s="25">
        <f t="shared" si="1"/>
        <v>66.422930000000008</v>
      </c>
      <c r="L45" s="39" t="s">
        <v>2982</v>
      </c>
    </row>
    <row r="46" spans="1:12" s="27" customFormat="1" ht="19.5" customHeight="1" x14ac:dyDescent="0.3">
      <c r="A46" s="28"/>
      <c r="B46" s="16"/>
      <c r="C46" s="17">
        <v>22</v>
      </c>
      <c r="D46" s="18" t="s">
        <v>45</v>
      </c>
      <c r="E46" s="41">
        <v>10</v>
      </c>
      <c r="F46" s="42">
        <v>3.8</v>
      </c>
      <c r="G46" s="34"/>
      <c r="H46" s="35"/>
      <c r="I46" s="36"/>
      <c r="J46" s="37"/>
      <c r="K46" s="25">
        <f t="shared" si="1"/>
        <v>0</v>
      </c>
      <c r="L46" s="39" t="s">
        <v>2982</v>
      </c>
    </row>
    <row r="47" spans="1:12" s="27" customFormat="1" ht="19.5" customHeight="1" x14ac:dyDescent="0.3">
      <c r="A47" s="28"/>
      <c r="B47" s="16"/>
      <c r="C47" s="17"/>
      <c r="D47" s="18"/>
      <c r="E47" s="41"/>
      <c r="F47" s="42"/>
      <c r="G47" s="34"/>
      <c r="H47" s="35"/>
      <c r="I47" s="36"/>
      <c r="J47" s="37"/>
      <c r="K47" s="25">
        <f t="shared" si="1"/>
        <v>0</v>
      </c>
      <c r="L47" s="39"/>
    </row>
    <row r="48" spans="1:12" s="27" customFormat="1" ht="19.5" customHeight="1" x14ac:dyDescent="0.3">
      <c r="A48" s="28" t="s">
        <v>2983</v>
      </c>
      <c r="B48" s="16"/>
      <c r="C48" s="17"/>
      <c r="D48" s="18"/>
      <c r="E48" s="41"/>
      <c r="F48" s="42"/>
      <c r="G48" s="34"/>
      <c r="H48" s="35"/>
      <c r="I48" s="36"/>
      <c r="J48" s="37"/>
      <c r="K48" s="25">
        <f t="shared" si="1"/>
        <v>0</v>
      </c>
      <c r="L48" s="39"/>
    </row>
    <row r="49" spans="1:12" s="27" customFormat="1" ht="19.5" customHeight="1" x14ac:dyDescent="0.3">
      <c r="A49" s="28" t="s">
        <v>3009</v>
      </c>
      <c r="B49" s="16" t="s">
        <v>3010</v>
      </c>
      <c r="C49" s="17">
        <v>5</v>
      </c>
      <c r="D49" s="18" t="s">
        <v>3011</v>
      </c>
      <c r="E49" s="41">
        <v>58</v>
      </c>
      <c r="F49" s="42">
        <v>44.33</v>
      </c>
      <c r="G49" s="34" t="s">
        <v>3012</v>
      </c>
      <c r="H49" s="35">
        <v>1981</v>
      </c>
      <c r="I49" s="36">
        <v>3353</v>
      </c>
      <c r="J49" s="37">
        <v>7</v>
      </c>
      <c r="K49" s="25">
        <f t="shared" si="1"/>
        <v>46.496051000000001</v>
      </c>
      <c r="L49" s="39" t="s">
        <v>3013</v>
      </c>
    </row>
    <row r="50" spans="1:12" s="27" customFormat="1" ht="19.5" customHeight="1" x14ac:dyDescent="0.3">
      <c r="A50" s="28"/>
      <c r="B50" s="16"/>
      <c r="C50" s="17"/>
      <c r="D50" s="18"/>
      <c r="E50" s="41"/>
      <c r="F50" s="42"/>
      <c r="G50" s="34"/>
      <c r="H50" s="35"/>
      <c r="I50" s="36"/>
      <c r="J50" s="37"/>
      <c r="K50" s="25">
        <f t="shared" si="1"/>
        <v>0</v>
      </c>
      <c r="L50" s="39"/>
    </row>
    <row r="51" spans="1:12" s="27" customFormat="1" ht="19.5" customHeight="1" x14ac:dyDescent="0.3">
      <c r="A51" s="28"/>
      <c r="B51" s="16"/>
      <c r="C51" s="17">
        <v>8</v>
      </c>
      <c r="D51" s="18" t="s">
        <v>3014</v>
      </c>
      <c r="E51" s="41">
        <v>33</v>
      </c>
      <c r="F51" s="42">
        <v>85.28</v>
      </c>
      <c r="G51" s="34" t="s">
        <v>3018</v>
      </c>
      <c r="H51" s="35">
        <v>2438</v>
      </c>
      <c r="I51" s="36">
        <v>3048</v>
      </c>
      <c r="J51" s="37">
        <v>12</v>
      </c>
      <c r="K51" s="25">
        <f t="shared" si="1"/>
        <v>89.172288000000009</v>
      </c>
      <c r="L51" s="39"/>
    </row>
    <row r="52" spans="1:12" s="27" customFormat="1" ht="19.5" customHeight="1" x14ac:dyDescent="0.3">
      <c r="A52" s="28" t="s">
        <v>3015</v>
      </c>
      <c r="B52" s="16" t="s">
        <v>3016</v>
      </c>
      <c r="C52" s="17">
        <v>8</v>
      </c>
      <c r="D52" s="18" t="s">
        <v>3017</v>
      </c>
      <c r="E52" s="41">
        <v>2</v>
      </c>
      <c r="F52" s="42">
        <v>1.72</v>
      </c>
      <c r="G52" s="34" t="s">
        <v>3018</v>
      </c>
      <c r="H52" s="35">
        <v>2438</v>
      </c>
      <c r="I52" s="36">
        <v>3353</v>
      </c>
      <c r="J52" s="37">
        <v>2</v>
      </c>
      <c r="K52" s="25">
        <f t="shared" si="1"/>
        <v>16.349228</v>
      </c>
      <c r="L52" s="39" t="s">
        <v>3029</v>
      </c>
    </row>
    <row r="53" spans="1:12" s="27" customFormat="1" ht="19.5" customHeight="1" x14ac:dyDescent="0.3">
      <c r="A53" s="28"/>
      <c r="B53" s="16"/>
      <c r="C53" s="17"/>
      <c r="D53" s="18"/>
      <c r="E53" s="41"/>
      <c r="F53" s="42"/>
      <c r="G53" s="34"/>
      <c r="H53" s="35"/>
      <c r="I53" s="36"/>
      <c r="J53" s="37"/>
      <c r="K53" s="25">
        <f t="shared" si="1"/>
        <v>0</v>
      </c>
      <c r="L53" s="39"/>
    </row>
    <row r="54" spans="1:12" s="27" customFormat="1" ht="19.5" customHeight="1" x14ac:dyDescent="0.3">
      <c r="A54" s="28" t="s">
        <v>3019</v>
      </c>
      <c r="B54" s="16" t="s">
        <v>3020</v>
      </c>
      <c r="C54" s="17">
        <v>22</v>
      </c>
      <c r="D54" s="18" t="s">
        <v>3021</v>
      </c>
      <c r="E54" s="41">
        <v>4</v>
      </c>
      <c r="F54" s="42">
        <f>17.32-1.56</f>
        <v>15.76</v>
      </c>
      <c r="G54" s="34" t="s">
        <v>3025</v>
      </c>
      <c r="H54" s="35">
        <v>1981</v>
      </c>
      <c r="I54" s="36">
        <v>3048</v>
      </c>
      <c r="J54" s="37">
        <v>4</v>
      </c>
      <c r="K54" s="25">
        <f t="shared" si="1"/>
        <v>24.152352000000004</v>
      </c>
      <c r="L54" s="39"/>
    </row>
    <row r="55" spans="1:12" s="27" customFormat="1" ht="19.5" customHeight="1" x14ac:dyDescent="0.3">
      <c r="A55" s="28"/>
      <c r="B55" s="16"/>
      <c r="C55" s="17">
        <v>22</v>
      </c>
      <c r="D55" s="18" t="s">
        <v>3022</v>
      </c>
      <c r="E55" s="41">
        <v>1</v>
      </c>
      <c r="F55" s="42">
        <v>1.56</v>
      </c>
      <c r="G55" s="34" t="s">
        <v>3025</v>
      </c>
      <c r="H55" s="35">
        <v>2590</v>
      </c>
      <c r="I55" s="36">
        <v>3048</v>
      </c>
      <c r="J55" s="37">
        <v>1</v>
      </c>
      <c r="K55" s="25">
        <f t="shared" si="1"/>
        <v>7.8943199999999996</v>
      </c>
      <c r="L55" s="39"/>
    </row>
    <row r="56" spans="1:12" s="27" customFormat="1" ht="19.5" customHeight="1" x14ac:dyDescent="0.3">
      <c r="A56" s="28"/>
      <c r="B56" s="16"/>
      <c r="C56" s="17">
        <v>22</v>
      </c>
      <c r="D56" s="18" t="s">
        <v>3023</v>
      </c>
      <c r="E56" s="41">
        <v>1</v>
      </c>
      <c r="F56" s="42">
        <v>3.92</v>
      </c>
      <c r="G56" s="34" t="s">
        <v>3026</v>
      </c>
      <c r="H56" s="35">
        <v>1981</v>
      </c>
      <c r="I56" s="36">
        <v>3353</v>
      </c>
      <c r="J56" s="37">
        <v>5</v>
      </c>
      <c r="K56" s="25">
        <f t="shared" si="1"/>
        <v>33.211465000000004</v>
      </c>
      <c r="L56" s="39"/>
    </row>
    <row r="57" spans="1:12" s="27" customFormat="1" ht="19.5" customHeight="1" x14ac:dyDescent="0.3">
      <c r="A57" s="28"/>
      <c r="B57" s="16"/>
      <c r="C57" s="17">
        <v>16</v>
      </c>
      <c r="D57" s="18" t="s">
        <v>3024</v>
      </c>
      <c r="E57" s="41">
        <v>1</v>
      </c>
      <c r="F57" s="42">
        <v>1.45</v>
      </c>
      <c r="G57" s="34"/>
      <c r="H57" s="35"/>
      <c r="I57" s="36"/>
      <c r="J57" s="37"/>
      <c r="K57" s="25">
        <f t="shared" si="0"/>
        <v>0</v>
      </c>
      <c r="L57" s="39"/>
    </row>
    <row r="58" spans="1:12" s="27" customFormat="1" ht="19.5" customHeight="1" x14ac:dyDescent="0.3">
      <c r="A58" s="28"/>
      <c r="B58" s="16"/>
      <c r="C58" s="17"/>
      <c r="D58" s="18"/>
      <c r="E58" s="41"/>
      <c r="F58" s="42"/>
      <c r="G58" s="34"/>
      <c r="H58" s="35"/>
      <c r="I58" s="36"/>
      <c r="J58" s="37"/>
      <c r="K58" s="25">
        <f t="shared" si="0"/>
        <v>0</v>
      </c>
      <c r="L58" s="39"/>
    </row>
    <row r="59" spans="1:12" s="27" customFormat="1" ht="19.5" customHeight="1" x14ac:dyDescent="0.3">
      <c r="A59" s="28"/>
      <c r="B59" s="29"/>
      <c r="C59" s="30"/>
      <c r="D59" s="31"/>
      <c r="E59" s="41"/>
      <c r="F59" s="42"/>
      <c r="G59" s="43"/>
      <c r="H59" s="35"/>
      <c r="I59" s="36"/>
      <c r="J59" s="37"/>
      <c r="K59" s="38">
        <f t="shared" si="0"/>
        <v>0</v>
      </c>
      <c r="L59" s="39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2984</v>
      </c>
      <c r="B61" s="45" t="s">
        <v>2985</v>
      </c>
      <c r="C61" s="46">
        <v>24</v>
      </c>
      <c r="D61" s="47" t="s">
        <v>2986</v>
      </c>
      <c r="E61" s="48">
        <v>4</v>
      </c>
      <c r="F61" s="49">
        <v>2.2000000000000002</v>
      </c>
      <c r="G61" s="50" t="s">
        <v>2987</v>
      </c>
      <c r="H61" s="51">
        <v>2134</v>
      </c>
      <c r="I61" s="45">
        <v>3048</v>
      </c>
      <c r="J61" s="52">
        <v>1</v>
      </c>
      <c r="K61" s="53">
        <f t="shared" si="0"/>
        <v>6.5044319999999995</v>
      </c>
      <c r="L61" s="54" t="s">
        <v>2988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97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2989</v>
      </c>
      <c r="B63" s="45" t="s">
        <v>2990</v>
      </c>
      <c r="C63" s="46">
        <v>28</v>
      </c>
      <c r="D63" s="47" t="s">
        <v>2991</v>
      </c>
      <c r="E63" s="48">
        <v>6</v>
      </c>
      <c r="F63" s="49">
        <v>7.55</v>
      </c>
      <c r="G63" s="50" t="s">
        <v>2992</v>
      </c>
      <c r="H63" s="51">
        <v>2134</v>
      </c>
      <c r="I63" s="45">
        <v>3048</v>
      </c>
      <c r="J63" s="52">
        <v>2</v>
      </c>
      <c r="K63" s="53">
        <f t="shared" si="0"/>
        <v>13.008863999999999</v>
      </c>
      <c r="L63" s="54" t="s">
        <v>2994</v>
      </c>
    </row>
    <row r="64" spans="1:12" s="55" customFormat="1" ht="19.5" customHeight="1" x14ac:dyDescent="0.3">
      <c r="A64" s="44" t="s">
        <v>2993</v>
      </c>
      <c r="B64" s="45" t="s">
        <v>2990</v>
      </c>
      <c r="C64" s="46">
        <v>28</v>
      </c>
      <c r="D64" s="47" t="s">
        <v>2991</v>
      </c>
      <c r="E64" s="48">
        <v>3</v>
      </c>
      <c r="F64" s="49">
        <v>3.15</v>
      </c>
      <c r="G64" s="50"/>
      <c r="H64" s="51"/>
      <c r="I64" s="45"/>
      <c r="J64" s="52"/>
      <c r="K64" s="53">
        <f t="shared" si="0"/>
        <v>0</v>
      </c>
      <c r="L64" s="54" t="s">
        <v>2994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2995</v>
      </c>
      <c r="B66" s="45" t="s">
        <v>2967</v>
      </c>
      <c r="C66" s="46">
        <v>22</v>
      </c>
      <c r="D66" s="47" t="s">
        <v>2975</v>
      </c>
      <c r="E66" s="48">
        <v>8</v>
      </c>
      <c r="F66" s="49">
        <v>11.28</v>
      </c>
      <c r="G66" s="50" t="s">
        <v>2949</v>
      </c>
      <c r="H66" s="51">
        <v>1981</v>
      </c>
      <c r="I66" s="45">
        <v>3353</v>
      </c>
      <c r="J66" s="52">
        <v>13</v>
      </c>
      <c r="K66" s="53">
        <f t="shared" si="0"/>
        <v>86.349809000000008</v>
      </c>
      <c r="L66" s="54"/>
    </row>
    <row r="67" spans="1:12" s="55" customFormat="1" ht="19.5" customHeight="1" x14ac:dyDescent="0.3">
      <c r="A67" s="44"/>
      <c r="B67" s="45"/>
      <c r="C67" s="46">
        <v>22</v>
      </c>
      <c r="D67" s="47" t="s">
        <v>2947</v>
      </c>
      <c r="E67" s="48">
        <v>96</v>
      </c>
      <c r="F67" s="49">
        <v>77.400000000000006</v>
      </c>
      <c r="G67" s="50" t="s">
        <v>2965</v>
      </c>
      <c r="H67" s="51">
        <v>1981</v>
      </c>
      <c r="I67" s="45">
        <v>3353</v>
      </c>
      <c r="J67" s="52">
        <v>13</v>
      </c>
      <c r="K67" s="53">
        <f t="shared" si="0"/>
        <v>86.349809000000008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2996</v>
      </c>
      <c r="B69" s="45" t="s">
        <v>2967</v>
      </c>
      <c r="C69" s="46">
        <v>22</v>
      </c>
      <c r="D69" s="47" t="s">
        <v>2975</v>
      </c>
      <c r="E69" s="48">
        <v>12</v>
      </c>
      <c r="F69" s="49">
        <v>13.2</v>
      </c>
      <c r="G69" s="50" t="s">
        <v>2949</v>
      </c>
      <c r="H69" s="51">
        <v>1981</v>
      </c>
      <c r="I69" s="45">
        <v>3353</v>
      </c>
      <c r="J69" s="52">
        <v>16</v>
      </c>
      <c r="K69" s="53">
        <f t="shared" si="0"/>
        <v>106.27668800000001</v>
      </c>
      <c r="L69" s="54"/>
    </row>
    <row r="70" spans="1:12" s="55" customFormat="1" ht="19.5" customHeight="1" x14ac:dyDescent="0.3">
      <c r="A70" s="44"/>
      <c r="B70" s="45"/>
      <c r="C70" s="46">
        <v>22</v>
      </c>
      <c r="D70" s="47" t="s">
        <v>2947</v>
      </c>
      <c r="E70" s="48">
        <v>108</v>
      </c>
      <c r="F70" s="49">
        <v>88.68</v>
      </c>
      <c r="G70" s="50" t="s">
        <v>2965</v>
      </c>
      <c r="H70" s="51">
        <v>1981</v>
      </c>
      <c r="I70" s="45">
        <v>3353</v>
      </c>
      <c r="J70" s="52">
        <v>15</v>
      </c>
      <c r="K70" s="53">
        <f t="shared" si="0"/>
        <v>99.634395000000012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 t="s">
        <v>2997</v>
      </c>
      <c r="B72" s="45" t="s">
        <v>2998</v>
      </c>
      <c r="C72" s="46">
        <v>24</v>
      </c>
      <c r="D72" s="47" t="s">
        <v>2999</v>
      </c>
      <c r="E72" s="48">
        <v>3</v>
      </c>
      <c r="F72" s="49">
        <v>6.99</v>
      </c>
      <c r="G72" s="50" t="s">
        <v>2949</v>
      </c>
      <c r="H72" s="51">
        <v>1981</v>
      </c>
      <c r="I72" s="45">
        <v>3353</v>
      </c>
      <c r="J72" s="52">
        <v>1</v>
      </c>
      <c r="K72" s="53">
        <f t="shared" si="0"/>
        <v>6.6422930000000004</v>
      </c>
      <c r="L72" s="54"/>
    </row>
    <row r="73" spans="1:12" s="55" customFormat="1" ht="19.5" customHeight="1" x14ac:dyDescent="0.3">
      <c r="A73" s="44"/>
      <c r="B73" s="45"/>
      <c r="C73" s="46">
        <v>28</v>
      </c>
      <c r="D73" s="47" t="s">
        <v>3001</v>
      </c>
      <c r="E73" s="48">
        <v>65</v>
      </c>
      <c r="F73" s="49">
        <v>69.7</v>
      </c>
      <c r="G73" s="50" t="s">
        <v>3000</v>
      </c>
      <c r="H73" s="51">
        <v>2438</v>
      </c>
      <c r="I73" s="45">
        <v>3048</v>
      </c>
      <c r="J73" s="52">
        <v>2</v>
      </c>
      <c r="K73" s="53">
        <f t="shared" si="0"/>
        <v>14.862048000000001</v>
      </c>
      <c r="L73" s="54" t="s">
        <v>3003</v>
      </c>
    </row>
    <row r="74" spans="1:12" s="55" customFormat="1" ht="19.5" customHeight="1" x14ac:dyDescent="0.3">
      <c r="A74" s="44"/>
      <c r="B74" s="45"/>
      <c r="C74" s="46">
        <v>28</v>
      </c>
      <c r="D74" s="47" t="s">
        <v>3007</v>
      </c>
      <c r="E74" s="48">
        <v>58</v>
      </c>
      <c r="F74" s="49">
        <v>60.74</v>
      </c>
      <c r="G74" s="50" t="s">
        <v>3002</v>
      </c>
      <c r="H74" s="51">
        <v>2438</v>
      </c>
      <c r="I74" s="45">
        <v>3048</v>
      </c>
      <c r="J74" s="52">
        <v>32</v>
      </c>
      <c r="K74" s="53">
        <f t="shared" si="0"/>
        <v>237.79276800000002</v>
      </c>
      <c r="L74" s="54" t="s">
        <v>3003</v>
      </c>
    </row>
    <row r="75" spans="1:12" s="55" customFormat="1" ht="19.5" customHeight="1" x14ac:dyDescent="0.3">
      <c r="A75" s="44"/>
      <c r="B75" s="45"/>
      <c r="C75" s="46">
        <v>28</v>
      </c>
      <c r="D75" s="47" t="s">
        <v>3001</v>
      </c>
      <c r="E75" s="48">
        <v>33</v>
      </c>
      <c r="F75" s="49">
        <v>76.89</v>
      </c>
      <c r="G75" s="50"/>
      <c r="H75" s="51"/>
      <c r="I75" s="45"/>
      <c r="J75" s="52"/>
      <c r="K75" s="53">
        <f t="shared" si="0"/>
        <v>0</v>
      </c>
      <c r="L75" s="54" t="s">
        <v>3003</v>
      </c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 t="s">
        <v>2983</v>
      </c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 t="s">
        <v>3004</v>
      </c>
      <c r="B78" s="45" t="s">
        <v>1890</v>
      </c>
      <c r="C78" s="46">
        <v>28</v>
      </c>
      <c r="D78" s="47" t="s">
        <v>3001</v>
      </c>
      <c r="E78" s="48">
        <v>65</v>
      </c>
      <c r="F78" s="49">
        <v>69.7</v>
      </c>
      <c r="G78" s="50" t="s">
        <v>3005</v>
      </c>
      <c r="H78" s="51">
        <v>2438</v>
      </c>
      <c r="I78" s="45">
        <v>3048</v>
      </c>
      <c r="J78" s="52">
        <v>31</v>
      </c>
      <c r="K78" s="53">
        <f t="shared" si="0"/>
        <v>230.36174400000002</v>
      </c>
      <c r="L78" s="54" t="s">
        <v>3027</v>
      </c>
    </row>
    <row r="79" spans="1:12" s="55" customFormat="1" ht="19.5" customHeight="1" x14ac:dyDescent="0.3">
      <c r="A79" s="44"/>
      <c r="B79" s="45"/>
      <c r="C79" s="46">
        <v>28</v>
      </c>
      <c r="D79" s="47" t="s">
        <v>3007</v>
      </c>
      <c r="E79" s="48">
        <v>58</v>
      </c>
      <c r="F79" s="49">
        <v>60.74</v>
      </c>
      <c r="G79" s="50"/>
      <c r="H79" s="51"/>
      <c r="I79" s="45"/>
      <c r="J79" s="52"/>
      <c r="K79" s="53">
        <f t="shared" si="0"/>
        <v>0</v>
      </c>
      <c r="L79" s="54" t="s">
        <v>3028</v>
      </c>
    </row>
    <row r="80" spans="1:12" s="55" customFormat="1" ht="19.5" customHeight="1" x14ac:dyDescent="0.3">
      <c r="A80" s="44"/>
      <c r="B80" s="45"/>
      <c r="C80" s="46">
        <v>28</v>
      </c>
      <c r="D80" s="47" t="s">
        <v>3001</v>
      </c>
      <c r="E80" s="48">
        <v>33</v>
      </c>
      <c r="F80" s="49">
        <v>76.89</v>
      </c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 t="s">
        <v>3006</v>
      </c>
      <c r="B82" s="45" t="s">
        <v>1890</v>
      </c>
      <c r="C82" s="46">
        <v>28</v>
      </c>
      <c r="D82" s="47" t="s">
        <v>3001</v>
      </c>
      <c r="E82" s="48">
        <v>80</v>
      </c>
      <c r="F82" s="49">
        <v>87.9</v>
      </c>
      <c r="G82" s="50" t="s">
        <v>3002</v>
      </c>
      <c r="H82" s="51">
        <v>2438</v>
      </c>
      <c r="I82" s="45">
        <v>3048</v>
      </c>
      <c r="J82" s="52">
        <v>39</v>
      </c>
      <c r="K82" s="53">
        <f t="shared" si="0"/>
        <v>289.80993600000005</v>
      </c>
      <c r="L82" s="54" t="s">
        <v>3008</v>
      </c>
    </row>
    <row r="83" spans="1:12" s="55" customFormat="1" ht="19.5" customHeight="1" x14ac:dyDescent="0.3">
      <c r="A83" s="44"/>
      <c r="B83" s="45"/>
      <c r="C83" s="46">
        <v>28</v>
      </c>
      <c r="D83" s="47" t="s">
        <v>3007</v>
      </c>
      <c r="E83" s="48">
        <v>76</v>
      </c>
      <c r="F83" s="49">
        <v>80.88</v>
      </c>
      <c r="G83" s="50"/>
      <c r="H83" s="51"/>
      <c r="I83" s="45"/>
      <c r="J83" s="52"/>
      <c r="K83" s="53">
        <f t="shared" si="0"/>
        <v>0</v>
      </c>
      <c r="L83" s="54" t="s">
        <v>3030</v>
      </c>
    </row>
    <row r="84" spans="1:12" s="55" customFormat="1" ht="19.5" customHeight="1" x14ac:dyDescent="0.3">
      <c r="A84" s="44"/>
      <c r="B84" s="45"/>
      <c r="C84" s="46">
        <v>28</v>
      </c>
      <c r="D84" s="47" t="s">
        <v>3001</v>
      </c>
      <c r="E84" s="48">
        <v>39</v>
      </c>
      <c r="F84" s="49">
        <v>90.69</v>
      </c>
      <c r="G84" s="50"/>
      <c r="H84" s="51"/>
      <c r="I84" s="45"/>
      <c r="J84" s="52"/>
      <c r="K84" s="53">
        <f t="shared" si="0"/>
        <v>0</v>
      </c>
      <c r="L84" s="54"/>
    </row>
    <row r="85" spans="1:12" s="55" customFormat="1" ht="19.5" customHeight="1" x14ac:dyDescent="0.3">
      <c r="A85" s="44"/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5" customFormat="1" ht="19.5" customHeight="1" x14ac:dyDescent="0.3">
      <c r="A86" s="44"/>
      <c r="B86" s="45"/>
      <c r="C86" s="46"/>
      <c r="D86" s="47"/>
      <c r="E86" s="48"/>
      <c r="F86" s="49"/>
      <c r="G86" s="50"/>
      <c r="H86" s="51"/>
      <c r="I86" s="45"/>
      <c r="J86" s="52"/>
      <c r="K86" s="53">
        <f t="shared" si="0"/>
        <v>0</v>
      </c>
      <c r="L86" s="54"/>
    </row>
    <row r="87" spans="1:12" s="55" customFormat="1" ht="19.5" customHeight="1" x14ac:dyDescent="0.3">
      <c r="A87" s="44"/>
      <c r="B87" s="96"/>
      <c r="C87" s="77"/>
      <c r="D87" s="78"/>
      <c r="E87" s="48"/>
      <c r="F87" s="49"/>
      <c r="G87" s="50"/>
      <c r="H87" s="51"/>
      <c r="I87" s="45"/>
      <c r="J87" s="52"/>
      <c r="K87" s="53">
        <f t="shared" si="0"/>
        <v>0</v>
      </c>
      <c r="L87" s="54"/>
    </row>
    <row r="88" spans="1:12" s="55" customFormat="1" ht="19.5" customHeight="1" x14ac:dyDescent="0.3">
      <c r="A88" s="44"/>
      <c r="B88" s="76"/>
      <c r="C88" s="46"/>
      <c r="D88" s="47"/>
      <c r="E88" s="48"/>
      <c r="F88" s="49"/>
      <c r="G88" s="50"/>
      <c r="H88" s="51"/>
      <c r="I88" s="45"/>
      <c r="J88" s="52"/>
      <c r="K88" s="53">
        <f t="shared" si="0"/>
        <v>0</v>
      </c>
      <c r="L88" s="54"/>
    </row>
    <row r="89" spans="1:12" s="55" customFormat="1" ht="19.5" customHeight="1" x14ac:dyDescent="0.3">
      <c r="A89" s="44"/>
      <c r="B89" s="45"/>
      <c r="C89" s="46"/>
      <c r="D89" s="47"/>
      <c r="E89" s="48"/>
      <c r="F89" s="49"/>
      <c r="G89" s="50"/>
      <c r="H89" s="51"/>
      <c r="I89" s="45"/>
      <c r="J89" s="52"/>
      <c r="K89" s="53">
        <f t="shared" si="0"/>
        <v>0</v>
      </c>
      <c r="L89" s="54"/>
    </row>
    <row r="90" spans="1:12" s="55" customFormat="1" ht="19.5" customHeight="1" x14ac:dyDescent="0.3">
      <c r="A90" s="44"/>
      <c r="B90" s="76"/>
      <c r="C90" s="46"/>
      <c r="D90" s="47"/>
      <c r="E90" s="48"/>
      <c r="F90" s="49"/>
      <c r="G90" s="50"/>
      <c r="H90" s="51"/>
      <c r="I90" s="45"/>
      <c r="J90" s="52"/>
      <c r="K90" s="53">
        <f t="shared" si="0"/>
        <v>0</v>
      </c>
      <c r="L90" s="54"/>
    </row>
    <row r="91" spans="1:12" s="55" customFormat="1" ht="19.5" customHeight="1" x14ac:dyDescent="0.3">
      <c r="A91" s="44"/>
      <c r="B91" s="76"/>
      <c r="C91" s="46"/>
      <c r="D91" s="47"/>
      <c r="E91" s="48"/>
      <c r="F91" s="49"/>
      <c r="G91" s="50"/>
      <c r="H91" s="51"/>
      <c r="I91" s="45"/>
      <c r="J91" s="52"/>
      <c r="K91" s="53">
        <f t="shared" si="0"/>
        <v>0</v>
      </c>
      <c r="L91" s="54"/>
    </row>
    <row r="92" spans="1:12" s="55" customFormat="1" ht="19.5" customHeight="1" x14ac:dyDescent="0.3">
      <c r="A92" s="44"/>
      <c r="B92" s="45"/>
      <c r="C92" s="46"/>
      <c r="D92" s="47"/>
      <c r="E92" s="48"/>
      <c r="F92" s="49"/>
      <c r="G92" s="50"/>
      <c r="H92" s="51"/>
      <c r="I92" s="45"/>
      <c r="J92" s="52"/>
      <c r="K92" s="53">
        <f t="shared" si="0"/>
        <v>0</v>
      </c>
      <c r="L92" s="54"/>
    </row>
    <row r="93" spans="1:12" s="55" customFormat="1" ht="19.5" customHeight="1" x14ac:dyDescent="0.3">
      <c r="A93" s="44"/>
      <c r="B93" s="76"/>
      <c r="C93" s="46"/>
      <c r="D93" s="47"/>
      <c r="E93" s="48"/>
      <c r="F93" s="49"/>
      <c r="G93" s="50"/>
      <c r="H93" s="51"/>
      <c r="I93" s="45"/>
      <c r="J93" s="52"/>
      <c r="K93" s="53">
        <f t="shared" si="0"/>
        <v>0</v>
      </c>
      <c r="L93" s="54"/>
    </row>
    <row r="94" spans="1:12" s="55" customFormat="1" ht="19.5" customHeight="1" x14ac:dyDescent="0.3">
      <c r="A94" s="44"/>
      <c r="B94" s="76"/>
      <c r="C94" s="46"/>
      <c r="D94" s="47"/>
      <c r="E94" s="48"/>
      <c r="F94" s="49"/>
      <c r="G94" s="50"/>
      <c r="H94" s="51"/>
      <c r="I94" s="45"/>
      <c r="J94" s="52"/>
      <c r="K94" s="53">
        <f t="shared" si="0"/>
        <v>0</v>
      </c>
      <c r="L94" s="54"/>
    </row>
    <row r="95" spans="1:12" s="55" customFormat="1" ht="19.5" customHeight="1" x14ac:dyDescent="0.3">
      <c r="A95" s="44"/>
      <c r="B95" s="76"/>
      <c r="C95" s="46"/>
      <c r="D95" s="47"/>
      <c r="E95" s="48"/>
      <c r="F95" s="49"/>
      <c r="G95" s="50"/>
      <c r="H95" s="51"/>
      <c r="I95" s="45"/>
      <c r="J95" s="52"/>
      <c r="K95" s="53">
        <f t="shared" si="0"/>
        <v>0</v>
      </c>
      <c r="L95" s="54"/>
    </row>
    <row r="96" spans="1:12" s="55" customFormat="1" ht="19.5" customHeight="1" x14ac:dyDescent="0.3">
      <c r="A96" s="44"/>
      <c r="B96" s="76"/>
      <c r="C96" s="46"/>
      <c r="D96" s="47"/>
      <c r="E96" s="48"/>
      <c r="F96" s="49"/>
      <c r="G96" s="50"/>
      <c r="H96" s="51"/>
      <c r="I96" s="45"/>
      <c r="J96" s="52"/>
      <c r="K96" s="53">
        <f t="shared" si="0"/>
        <v>0</v>
      </c>
      <c r="L96" s="54"/>
    </row>
    <row r="97" spans="1:12" s="55" customFormat="1" ht="19.5" customHeight="1" x14ac:dyDescent="0.3">
      <c r="A97" s="44"/>
      <c r="B97" s="76"/>
      <c r="C97" s="46"/>
      <c r="D97" s="47"/>
      <c r="E97" s="48"/>
      <c r="F97" s="49"/>
      <c r="G97" s="50"/>
      <c r="H97" s="51"/>
      <c r="I97" s="45"/>
      <c r="J97" s="52"/>
      <c r="K97" s="53">
        <f t="shared" si="0"/>
        <v>0</v>
      </c>
      <c r="L97" s="54"/>
    </row>
    <row r="98" spans="1:12" s="55" customFormat="1" ht="19.5" customHeight="1" x14ac:dyDescent="0.3">
      <c r="A98" s="44"/>
      <c r="B98" s="45"/>
      <c r="C98" s="46"/>
      <c r="D98" s="47"/>
      <c r="E98" s="48"/>
      <c r="F98" s="49"/>
      <c r="G98" s="50"/>
      <c r="H98" s="51"/>
      <c r="I98" s="45"/>
      <c r="J98" s="52"/>
      <c r="K98" s="53">
        <f t="shared" si="0"/>
        <v>0</v>
      </c>
      <c r="L98" s="54"/>
    </row>
    <row r="99" spans="1:12" s="59" customFormat="1" ht="20.100000000000001" customHeight="1" x14ac:dyDescent="0.3">
      <c r="A99" s="44"/>
      <c r="B99" s="45"/>
      <c r="C99" s="46"/>
      <c r="D99" s="47"/>
      <c r="E99" s="56"/>
      <c r="F99" s="57"/>
      <c r="G99" s="50"/>
      <c r="H99" s="51"/>
      <c r="I99" s="45"/>
      <c r="J99" s="52"/>
      <c r="K99" s="53">
        <f t="shared" si="0"/>
        <v>0</v>
      </c>
      <c r="L99" s="58">
        <f>SUM(J60:J100)</f>
        <v>165</v>
      </c>
    </row>
    <row r="100" spans="1:12" s="59" customFormat="1" ht="20.100000000000001" customHeight="1" x14ac:dyDescent="0.3">
      <c r="A100" s="44"/>
      <c r="B100" s="45"/>
      <c r="C100" s="46"/>
      <c r="D100" s="47"/>
      <c r="E100" s="60"/>
      <c r="F100" s="61"/>
      <c r="G100" s="62"/>
      <c r="H100" s="51"/>
      <c r="I100" s="45"/>
      <c r="J100" s="63"/>
      <c r="K100" s="53">
        <f t="shared" si="0"/>
        <v>0</v>
      </c>
      <c r="L100" s="64">
        <f>SUM(K60:K100)</f>
        <v>1177.5927860000002</v>
      </c>
    </row>
    <row r="101" spans="1:12" s="59" customFormat="1" ht="20.100000000000001" customHeight="1" thickBot="1" x14ac:dyDescent="0.35">
      <c r="A101" s="114"/>
      <c r="B101" s="115"/>
      <c r="C101" s="115"/>
      <c r="D101" s="115"/>
      <c r="E101" s="115"/>
      <c r="F101" s="115"/>
      <c r="G101" s="115"/>
      <c r="H101" s="115"/>
      <c r="I101" s="115"/>
      <c r="J101" s="65">
        <f>SUM(J7:J100)</f>
        <v>270</v>
      </c>
      <c r="K101" s="66">
        <f>SUM(K7:K100)</f>
        <v>1874.8438460000002</v>
      </c>
      <c r="L101" s="67"/>
    </row>
    <row r="102" spans="1:12" s="59" customFormat="1" ht="20.100000000000001" customHeight="1" thickTop="1" thickBot="1" x14ac:dyDescent="0.35">
      <c r="A102" s="116" t="s">
        <v>52</v>
      </c>
      <c r="B102" s="117"/>
      <c r="C102" s="68"/>
      <c r="D102" s="118">
        <f>J101</f>
        <v>270</v>
      </c>
      <c r="E102" s="119"/>
      <c r="F102" s="119"/>
      <c r="G102" s="120"/>
      <c r="H102" s="121"/>
      <c r="I102" s="121"/>
      <c r="J102" s="122"/>
      <c r="K102" s="119"/>
      <c r="L102" s="123"/>
    </row>
    <row r="103" spans="1:12" s="59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71"/>
    </row>
    <row r="104" spans="1:12" s="59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59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59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59" customFormat="1" ht="20.100000000000001" customHeight="1" x14ac:dyDescent="0.3">
      <c r="A107" s="113"/>
      <c r="B107" s="113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59" customFormat="1" ht="20.100000000000001" customHeight="1" x14ac:dyDescent="0.3">
      <c r="A108" s="113"/>
      <c r="B108" s="113"/>
      <c r="C108" s="5"/>
      <c r="D108" s="5"/>
      <c r="E108" s="72"/>
      <c r="F108" s="5"/>
      <c r="G108" s="5"/>
      <c r="H108" s="5"/>
      <c r="I108" s="5"/>
      <c r="J108" s="5"/>
      <c r="K108" s="5"/>
      <c r="L108" s="5"/>
    </row>
    <row r="109" spans="1:12" s="59" customFormat="1" ht="20.100000000000001" customHeight="1" x14ac:dyDescent="0.3">
      <c r="A109" s="113"/>
      <c r="B109" s="113"/>
      <c r="C109" s="5"/>
      <c r="D109" s="5"/>
      <c r="E109" s="5"/>
      <c r="F109" s="5"/>
      <c r="G109" s="73"/>
      <c r="H109" s="5"/>
      <c r="I109" s="74"/>
      <c r="J109" s="5"/>
      <c r="K109" s="5"/>
      <c r="L109" s="5"/>
    </row>
    <row r="110" spans="1:12" s="59" customFormat="1" ht="20.100000000000001" customHeight="1" x14ac:dyDescent="0.3">
      <c r="A110" s="113"/>
      <c r="B110" s="113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59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59" customFormat="1" ht="20.100000000000001" customHeight="1" x14ac:dyDescent="0.3">
      <c r="A112" s="113"/>
      <c r="B112" s="113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59" customFormat="1" ht="20.100000000000001" customHeight="1" x14ac:dyDescent="0.3">
      <c r="A113" s="113"/>
      <c r="B113" s="113"/>
      <c r="C113" s="5"/>
      <c r="D113" s="5"/>
      <c r="E113" s="5"/>
      <c r="F113" s="70"/>
      <c r="G113" s="5"/>
      <c r="H113" s="72"/>
      <c r="I113" s="72"/>
      <c r="J113" s="5"/>
      <c r="K113" s="5"/>
      <c r="L113" s="5"/>
    </row>
    <row r="114" spans="1:12" ht="20.100000000000001" customHeight="1" x14ac:dyDescent="0.3">
      <c r="A114" s="113"/>
      <c r="B114" s="113"/>
      <c r="H114" s="72"/>
      <c r="I114" s="72"/>
    </row>
    <row r="115" spans="1:12" ht="20.100000000000001" customHeight="1" x14ac:dyDescent="0.3">
      <c r="H115" s="72"/>
      <c r="I115" s="72"/>
    </row>
    <row r="116" spans="1:12" ht="20.100000000000001" customHeight="1" x14ac:dyDescent="0.3">
      <c r="H116" s="72"/>
      <c r="I116" s="72"/>
    </row>
    <row r="117" spans="1:12" ht="20.100000000000001" customHeight="1" x14ac:dyDescent="0.3">
      <c r="A117" s="113"/>
      <c r="B117" s="113"/>
      <c r="H117" s="72"/>
      <c r="I117" s="72"/>
    </row>
    <row r="118" spans="1:12" ht="20.100000000000001" customHeight="1" x14ac:dyDescent="0.3">
      <c r="A118" s="113"/>
      <c r="B118" s="113"/>
      <c r="H118" s="72"/>
      <c r="I118" s="72"/>
    </row>
    <row r="119" spans="1:12" ht="20.100000000000001" customHeight="1" x14ac:dyDescent="0.3">
      <c r="H119" s="72"/>
      <c r="I119" s="72"/>
    </row>
    <row r="120" spans="1:12" ht="20.100000000000001" customHeight="1" x14ac:dyDescent="0.3">
      <c r="H120" s="72"/>
      <c r="I120" s="72"/>
    </row>
    <row r="121" spans="1:12" ht="20.100000000000001" customHeight="1" x14ac:dyDescent="0.3">
      <c r="H121" s="72"/>
      <c r="I121" s="72"/>
    </row>
    <row r="122" spans="1:12" s="72" customFormat="1" ht="20.100000000000001" customHeight="1" x14ac:dyDescent="0.3">
      <c r="A122" s="69"/>
      <c r="B122" s="5"/>
      <c r="C122" s="5"/>
      <c r="D122" s="5"/>
      <c r="E122" s="5"/>
      <c r="F122" s="70"/>
      <c r="G122" s="5"/>
      <c r="J122" s="5"/>
      <c r="K122" s="5"/>
      <c r="L122" s="5"/>
    </row>
    <row r="123" spans="1:12" s="72" customFormat="1" ht="20.100000000000001" customHeight="1" x14ac:dyDescent="0.3">
      <c r="A123" s="69"/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75" customFormat="1" ht="20.100000000000001" customHeight="1" x14ac:dyDescent="0.3">
      <c r="A124" s="69"/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75" customFormat="1" ht="20.100000000000001" customHeight="1" x14ac:dyDescent="0.3">
      <c r="A125" s="69"/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75" customFormat="1" ht="19.5" customHeight="1" x14ac:dyDescent="0.3">
      <c r="A126" s="69"/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72" customFormat="1" ht="20.100000000000001" customHeight="1" x14ac:dyDescent="0.3">
      <c r="A127" s="69"/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72" customFormat="1" ht="20.100000000000001" customHeight="1" x14ac:dyDescent="0.3">
      <c r="A128" s="69"/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ht="19.5" customHeight="1" x14ac:dyDescent="0.3"/>
    <row r="130" spans="2:12" ht="19.5" customHeight="1" x14ac:dyDescent="0.3"/>
    <row r="131" spans="2:12" ht="19.5" customHeight="1" x14ac:dyDescent="0.3"/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ht="19.5" customHeight="1" x14ac:dyDescent="0.3"/>
    <row r="149" spans="2:12" ht="19.5" customHeight="1" x14ac:dyDescent="0.3"/>
    <row r="150" spans="2:12" ht="19.5" customHeight="1" x14ac:dyDescent="0.3"/>
    <row r="151" spans="2:12" ht="19.5" customHeight="1" x14ac:dyDescent="0.3"/>
    <row r="152" spans="2:12" ht="19.5" customHeight="1" x14ac:dyDescent="0.3"/>
    <row r="153" spans="2:12" ht="19.5" customHeight="1" x14ac:dyDescent="0.3"/>
    <row r="154" spans="2:12" ht="19.5" customHeight="1" x14ac:dyDescent="0.3"/>
    <row r="155" spans="2:12" ht="19.5" customHeight="1" x14ac:dyDescent="0.3"/>
    <row r="156" spans="2:12" ht="19.5" customHeight="1" x14ac:dyDescent="0.3"/>
    <row r="157" spans="2:12" ht="19.5" customHeight="1" x14ac:dyDescent="0.3"/>
    <row r="158" spans="2:12" ht="19.5" customHeight="1" x14ac:dyDescent="0.3"/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  <row r="185" spans="2:12" s="69" customFormat="1" ht="19.5" customHeight="1" x14ac:dyDescent="0.3">
      <c r="B185" s="5"/>
      <c r="C185" s="5"/>
      <c r="D185" s="5"/>
      <c r="E185" s="5"/>
      <c r="F185" s="70"/>
      <c r="G185" s="5"/>
      <c r="H185" s="5"/>
      <c r="I185" s="5"/>
      <c r="J185" s="5"/>
      <c r="K185" s="5"/>
      <c r="L185" s="5"/>
    </row>
    <row r="186" spans="2:12" s="69" customFormat="1" ht="19.5" customHeight="1" x14ac:dyDescent="0.3">
      <c r="B186" s="5"/>
      <c r="C186" s="5"/>
      <c r="D186" s="5"/>
      <c r="E186" s="5"/>
      <c r="F186" s="70"/>
      <c r="G186" s="5"/>
      <c r="H186" s="5"/>
      <c r="I186" s="5"/>
      <c r="J186" s="5"/>
      <c r="K186" s="5"/>
      <c r="L186" s="5"/>
    </row>
    <row r="187" spans="2:12" s="69" customFormat="1" ht="19.5" customHeight="1" x14ac:dyDescent="0.3">
      <c r="B187" s="5"/>
      <c r="C187" s="5"/>
      <c r="D187" s="5"/>
      <c r="E187" s="5"/>
      <c r="F187" s="70"/>
      <c r="G187" s="5"/>
      <c r="H187" s="5"/>
      <c r="I187" s="5"/>
      <c r="J187" s="5"/>
      <c r="K187" s="5"/>
      <c r="L187" s="5"/>
    </row>
    <row r="188" spans="2:12" s="69" customFormat="1" ht="19.5" customHeight="1" x14ac:dyDescent="0.3">
      <c r="B188" s="5"/>
      <c r="C188" s="5"/>
      <c r="D188" s="5"/>
      <c r="E188" s="5"/>
      <c r="F188" s="70"/>
      <c r="G188" s="5"/>
      <c r="H188" s="5"/>
      <c r="I188" s="5"/>
      <c r="J188" s="5"/>
      <c r="K188" s="5"/>
      <c r="L188" s="5"/>
    </row>
    <row r="189" spans="2:12" s="69" customFormat="1" ht="19.5" customHeight="1" x14ac:dyDescent="0.3">
      <c r="B189" s="5"/>
      <c r="C189" s="5"/>
      <c r="D189" s="5"/>
      <c r="E189" s="5"/>
      <c r="F189" s="70"/>
      <c r="G189" s="5"/>
      <c r="H189" s="5"/>
      <c r="I189" s="5"/>
      <c r="J189" s="5"/>
      <c r="K189" s="5"/>
      <c r="L189" s="5"/>
    </row>
    <row r="190" spans="2:12" s="69" customFormat="1" ht="19.5" customHeight="1" x14ac:dyDescent="0.3">
      <c r="B190" s="5"/>
      <c r="C190" s="5"/>
      <c r="D190" s="5"/>
      <c r="E190" s="5"/>
      <c r="F190" s="70"/>
      <c r="G190" s="5"/>
      <c r="H190" s="5"/>
      <c r="I190" s="5"/>
      <c r="J190" s="5"/>
      <c r="K190" s="5"/>
      <c r="L190" s="5"/>
    </row>
    <row r="191" spans="2:12" s="69" customFormat="1" ht="19.5" customHeight="1" x14ac:dyDescent="0.3">
      <c r="B191" s="5"/>
      <c r="C191" s="5"/>
      <c r="D191" s="5"/>
      <c r="E191" s="5"/>
      <c r="F191" s="70"/>
      <c r="G191" s="5"/>
      <c r="H191" s="5"/>
      <c r="I191" s="5"/>
      <c r="J191" s="5"/>
      <c r="K191" s="5"/>
      <c r="L191" s="5"/>
    </row>
    <row r="192" spans="2:12" s="69" customFormat="1" ht="19.5" customHeight="1" x14ac:dyDescent="0.3">
      <c r="B192" s="5">
        <v>2</v>
      </c>
      <c r="C192" s="5"/>
      <c r="D192" s="5"/>
      <c r="E192" s="5"/>
      <c r="F192" s="70"/>
      <c r="G192" s="5"/>
      <c r="H192" s="5"/>
      <c r="I192" s="5"/>
      <c r="J192" s="5"/>
      <c r="K192" s="5"/>
      <c r="L192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107:B107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101:I101"/>
    <mergeCell ref="A102:B102"/>
    <mergeCell ref="D102:G102"/>
    <mergeCell ref="H102:J102"/>
    <mergeCell ref="K102:L102"/>
    <mergeCell ref="A117:B117"/>
    <mergeCell ref="A118:B118"/>
    <mergeCell ref="A108:B108"/>
    <mergeCell ref="A109:B109"/>
    <mergeCell ref="A110:B110"/>
    <mergeCell ref="A112:B112"/>
    <mergeCell ref="A113:B113"/>
    <mergeCell ref="A114:B11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38" orientation="portrait" verticalDpi="30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L179"/>
  <sheetViews>
    <sheetView view="pageBreakPreview" topLeftCell="E73" zoomScale="85" zoomScaleSheetLayoutView="85" workbookViewId="0">
      <selection activeCell="L86" sqref="L86:L8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46128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7" si="0">(H7/1000*I7/1000)*J7</f>
        <v>0</v>
      </c>
      <c r="L7" s="26">
        <f>SUM(J7:J44)</f>
        <v>153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SUM(K7:K44)</f>
        <v>1176.7803349999999</v>
      </c>
    </row>
    <row r="9" spans="1:12" s="27" customFormat="1" ht="19.5" customHeight="1" x14ac:dyDescent="0.3">
      <c r="A9" s="28" t="s">
        <v>2875</v>
      </c>
      <c r="B9" s="16" t="s">
        <v>2835</v>
      </c>
      <c r="C9" s="17">
        <v>24</v>
      </c>
      <c r="D9" s="18" t="s">
        <v>2876</v>
      </c>
      <c r="E9" s="41">
        <v>70</v>
      </c>
      <c r="F9" s="42">
        <v>66.849999999999994</v>
      </c>
      <c r="G9" s="34" t="s">
        <v>336</v>
      </c>
      <c r="H9" s="35">
        <v>1981</v>
      </c>
      <c r="I9" s="36">
        <v>3048</v>
      </c>
      <c r="J9" s="37">
        <v>12</v>
      </c>
      <c r="K9" s="38">
        <f t="shared" si="0"/>
        <v>72.457056000000009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2877</v>
      </c>
      <c r="H10" s="35">
        <v>1981</v>
      </c>
      <c r="I10" s="36">
        <v>3048</v>
      </c>
      <c r="J10" s="37">
        <v>12</v>
      </c>
      <c r="K10" s="38">
        <f t="shared" si="0"/>
        <v>72.457056000000009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38"/>
      <c r="L11" s="39"/>
    </row>
    <row r="12" spans="1:12" s="27" customFormat="1" ht="19.5" customHeight="1" x14ac:dyDescent="0.3">
      <c r="A12" s="28" t="s">
        <v>2878</v>
      </c>
      <c r="B12" s="16" t="s">
        <v>191</v>
      </c>
      <c r="C12" s="17">
        <v>10</v>
      </c>
      <c r="D12" s="18" t="s">
        <v>2879</v>
      </c>
      <c r="E12" s="41">
        <v>2</v>
      </c>
      <c r="F12" s="42">
        <v>3.01</v>
      </c>
      <c r="G12" s="34" t="s">
        <v>2881</v>
      </c>
      <c r="H12" s="35">
        <v>2438</v>
      </c>
      <c r="I12" s="36">
        <v>3048</v>
      </c>
      <c r="J12" s="37">
        <v>3</v>
      </c>
      <c r="K12" s="38">
        <f t="shared" si="0"/>
        <v>22.293072000000002</v>
      </c>
      <c r="L12" s="39" t="s">
        <v>2882</v>
      </c>
    </row>
    <row r="13" spans="1:12" s="27" customFormat="1" ht="19.5" customHeight="1" x14ac:dyDescent="0.3">
      <c r="A13" s="28"/>
      <c r="B13" s="16"/>
      <c r="C13" s="17">
        <v>10</v>
      </c>
      <c r="D13" s="18" t="s">
        <v>2880</v>
      </c>
      <c r="E13" s="41">
        <v>7</v>
      </c>
      <c r="F13" s="42">
        <v>9.33</v>
      </c>
      <c r="G13" s="34"/>
      <c r="H13" s="35"/>
      <c r="I13" s="36"/>
      <c r="J13" s="37"/>
      <c r="K13" s="38"/>
      <c r="L13" s="39" t="s">
        <v>2882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/>
      <c r="L14" s="39"/>
    </row>
    <row r="15" spans="1:12" s="27" customFormat="1" ht="19.5" customHeight="1" x14ac:dyDescent="0.3">
      <c r="A15" s="28" t="s">
        <v>2883</v>
      </c>
      <c r="B15" s="16" t="s">
        <v>2884</v>
      </c>
      <c r="C15" s="17">
        <v>26</v>
      </c>
      <c r="D15" s="18" t="s">
        <v>2885</v>
      </c>
      <c r="E15" s="41">
        <v>75</v>
      </c>
      <c r="F15" s="42">
        <v>129.12</v>
      </c>
      <c r="G15" s="34" t="s">
        <v>822</v>
      </c>
      <c r="H15" s="35">
        <v>2590</v>
      </c>
      <c r="I15" s="36">
        <v>3353</v>
      </c>
      <c r="J15" s="37">
        <v>22</v>
      </c>
      <c r="K15" s="38">
        <f t="shared" si="0"/>
        <v>191.05393999999995</v>
      </c>
      <c r="L15" s="39" t="s">
        <v>2886</v>
      </c>
    </row>
    <row r="16" spans="1:12" s="27" customFormat="1" ht="19.5" customHeight="1" x14ac:dyDescent="0.3">
      <c r="A16" s="28"/>
      <c r="B16" s="16"/>
      <c r="C16" s="17">
        <v>24</v>
      </c>
      <c r="D16" s="18" t="s">
        <v>2349</v>
      </c>
      <c r="E16" s="41">
        <v>84</v>
      </c>
      <c r="F16" s="42">
        <v>26.46</v>
      </c>
      <c r="G16" s="34" t="s">
        <v>822</v>
      </c>
      <c r="H16" s="35">
        <v>2590</v>
      </c>
      <c r="I16" s="36">
        <v>3048</v>
      </c>
      <c r="J16" s="37">
        <v>10</v>
      </c>
      <c r="K16" s="38">
        <f t="shared" ref="K16" si="1">(H16/1000*I16/1000)*J16</f>
        <v>78.94319999999999</v>
      </c>
      <c r="L16" s="39" t="s">
        <v>2886</v>
      </c>
    </row>
    <row r="17" spans="1:12" s="27" customFormat="1" ht="19.5" customHeight="1" x14ac:dyDescent="0.3">
      <c r="A17" s="28"/>
      <c r="B17" s="16"/>
      <c r="C17" s="17">
        <v>24</v>
      </c>
      <c r="D17" s="18" t="s">
        <v>539</v>
      </c>
      <c r="E17" s="41">
        <v>159</v>
      </c>
      <c r="F17" s="42">
        <v>107.7</v>
      </c>
      <c r="G17" s="34" t="s">
        <v>189</v>
      </c>
      <c r="H17" s="35">
        <v>2590</v>
      </c>
      <c r="I17" s="36">
        <v>3048</v>
      </c>
      <c r="J17" s="37">
        <v>40</v>
      </c>
      <c r="K17" s="38">
        <f t="shared" ref="K17:K18" si="2">(H17/1000*I17/1000)*J17</f>
        <v>315.77279999999996</v>
      </c>
      <c r="L17" s="39" t="s">
        <v>2889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2888</v>
      </c>
      <c r="H18" s="35">
        <v>2590</v>
      </c>
      <c r="I18" s="36">
        <v>3353</v>
      </c>
      <c r="J18" s="37">
        <v>26</v>
      </c>
      <c r="K18" s="38">
        <f t="shared" si="2"/>
        <v>225.79101999999995</v>
      </c>
      <c r="L18" s="39" t="s">
        <v>2890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/>
      <c r="L19" s="39"/>
    </row>
    <row r="20" spans="1:12" s="27" customFormat="1" ht="19.5" customHeight="1" x14ac:dyDescent="0.3">
      <c r="A20" s="28" t="s">
        <v>2867</v>
      </c>
      <c r="B20" s="16" t="s">
        <v>2887</v>
      </c>
      <c r="C20" s="17">
        <v>24</v>
      </c>
      <c r="D20" s="18" t="s">
        <v>2891</v>
      </c>
      <c r="E20" s="41">
        <v>70</v>
      </c>
      <c r="F20" s="42">
        <v>108.28</v>
      </c>
      <c r="G20" s="34" t="s">
        <v>189</v>
      </c>
      <c r="H20" s="35"/>
      <c r="I20" s="36"/>
      <c r="J20" s="37"/>
      <c r="K20" s="38"/>
      <c r="L20" s="39" t="s">
        <v>2890</v>
      </c>
    </row>
    <row r="21" spans="1:12" s="27" customFormat="1" ht="19.5" customHeight="1" x14ac:dyDescent="0.3">
      <c r="A21" s="28"/>
      <c r="B21" s="16"/>
      <c r="C21" s="17">
        <v>24</v>
      </c>
      <c r="D21" s="18" t="s">
        <v>2892</v>
      </c>
      <c r="E21" s="41">
        <v>38</v>
      </c>
      <c r="F21" s="42">
        <v>60.89</v>
      </c>
      <c r="G21" s="34"/>
      <c r="H21" s="35"/>
      <c r="I21" s="36"/>
      <c r="J21" s="37"/>
      <c r="K21" s="38"/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/>
      <c r="L22" s="39"/>
    </row>
    <row r="23" spans="1:12" s="27" customFormat="1" ht="19.5" customHeight="1" x14ac:dyDescent="0.3">
      <c r="A23" s="28" t="s">
        <v>2893</v>
      </c>
      <c r="B23" s="16" t="s">
        <v>2894</v>
      </c>
      <c r="C23" s="17">
        <v>16</v>
      </c>
      <c r="D23" s="18" t="s">
        <v>2895</v>
      </c>
      <c r="E23" s="41">
        <v>6</v>
      </c>
      <c r="F23" s="42">
        <v>7.96</v>
      </c>
      <c r="G23" s="34" t="s">
        <v>2829</v>
      </c>
      <c r="H23" s="35">
        <v>1981</v>
      </c>
      <c r="I23" s="36">
        <v>3353</v>
      </c>
      <c r="J23" s="37">
        <v>2</v>
      </c>
      <c r="K23" s="38">
        <f t="shared" si="0"/>
        <v>13.284586000000001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2896</v>
      </c>
      <c r="H24" s="35">
        <v>1981</v>
      </c>
      <c r="I24" s="36">
        <v>3353</v>
      </c>
      <c r="J24" s="37">
        <v>1</v>
      </c>
      <c r="K24" s="38">
        <f t="shared" si="0"/>
        <v>6.6422930000000004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/>
      <c r="L25" s="39"/>
    </row>
    <row r="26" spans="1:12" s="27" customFormat="1" ht="19.5" customHeight="1" x14ac:dyDescent="0.3">
      <c r="A26" s="28" t="s">
        <v>2897</v>
      </c>
      <c r="B26" s="16" t="s">
        <v>2894</v>
      </c>
      <c r="C26" s="17">
        <v>5</v>
      </c>
      <c r="D26" s="18" t="s">
        <v>2898</v>
      </c>
      <c r="E26" s="41">
        <v>9</v>
      </c>
      <c r="F26" s="42">
        <v>16.059999999999999</v>
      </c>
      <c r="G26" s="34" t="s">
        <v>2829</v>
      </c>
      <c r="H26" s="35">
        <v>1981</v>
      </c>
      <c r="I26" s="36">
        <v>3353</v>
      </c>
      <c r="J26" s="37">
        <v>1</v>
      </c>
      <c r="K26" s="38">
        <f t="shared" si="0"/>
        <v>6.6422930000000004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 t="s">
        <v>2829</v>
      </c>
      <c r="H27" s="35">
        <v>1829</v>
      </c>
      <c r="I27" s="36">
        <v>3353</v>
      </c>
      <c r="J27" s="37">
        <v>2</v>
      </c>
      <c r="K27" s="38">
        <f t="shared" si="0"/>
        <v>12.265274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/>
      <c r="L28" s="39"/>
    </row>
    <row r="29" spans="1:12" s="27" customFormat="1" ht="19.5" customHeight="1" x14ac:dyDescent="0.3">
      <c r="A29" s="28" t="s">
        <v>2899</v>
      </c>
      <c r="B29" s="16" t="s">
        <v>2900</v>
      </c>
      <c r="C29" s="17">
        <v>5</v>
      </c>
      <c r="D29" s="18" t="s">
        <v>2922</v>
      </c>
      <c r="E29" s="41">
        <v>13</v>
      </c>
      <c r="F29" s="42">
        <v>10.68</v>
      </c>
      <c r="G29" s="34" t="s">
        <v>18</v>
      </c>
      <c r="H29" s="35">
        <v>1981</v>
      </c>
      <c r="I29" s="36">
        <v>3353</v>
      </c>
      <c r="J29" s="37">
        <v>2</v>
      </c>
      <c r="K29" s="38">
        <f t="shared" si="0"/>
        <v>13.284586000000001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 t="s">
        <v>57</v>
      </c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 t="s">
        <v>2923</v>
      </c>
      <c r="B33" s="16" t="s">
        <v>2924</v>
      </c>
      <c r="C33" s="17">
        <v>22</v>
      </c>
      <c r="D33" s="18" t="s">
        <v>2925</v>
      </c>
      <c r="E33" s="41">
        <v>2</v>
      </c>
      <c r="F33" s="42">
        <v>1.98</v>
      </c>
      <c r="G33" s="34" t="s">
        <v>2927</v>
      </c>
      <c r="H33" s="35">
        <v>2438</v>
      </c>
      <c r="I33" s="36">
        <v>3048</v>
      </c>
      <c r="J33" s="37">
        <v>1</v>
      </c>
      <c r="K33" s="38">
        <f t="shared" si="0"/>
        <v>7.4310240000000007</v>
      </c>
      <c r="L33" s="39" t="s">
        <v>2929</v>
      </c>
    </row>
    <row r="34" spans="1:12" s="27" customFormat="1" ht="19.5" customHeight="1" x14ac:dyDescent="0.3">
      <c r="A34" s="28"/>
      <c r="B34" s="16"/>
      <c r="C34" s="17">
        <v>22</v>
      </c>
      <c r="D34" s="18" t="s">
        <v>2926</v>
      </c>
      <c r="E34" s="41">
        <v>5</v>
      </c>
      <c r="F34" s="42">
        <v>3.86</v>
      </c>
      <c r="G34" s="34" t="s">
        <v>2928</v>
      </c>
      <c r="H34" s="35">
        <v>1981</v>
      </c>
      <c r="I34" s="36">
        <v>3353</v>
      </c>
      <c r="J34" s="37">
        <v>1</v>
      </c>
      <c r="K34" s="38">
        <f t="shared" si="0"/>
        <v>6.6422930000000004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 t="s">
        <v>2930</v>
      </c>
      <c r="B36" s="16" t="s">
        <v>2931</v>
      </c>
      <c r="C36" s="17">
        <v>10</v>
      </c>
      <c r="D36" s="18" t="s">
        <v>2932</v>
      </c>
      <c r="E36" s="41">
        <v>36</v>
      </c>
      <c r="F36" s="42">
        <v>53.44</v>
      </c>
      <c r="G36" s="34" t="s">
        <v>2933</v>
      </c>
      <c r="H36" s="35">
        <v>2438</v>
      </c>
      <c r="I36" s="36">
        <v>3353</v>
      </c>
      <c r="J36" s="37">
        <v>8</v>
      </c>
      <c r="K36" s="38">
        <f t="shared" si="0"/>
        <v>65.396912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 t="s">
        <v>2934</v>
      </c>
      <c r="B38" s="16" t="s">
        <v>2935</v>
      </c>
      <c r="C38" s="17">
        <v>22</v>
      </c>
      <c r="D38" s="18" t="s">
        <v>2925</v>
      </c>
      <c r="E38" s="41">
        <v>75</v>
      </c>
      <c r="F38" s="42">
        <v>57.65</v>
      </c>
      <c r="G38" s="34" t="s">
        <v>2936</v>
      </c>
      <c r="H38" s="35">
        <v>1981</v>
      </c>
      <c r="I38" s="36">
        <v>3353</v>
      </c>
      <c r="J38" s="37">
        <v>10</v>
      </c>
      <c r="K38" s="38">
        <f t="shared" si="0"/>
        <v>66.422930000000008</v>
      </c>
      <c r="L38" s="39" t="s">
        <v>2937</v>
      </c>
    </row>
    <row r="39" spans="1:12" s="27" customFormat="1" ht="19.5" customHeight="1" x14ac:dyDescent="0.3">
      <c r="A39" s="28"/>
      <c r="B39" s="16"/>
      <c r="C39" s="17">
        <v>22</v>
      </c>
      <c r="D39" s="18" t="s">
        <v>2925</v>
      </c>
      <c r="E39" s="41">
        <v>10</v>
      </c>
      <c r="F39" s="42">
        <v>3.8</v>
      </c>
      <c r="G39" s="34"/>
      <c r="H39" s="35"/>
      <c r="I39" s="36"/>
      <c r="J39" s="37"/>
      <c r="K39" s="38">
        <f t="shared" si="0"/>
        <v>0</v>
      </c>
      <c r="L39" s="39" t="s">
        <v>2937</v>
      </c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38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38">
        <f t="shared" si="0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38">
        <f t="shared" si="0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38">
        <f t="shared" si="0"/>
        <v>0</v>
      </c>
      <c r="L43" s="39"/>
    </row>
    <row r="44" spans="1:12" s="27" customFormat="1" ht="19.5" customHeight="1" x14ac:dyDescent="0.3">
      <c r="A44" s="28"/>
      <c r="B44" s="29"/>
      <c r="C44" s="30"/>
      <c r="D44" s="31"/>
      <c r="E44" s="41"/>
      <c r="F44" s="42"/>
      <c r="G44" s="43"/>
      <c r="H44" s="35"/>
      <c r="I44" s="36"/>
      <c r="J44" s="37"/>
      <c r="K44" s="38">
        <f t="shared" si="0"/>
        <v>0</v>
      </c>
      <c r="L44" s="39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2901</v>
      </c>
      <c r="B46" s="45" t="s">
        <v>2902</v>
      </c>
      <c r="C46" s="46">
        <v>6</v>
      </c>
      <c r="D46" s="47" t="s">
        <v>106</v>
      </c>
      <c r="E46" s="48">
        <v>16</v>
      </c>
      <c r="F46" s="49">
        <v>72.2</v>
      </c>
      <c r="G46" s="50" t="s">
        <v>2903</v>
      </c>
      <c r="H46" s="51">
        <v>2438</v>
      </c>
      <c r="I46" s="45">
        <v>3353</v>
      </c>
      <c r="J46" s="52">
        <v>13</v>
      </c>
      <c r="K46" s="53">
        <f t="shared" si="0"/>
        <v>106.269982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97"/>
      <c r="H47" s="51"/>
      <c r="I47" s="45"/>
      <c r="J47" s="52"/>
      <c r="K47" s="53"/>
      <c r="L47" s="54"/>
    </row>
    <row r="48" spans="1:12" s="55" customFormat="1" ht="19.5" customHeight="1" x14ac:dyDescent="0.3">
      <c r="A48" s="44" t="s">
        <v>2904</v>
      </c>
      <c r="B48" s="45" t="s">
        <v>2905</v>
      </c>
      <c r="C48" s="46">
        <v>43</v>
      </c>
      <c r="D48" s="47" t="s">
        <v>2906</v>
      </c>
      <c r="E48" s="48">
        <v>1</v>
      </c>
      <c r="F48" s="49">
        <v>0.28000000000000003</v>
      </c>
      <c r="G48" s="50" t="s">
        <v>27</v>
      </c>
      <c r="H48" s="51"/>
      <c r="I48" s="45"/>
      <c r="J48" s="52"/>
      <c r="K48" s="53"/>
      <c r="L48" s="54" t="s">
        <v>31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2907</v>
      </c>
      <c r="H49" s="51"/>
      <c r="I49" s="45"/>
      <c r="J49" s="52"/>
      <c r="K49" s="53"/>
      <c r="L49" s="54" t="s">
        <v>31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/>
      <c r="L50" s="54"/>
    </row>
    <row r="51" spans="1:12" s="55" customFormat="1" ht="19.5" customHeight="1" x14ac:dyDescent="0.3">
      <c r="A51" s="44" t="s">
        <v>2908</v>
      </c>
      <c r="B51" s="45" t="s">
        <v>2909</v>
      </c>
      <c r="C51" s="46">
        <v>39</v>
      </c>
      <c r="D51" s="47" t="s">
        <v>2910</v>
      </c>
      <c r="E51" s="48">
        <v>59</v>
      </c>
      <c r="F51" s="49">
        <v>39.56</v>
      </c>
      <c r="G51" s="50" t="s">
        <v>2911</v>
      </c>
      <c r="H51" s="51">
        <v>2438</v>
      </c>
      <c r="I51" s="45">
        <v>3353</v>
      </c>
      <c r="J51" s="52">
        <v>11</v>
      </c>
      <c r="K51" s="53">
        <f t="shared" si="0"/>
        <v>89.920754000000002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 t="s">
        <v>2912</v>
      </c>
      <c r="H52" s="51">
        <v>2590</v>
      </c>
      <c r="I52" s="45">
        <v>3353</v>
      </c>
      <c r="J52" s="52">
        <v>5</v>
      </c>
      <c r="K52" s="53">
        <f t="shared" si="0"/>
        <v>43.42134999999999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/>
      <c r="L53" s="54"/>
    </row>
    <row r="54" spans="1:12" s="55" customFormat="1" ht="19.5" customHeight="1" x14ac:dyDescent="0.3">
      <c r="A54" s="44" t="s">
        <v>2913</v>
      </c>
      <c r="B54" s="45" t="s">
        <v>2914</v>
      </c>
      <c r="C54" s="46">
        <v>39</v>
      </c>
      <c r="D54" s="47" t="s">
        <v>2910</v>
      </c>
      <c r="E54" s="48">
        <v>78</v>
      </c>
      <c r="F54" s="49">
        <v>51.91</v>
      </c>
      <c r="G54" s="50" t="s">
        <v>2911</v>
      </c>
      <c r="H54" s="51">
        <v>2438</v>
      </c>
      <c r="I54" s="45">
        <v>3353</v>
      </c>
      <c r="J54" s="52">
        <v>14</v>
      </c>
      <c r="K54" s="53">
        <f t="shared" si="0"/>
        <v>114.444596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 t="s">
        <v>2912</v>
      </c>
      <c r="H55" s="51">
        <v>2590</v>
      </c>
      <c r="I55" s="45">
        <v>3353</v>
      </c>
      <c r="J55" s="52">
        <v>6</v>
      </c>
      <c r="K55" s="53">
        <f t="shared" si="0"/>
        <v>52.105619999999988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/>
      <c r="L56" s="54"/>
    </row>
    <row r="57" spans="1:12" s="55" customFormat="1" ht="19.5" customHeight="1" x14ac:dyDescent="0.3">
      <c r="A57" s="44" t="s">
        <v>2917</v>
      </c>
      <c r="B57" s="45" t="s">
        <v>1142</v>
      </c>
      <c r="C57" s="46">
        <v>26</v>
      </c>
      <c r="D57" s="47" t="s">
        <v>2915</v>
      </c>
      <c r="E57" s="48">
        <v>28</v>
      </c>
      <c r="F57" s="49">
        <v>16.64</v>
      </c>
      <c r="G57" s="50" t="s">
        <v>39</v>
      </c>
      <c r="H57" s="51">
        <v>2134</v>
      </c>
      <c r="I57" s="45">
        <v>3353</v>
      </c>
      <c r="J57" s="52">
        <v>3</v>
      </c>
      <c r="K57" s="53">
        <f t="shared" si="0"/>
        <v>21.465906</v>
      </c>
      <c r="L57" s="54"/>
    </row>
    <row r="58" spans="1:12" s="55" customFormat="1" ht="19.5" customHeight="1" x14ac:dyDescent="0.3">
      <c r="A58" s="44"/>
      <c r="B58" s="45"/>
      <c r="C58" s="46">
        <v>46.76</v>
      </c>
      <c r="D58" s="47" t="s">
        <v>272</v>
      </c>
      <c r="E58" s="48">
        <v>4</v>
      </c>
      <c r="F58" s="49">
        <v>1.8</v>
      </c>
      <c r="G58" s="50"/>
      <c r="H58" s="51"/>
      <c r="I58" s="45"/>
      <c r="J58" s="52"/>
      <c r="K58" s="53"/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/>
      <c r="L59" s="54"/>
    </row>
    <row r="60" spans="1:12" s="55" customFormat="1" ht="19.5" customHeight="1" x14ac:dyDescent="0.3">
      <c r="A60" s="44" t="s">
        <v>2916</v>
      </c>
      <c r="B60" s="45" t="s">
        <v>1142</v>
      </c>
      <c r="C60" s="46">
        <v>26</v>
      </c>
      <c r="D60" s="47" t="s">
        <v>2915</v>
      </c>
      <c r="E60" s="48">
        <v>28</v>
      </c>
      <c r="F60" s="49">
        <v>13.36</v>
      </c>
      <c r="G60" s="50" t="s">
        <v>39</v>
      </c>
      <c r="H60" s="51">
        <v>2134</v>
      </c>
      <c r="I60" s="45">
        <v>3353</v>
      </c>
      <c r="J60" s="52">
        <v>2</v>
      </c>
      <c r="K60" s="53">
        <f t="shared" ref="K60" si="3">(H60/1000*I60/1000)*J60</f>
        <v>14.310604</v>
      </c>
      <c r="L60" s="54"/>
    </row>
    <row r="61" spans="1:12" s="55" customFormat="1" ht="19.5" customHeight="1" x14ac:dyDescent="0.3">
      <c r="A61" s="44"/>
      <c r="B61" s="45"/>
      <c r="C61" s="46">
        <v>46.76</v>
      </c>
      <c r="D61" s="47" t="s">
        <v>272</v>
      </c>
      <c r="E61" s="48">
        <v>4</v>
      </c>
      <c r="F61" s="49">
        <v>1.8</v>
      </c>
      <c r="G61" s="50"/>
      <c r="H61" s="51"/>
      <c r="I61" s="45"/>
      <c r="J61" s="52"/>
      <c r="K61" s="53"/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/>
      <c r="L62" s="54"/>
    </row>
    <row r="63" spans="1:12" s="55" customFormat="1" ht="19.5" customHeight="1" x14ac:dyDescent="0.3">
      <c r="A63" s="44" t="s">
        <v>2918</v>
      </c>
      <c r="B63" s="45" t="s">
        <v>1142</v>
      </c>
      <c r="C63" s="46">
        <v>26</v>
      </c>
      <c r="D63" s="47" t="s">
        <v>2915</v>
      </c>
      <c r="E63" s="48">
        <v>64</v>
      </c>
      <c r="F63" s="49">
        <v>31.76</v>
      </c>
      <c r="G63" s="50" t="s">
        <v>39</v>
      </c>
      <c r="H63" s="51">
        <v>2134</v>
      </c>
      <c r="I63" s="45">
        <v>3353</v>
      </c>
      <c r="J63" s="52">
        <v>5</v>
      </c>
      <c r="K63" s="53">
        <f t="shared" ref="K63" si="4">(H63/1000*I63/1000)*J63</f>
        <v>35.776510000000002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/>
      <c r="L64" s="54"/>
    </row>
    <row r="65" spans="1:12" s="55" customFormat="1" ht="19.5" customHeight="1" x14ac:dyDescent="0.3">
      <c r="A65" s="44" t="s">
        <v>2919</v>
      </c>
      <c r="B65" s="45" t="s">
        <v>1142</v>
      </c>
      <c r="C65" s="46">
        <v>26</v>
      </c>
      <c r="D65" s="47" t="s">
        <v>2915</v>
      </c>
      <c r="E65" s="48">
        <v>36</v>
      </c>
      <c r="F65" s="49">
        <v>20.88</v>
      </c>
      <c r="G65" s="50" t="s">
        <v>39</v>
      </c>
      <c r="H65" s="51">
        <v>2134</v>
      </c>
      <c r="I65" s="45">
        <v>3353</v>
      </c>
      <c r="J65" s="52">
        <v>3</v>
      </c>
      <c r="K65" s="53">
        <f t="shared" ref="K65:K71" si="5">(H65/1000*I65/1000)*J65</f>
        <v>21.465906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/>
      <c r="L66" s="54"/>
    </row>
    <row r="67" spans="1:12" s="55" customFormat="1" ht="19.5" customHeight="1" x14ac:dyDescent="0.3">
      <c r="A67" s="44"/>
      <c r="B67" s="45"/>
      <c r="C67" s="46">
        <v>22</v>
      </c>
      <c r="D67" s="47" t="s">
        <v>2920</v>
      </c>
      <c r="E67" s="48">
        <v>12</v>
      </c>
      <c r="F67" s="49">
        <v>13.2</v>
      </c>
      <c r="G67" s="50" t="s">
        <v>18</v>
      </c>
      <c r="H67" s="51">
        <v>1981</v>
      </c>
      <c r="I67" s="45">
        <v>3353</v>
      </c>
      <c r="J67" s="52">
        <v>11</v>
      </c>
      <c r="K67" s="53">
        <f t="shared" si="5"/>
        <v>73.065223000000003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 t="s">
        <v>2874</v>
      </c>
      <c r="H68" s="51">
        <v>1981</v>
      </c>
      <c r="I68" s="45">
        <v>3353</v>
      </c>
      <c r="J68" s="52">
        <v>11</v>
      </c>
      <c r="K68" s="53">
        <f t="shared" si="5"/>
        <v>73.065223000000003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/>
      <c r="L69" s="54"/>
    </row>
    <row r="70" spans="1:12" s="55" customFormat="1" ht="19.5" customHeight="1" x14ac:dyDescent="0.3">
      <c r="A70" s="44"/>
      <c r="B70" s="45"/>
      <c r="C70" s="46">
        <v>47</v>
      </c>
      <c r="D70" s="47" t="s">
        <v>2921</v>
      </c>
      <c r="E70" s="48">
        <v>4</v>
      </c>
      <c r="F70" s="49">
        <v>1.8</v>
      </c>
      <c r="G70" s="50" t="s">
        <v>62</v>
      </c>
      <c r="H70" s="51">
        <v>1981</v>
      </c>
      <c r="I70" s="45">
        <v>3353</v>
      </c>
      <c r="J70" s="52">
        <v>1</v>
      </c>
      <c r="K70" s="53">
        <f t="shared" si="5"/>
        <v>6.6422930000000004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 t="s">
        <v>2874</v>
      </c>
      <c r="H71" s="51">
        <v>1829</v>
      </c>
      <c r="I71" s="45">
        <v>3353</v>
      </c>
      <c r="J71" s="52">
        <v>1</v>
      </c>
      <c r="K71" s="53">
        <f t="shared" si="5"/>
        <v>6.1326369999999999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/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/>
      <c r="L73" s="54"/>
    </row>
    <row r="74" spans="1:12" s="55" customFormat="1" ht="19.5" customHeight="1" x14ac:dyDescent="0.3">
      <c r="A74" s="44"/>
      <c r="B74" s="96"/>
      <c r="C74" s="77"/>
      <c r="D74" s="78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 t="s">
        <v>57</v>
      </c>
      <c r="B75" s="76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 t="s">
        <v>2938</v>
      </c>
      <c r="B76" s="45" t="s">
        <v>1142</v>
      </c>
      <c r="C76" s="46">
        <v>22</v>
      </c>
      <c r="D76" s="47" t="s">
        <v>2926</v>
      </c>
      <c r="E76" s="48">
        <v>84</v>
      </c>
      <c r="F76" s="49">
        <v>76.16</v>
      </c>
      <c r="G76" s="50" t="s">
        <v>2928</v>
      </c>
      <c r="H76" s="51">
        <v>1981</v>
      </c>
      <c r="I76" s="45">
        <v>3353</v>
      </c>
      <c r="J76" s="52">
        <v>13</v>
      </c>
      <c r="K76" s="53">
        <f t="shared" si="0"/>
        <v>86.349809000000008</v>
      </c>
      <c r="L76" s="54"/>
    </row>
    <row r="77" spans="1:12" s="55" customFormat="1" ht="19.5" customHeight="1" x14ac:dyDescent="0.3">
      <c r="A77" s="44"/>
      <c r="B77" s="76"/>
      <c r="C77" s="46"/>
      <c r="D77" s="47"/>
      <c r="E77" s="48"/>
      <c r="F77" s="49"/>
      <c r="G77" s="50" t="s">
        <v>2936</v>
      </c>
      <c r="H77" s="51">
        <v>1981</v>
      </c>
      <c r="I77" s="45">
        <v>3353</v>
      </c>
      <c r="J77" s="52">
        <v>13</v>
      </c>
      <c r="K77" s="53">
        <f t="shared" si="0"/>
        <v>86.349809000000008</v>
      </c>
      <c r="L77" s="54"/>
    </row>
    <row r="78" spans="1:12" s="55" customFormat="1" ht="19.5" customHeight="1" x14ac:dyDescent="0.3">
      <c r="A78" s="44"/>
      <c r="B78" s="76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 t="s">
        <v>2939</v>
      </c>
      <c r="B79" s="45" t="s">
        <v>1142</v>
      </c>
      <c r="C79" s="46">
        <v>22</v>
      </c>
      <c r="D79" s="47" t="s">
        <v>2926</v>
      </c>
      <c r="E79" s="48">
        <v>152</v>
      </c>
      <c r="F79" s="49">
        <v>128.47999999999999</v>
      </c>
      <c r="G79" s="50" t="s">
        <v>2928</v>
      </c>
      <c r="H79" s="51">
        <v>1981</v>
      </c>
      <c r="I79" s="45">
        <v>3353</v>
      </c>
      <c r="J79" s="52">
        <v>21</v>
      </c>
      <c r="K79" s="53">
        <f t="shared" si="0"/>
        <v>139.48815300000001</v>
      </c>
      <c r="L79" s="54"/>
    </row>
    <row r="80" spans="1:12" s="55" customFormat="1" ht="19.5" customHeight="1" x14ac:dyDescent="0.3">
      <c r="A80" s="44"/>
      <c r="B80" s="76"/>
      <c r="C80" s="46"/>
      <c r="D80" s="47"/>
      <c r="E80" s="48"/>
      <c r="F80" s="49"/>
      <c r="G80" s="50" t="s">
        <v>2936</v>
      </c>
      <c r="H80" s="51">
        <v>1981</v>
      </c>
      <c r="I80" s="45">
        <v>3353</v>
      </c>
      <c r="J80" s="52">
        <v>21</v>
      </c>
      <c r="K80" s="53">
        <f t="shared" si="0"/>
        <v>139.48815300000001</v>
      </c>
      <c r="L80" s="54"/>
    </row>
    <row r="81" spans="1:12" s="55" customFormat="1" ht="19.5" customHeight="1" x14ac:dyDescent="0.3">
      <c r="A81" s="44"/>
      <c r="B81" s="76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76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5" customFormat="1" ht="19.5" customHeight="1" x14ac:dyDescent="0.3">
      <c r="A83" s="44"/>
      <c r="B83" s="76"/>
      <c r="C83" s="46"/>
      <c r="D83" s="47"/>
      <c r="E83" s="48"/>
      <c r="F83" s="49"/>
      <c r="G83" s="50"/>
      <c r="H83" s="51"/>
      <c r="I83" s="45"/>
      <c r="J83" s="52"/>
      <c r="K83" s="53">
        <f t="shared" si="0"/>
        <v>0</v>
      </c>
      <c r="L83" s="54"/>
    </row>
    <row r="84" spans="1:12" s="55" customFormat="1" ht="19.5" customHeight="1" x14ac:dyDescent="0.3">
      <c r="A84" s="44"/>
      <c r="B84" s="76"/>
      <c r="C84" s="46"/>
      <c r="D84" s="47"/>
      <c r="E84" s="48"/>
      <c r="F84" s="49"/>
      <c r="G84" s="50"/>
      <c r="H84" s="51"/>
      <c r="I84" s="45"/>
      <c r="J84" s="52"/>
      <c r="K84" s="53">
        <f t="shared" si="0"/>
        <v>0</v>
      </c>
      <c r="L84" s="54"/>
    </row>
    <row r="85" spans="1:12" s="55" customFormat="1" ht="19.5" customHeight="1" x14ac:dyDescent="0.3">
      <c r="A85" s="44"/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9" customFormat="1" ht="20.100000000000001" customHeight="1" x14ac:dyDescent="0.3">
      <c r="A86" s="44"/>
      <c r="B86" s="45"/>
      <c r="C86" s="46"/>
      <c r="D86" s="47"/>
      <c r="E86" s="56"/>
      <c r="F86" s="57"/>
      <c r="G86" s="50"/>
      <c r="H86" s="51"/>
      <c r="I86" s="45"/>
      <c r="J86" s="52"/>
      <c r="K86" s="53">
        <f t="shared" si="0"/>
        <v>0</v>
      </c>
      <c r="L86" s="58">
        <f>SUM(J45:J87)</f>
        <v>154</v>
      </c>
    </row>
    <row r="87" spans="1:12" s="59" customFormat="1" ht="20.100000000000001" customHeight="1" x14ac:dyDescent="0.3">
      <c r="A87" s="44"/>
      <c r="B87" s="45"/>
      <c r="C87" s="46"/>
      <c r="D87" s="47"/>
      <c r="E87" s="60"/>
      <c r="F87" s="61"/>
      <c r="G87" s="62"/>
      <c r="H87" s="51"/>
      <c r="I87" s="45"/>
      <c r="J87" s="63"/>
      <c r="K87" s="53">
        <f t="shared" si="0"/>
        <v>0</v>
      </c>
      <c r="L87" s="64">
        <f>SUM(K45:K87)</f>
        <v>1109.7625280000002</v>
      </c>
    </row>
    <row r="88" spans="1:12" s="59" customFormat="1" ht="20.100000000000001" customHeight="1" thickBot="1" x14ac:dyDescent="0.35">
      <c r="A88" s="114"/>
      <c r="B88" s="115"/>
      <c r="C88" s="115"/>
      <c r="D88" s="115"/>
      <c r="E88" s="115"/>
      <c r="F88" s="115"/>
      <c r="G88" s="115"/>
      <c r="H88" s="115"/>
      <c r="I88" s="115"/>
      <c r="J88" s="65">
        <f>SUM(J7:J87)</f>
        <v>307</v>
      </c>
      <c r="K88" s="66">
        <f>SUM(K7:K87)</f>
        <v>2286.5428630000006</v>
      </c>
      <c r="L88" s="67"/>
    </row>
    <row r="89" spans="1:12" s="59" customFormat="1" ht="20.100000000000001" customHeight="1" thickTop="1" thickBot="1" x14ac:dyDescent="0.35">
      <c r="A89" s="116" t="s">
        <v>52</v>
      </c>
      <c r="B89" s="117"/>
      <c r="C89" s="68"/>
      <c r="D89" s="118">
        <f>J88</f>
        <v>307</v>
      </c>
      <c r="E89" s="119"/>
      <c r="F89" s="119"/>
      <c r="G89" s="120"/>
      <c r="H89" s="121"/>
      <c r="I89" s="121"/>
      <c r="J89" s="122"/>
      <c r="K89" s="119"/>
      <c r="L89" s="123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71"/>
    </row>
    <row r="91" spans="1:12" s="59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113"/>
      <c r="B95" s="113"/>
      <c r="C95" s="5"/>
      <c r="D95" s="5"/>
      <c r="E95" s="72"/>
      <c r="F95" s="5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5"/>
      <c r="G96" s="73"/>
      <c r="H96" s="5"/>
      <c r="I96" s="74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113"/>
      <c r="B99" s="113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113"/>
      <c r="B100" s="113"/>
      <c r="C100" s="5"/>
      <c r="D100" s="5"/>
      <c r="E100" s="5"/>
      <c r="F100" s="70"/>
      <c r="G100" s="5"/>
      <c r="H100" s="72"/>
      <c r="I100" s="72"/>
      <c r="J100" s="5"/>
      <c r="K100" s="5"/>
      <c r="L100" s="5"/>
    </row>
    <row r="101" spans="1:12" ht="20.100000000000001" customHeight="1" x14ac:dyDescent="0.3">
      <c r="A101" s="113"/>
      <c r="B101" s="113"/>
      <c r="H101" s="72"/>
      <c r="I101" s="72"/>
    </row>
    <row r="102" spans="1:12" ht="20.100000000000001" customHeight="1" x14ac:dyDescent="0.3"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A104" s="113"/>
      <c r="B104" s="113"/>
      <c r="H104" s="72"/>
      <c r="I104" s="72"/>
    </row>
    <row r="105" spans="1:12" ht="20.100000000000001" customHeight="1" x14ac:dyDescent="0.3">
      <c r="A105" s="113"/>
      <c r="B105" s="113"/>
      <c r="H105" s="72"/>
      <c r="I105" s="72"/>
    </row>
    <row r="106" spans="1:12" ht="20.100000000000001" customHeight="1" x14ac:dyDescent="0.3">
      <c r="H106" s="72"/>
      <c r="I106" s="72"/>
    </row>
    <row r="107" spans="1:12" ht="20.100000000000001" customHeight="1" x14ac:dyDescent="0.3">
      <c r="H107" s="72"/>
      <c r="I107" s="72"/>
    </row>
    <row r="108" spans="1:12" ht="20.100000000000001" customHeight="1" x14ac:dyDescent="0.3">
      <c r="H108" s="72"/>
      <c r="I108" s="72"/>
    </row>
    <row r="109" spans="1:12" s="72" customFormat="1" ht="20.100000000000001" customHeight="1" x14ac:dyDescent="0.3">
      <c r="A109" s="69"/>
      <c r="B109" s="5"/>
      <c r="C109" s="5"/>
      <c r="D109" s="5"/>
      <c r="E109" s="5"/>
      <c r="F109" s="70"/>
      <c r="G109" s="5"/>
      <c r="J109" s="5"/>
      <c r="K109" s="5"/>
      <c r="L109" s="5"/>
    </row>
    <row r="110" spans="1:12" s="72" customFormat="1" ht="20.100000000000001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5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5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75" customFormat="1" ht="19.5" customHeight="1" x14ac:dyDescent="0.3">
      <c r="A113" s="69"/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72" customFormat="1" ht="20.100000000000001" customHeight="1" x14ac:dyDescent="0.3">
      <c r="A114" s="69"/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1:12" s="72" customFormat="1" ht="20.100000000000001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ht="19.5" customHeight="1" x14ac:dyDescent="0.3"/>
    <row r="117" spans="1:12" ht="19.5" customHeight="1" x14ac:dyDescent="0.3"/>
    <row r="118" spans="1:12" ht="19.5" customHeight="1" x14ac:dyDescent="0.3"/>
    <row r="119" spans="1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>
        <v>2</v>
      </c>
      <c r="C179" s="5"/>
      <c r="D179" s="5"/>
      <c r="E179" s="5"/>
      <c r="F179" s="70"/>
      <c r="G179" s="5"/>
      <c r="H179" s="5"/>
      <c r="I179" s="5"/>
      <c r="J179" s="5"/>
      <c r="K179" s="5"/>
      <c r="L179" s="5"/>
    </row>
  </sheetData>
  <mergeCells count="30">
    <mergeCell ref="A104:B104"/>
    <mergeCell ref="A105:B105"/>
    <mergeCell ref="A95:B95"/>
    <mergeCell ref="A96:B96"/>
    <mergeCell ref="A97:B97"/>
    <mergeCell ref="A99:B99"/>
    <mergeCell ref="A100:B100"/>
    <mergeCell ref="A101:B101"/>
    <mergeCell ref="A94:B9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8:I88"/>
    <mergeCell ref="A89:B89"/>
    <mergeCell ref="D89:G89"/>
    <mergeCell ref="H89:J89"/>
    <mergeCell ref="K89:L89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L168"/>
  <sheetViews>
    <sheetView view="pageBreakPreview" topLeftCell="F61" zoomScale="85" zoomScaleSheetLayoutView="85" workbookViewId="0">
      <selection activeCell="L75" sqref="L75:L76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46127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6" si="0">(H7/1000*I7/1000)*J7</f>
        <v>0</v>
      </c>
      <c r="L7" s="26">
        <f>SUM(J7:J40)</f>
        <v>132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SUM(K7:K40)</f>
        <v>988.80932299999995</v>
      </c>
    </row>
    <row r="9" spans="1:12" s="27" customFormat="1" ht="19.5" customHeight="1" x14ac:dyDescent="0.3">
      <c r="A9" s="28" t="s">
        <v>2822</v>
      </c>
      <c r="B9" s="16" t="s">
        <v>2823</v>
      </c>
      <c r="C9" s="17">
        <v>28</v>
      </c>
      <c r="D9" s="18" t="s">
        <v>2824</v>
      </c>
      <c r="E9" s="41">
        <v>4</v>
      </c>
      <c r="F9" s="42">
        <v>5.8</v>
      </c>
      <c r="G9" s="34" t="s">
        <v>2825</v>
      </c>
      <c r="H9" s="35">
        <v>2438</v>
      </c>
      <c r="I9" s="36">
        <v>3353</v>
      </c>
      <c r="J9" s="37">
        <v>1</v>
      </c>
      <c r="K9" s="38">
        <f t="shared" si="0"/>
        <v>8.174614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540</v>
      </c>
      <c r="H10" s="35">
        <v>1829</v>
      </c>
      <c r="I10" s="36">
        <v>3353</v>
      </c>
      <c r="J10" s="37">
        <v>1</v>
      </c>
      <c r="K10" s="38">
        <f t="shared" si="0"/>
        <v>6.1326369999999999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38"/>
      <c r="L11" s="39"/>
    </row>
    <row r="12" spans="1:12" s="27" customFormat="1" ht="19.5" customHeight="1" x14ac:dyDescent="0.3">
      <c r="A12" s="28" t="s">
        <v>2826</v>
      </c>
      <c r="B12" s="16" t="s">
        <v>2827</v>
      </c>
      <c r="C12" s="17">
        <v>22</v>
      </c>
      <c r="D12" s="18" t="s">
        <v>2828</v>
      </c>
      <c r="E12" s="41">
        <v>8</v>
      </c>
      <c r="F12" s="42">
        <v>7.5</v>
      </c>
      <c r="G12" s="34" t="s">
        <v>2829</v>
      </c>
      <c r="H12" s="35">
        <v>2438</v>
      </c>
      <c r="I12" s="36">
        <v>3353</v>
      </c>
      <c r="J12" s="37">
        <v>1</v>
      </c>
      <c r="K12" s="38">
        <f t="shared" si="0"/>
        <v>8.174614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18</v>
      </c>
      <c r="H13" s="35">
        <v>2590</v>
      </c>
      <c r="I13" s="36">
        <v>3353</v>
      </c>
      <c r="J13" s="37">
        <v>1</v>
      </c>
      <c r="K13" s="38">
        <f t="shared" si="0"/>
        <v>8.6842699999999979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/>
      <c r="L14" s="39"/>
    </row>
    <row r="15" spans="1:12" s="27" customFormat="1" ht="19.5" customHeight="1" x14ac:dyDescent="0.3">
      <c r="A15" s="28" t="s">
        <v>2830</v>
      </c>
      <c r="B15" s="16" t="s">
        <v>2831</v>
      </c>
      <c r="C15" s="17">
        <v>39</v>
      </c>
      <c r="D15" s="18" t="s">
        <v>2832</v>
      </c>
      <c r="E15" s="41">
        <v>89</v>
      </c>
      <c r="F15" s="42">
        <v>108.45</v>
      </c>
      <c r="G15" s="34" t="s">
        <v>2833</v>
      </c>
      <c r="H15" s="35">
        <v>2438</v>
      </c>
      <c r="I15" s="36">
        <v>3048</v>
      </c>
      <c r="J15" s="37">
        <v>9</v>
      </c>
      <c r="K15" s="38">
        <f t="shared" si="0"/>
        <v>66.879216000000014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2833</v>
      </c>
      <c r="H16" s="35">
        <v>1829</v>
      </c>
      <c r="I16" s="36">
        <v>3353</v>
      </c>
      <c r="J16" s="37">
        <v>9</v>
      </c>
      <c r="K16" s="38">
        <f t="shared" si="0"/>
        <v>55.193733000000002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 t="s">
        <v>2834</v>
      </c>
      <c r="H17" s="35">
        <v>2590</v>
      </c>
      <c r="I17" s="36">
        <v>3353</v>
      </c>
      <c r="J17" s="37">
        <v>26</v>
      </c>
      <c r="K17" s="38">
        <f t="shared" si="0"/>
        <v>225.79101999999995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2834</v>
      </c>
      <c r="H18" s="35">
        <v>1981</v>
      </c>
      <c r="I18" s="36">
        <v>3353</v>
      </c>
      <c r="J18" s="37">
        <v>1</v>
      </c>
      <c r="K18" s="38">
        <f t="shared" si="0"/>
        <v>6.6422930000000004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/>
      <c r="L19" s="39"/>
    </row>
    <row r="20" spans="1:12" s="27" customFormat="1" ht="19.5" customHeight="1" x14ac:dyDescent="0.3">
      <c r="A20" s="28" t="s">
        <v>2776</v>
      </c>
      <c r="B20" s="16" t="s">
        <v>2835</v>
      </c>
      <c r="C20" s="17">
        <v>24</v>
      </c>
      <c r="D20" s="18" t="s">
        <v>2836</v>
      </c>
      <c r="E20" s="41">
        <v>74</v>
      </c>
      <c r="F20" s="42">
        <v>212.38</v>
      </c>
      <c r="G20" s="34" t="s">
        <v>2837</v>
      </c>
      <c r="H20" s="35">
        <v>1981</v>
      </c>
      <c r="I20" s="36">
        <v>3048</v>
      </c>
      <c r="J20" s="37">
        <v>37</v>
      </c>
      <c r="K20" s="38">
        <f t="shared" si="0"/>
        <v>223.40925600000003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/>
      <c r="L21" s="39"/>
    </row>
    <row r="22" spans="1:12" s="27" customFormat="1" ht="19.5" customHeight="1" x14ac:dyDescent="0.3">
      <c r="A22" s="28" t="s">
        <v>2838</v>
      </c>
      <c r="B22" s="16" t="s">
        <v>2839</v>
      </c>
      <c r="C22" s="17">
        <v>39</v>
      </c>
      <c r="D22" s="18" t="s">
        <v>2840</v>
      </c>
      <c r="E22" s="41">
        <v>89</v>
      </c>
      <c r="F22" s="42">
        <v>108.45</v>
      </c>
      <c r="G22" s="34" t="s">
        <v>2841</v>
      </c>
      <c r="H22" s="35">
        <v>2590</v>
      </c>
      <c r="I22" s="36">
        <v>3353</v>
      </c>
      <c r="J22" s="37">
        <v>13</v>
      </c>
      <c r="K22" s="38">
        <f t="shared" si="0"/>
        <v>112.89550999999997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 t="s">
        <v>57</v>
      </c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 t="s">
        <v>2860</v>
      </c>
      <c r="B29" s="16" t="s">
        <v>2861</v>
      </c>
      <c r="C29" s="17">
        <v>26.76</v>
      </c>
      <c r="D29" s="18" t="s">
        <v>2862</v>
      </c>
      <c r="E29" s="41">
        <v>4</v>
      </c>
      <c r="F29" s="42">
        <v>5.89</v>
      </c>
      <c r="G29" s="34" t="s">
        <v>2865</v>
      </c>
      <c r="H29" s="35">
        <v>2590</v>
      </c>
      <c r="I29" s="36">
        <v>3048</v>
      </c>
      <c r="J29" s="37">
        <v>3</v>
      </c>
      <c r="K29" s="38">
        <f t="shared" si="0"/>
        <v>23.682959999999998</v>
      </c>
      <c r="L29" s="39" t="s">
        <v>2868</v>
      </c>
    </row>
    <row r="30" spans="1:12" s="27" customFormat="1" ht="19.5" customHeight="1" x14ac:dyDescent="0.3">
      <c r="A30" s="28"/>
      <c r="B30" s="16"/>
      <c r="C30" s="17">
        <v>24</v>
      </c>
      <c r="D30" s="18" t="s">
        <v>2863</v>
      </c>
      <c r="E30" s="41">
        <v>4</v>
      </c>
      <c r="F30" s="42">
        <v>1.26</v>
      </c>
      <c r="G30" s="34" t="s">
        <v>2866</v>
      </c>
      <c r="H30" s="35">
        <v>2590</v>
      </c>
      <c r="I30" s="36">
        <v>3048</v>
      </c>
      <c r="J30" s="37">
        <v>2</v>
      </c>
      <c r="K30" s="38">
        <f t="shared" si="0"/>
        <v>15.788639999999999</v>
      </c>
      <c r="L30" s="39" t="s">
        <v>2868</v>
      </c>
    </row>
    <row r="31" spans="1:12" s="27" customFormat="1" ht="19.5" customHeight="1" x14ac:dyDescent="0.3">
      <c r="A31" s="28"/>
      <c r="B31" s="16"/>
      <c r="C31" s="17">
        <v>24</v>
      </c>
      <c r="D31" s="18" t="s">
        <v>2864</v>
      </c>
      <c r="E31" s="41">
        <v>8</v>
      </c>
      <c r="F31" s="42">
        <v>5.57</v>
      </c>
      <c r="G31" s="34"/>
      <c r="H31" s="35"/>
      <c r="I31" s="36"/>
      <c r="J31" s="37"/>
      <c r="K31" s="38">
        <f t="shared" si="0"/>
        <v>0</v>
      </c>
      <c r="L31" s="39" t="s">
        <v>2868</v>
      </c>
    </row>
    <row r="32" spans="1:12" s="27" customFormat="1" ht="19.5" customHeight="1" x14ac:dyDescent="0.3">
      <c r="A32" s="28" t="s">
        <v>2867</v>
      </c>
      <c r="B32" s="16" t="s">
        <v>2861</v>
      </c>
      <c r="C32" s="17">
        <v>24</v>
      </c>
      <c r="D32" s="18" t="s">
        <v>2863</v>
      </c>
      <c r="E32" s="41">
        <v>6</v>
      </c>
      <c r="F32" s="42">
        <v>8.23</v>
      </c>
      <c r="G32" s="34"/>
      <c r="H32" s="35"/>
      <c r="I32" s="36"/>
      <c r="J32" s="37"/>
      <c r="K32" s="38">
        <f t="shared" si="0"/>
        <v>0</v>
      </c>
      <c r="L32" s="39" t="s">
        <v>2868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 t="s">
        <v>2869</v>
      </c>
      <c r="B34" s="16" t="s">
        <v>2861</v>
      </c>
      <c r="C34" s="17">
        <v>26.76</v>
      </c>
      <c r="D34" s="18" t="s">
        <v>2862</v>
      </c>
      <c r="E34" s="41">
        <v>21</v>
      </c>
      <c r="F34" s="42">
        <v>32.49</v>
      </c>
      <c r="G34" s="34" t="s">
        <v>2865</v>
      </c>
      <c r="H34" s="35">
        <v>2590</v>
      </c>
      <c r="I34" s="36">
        <v>3048</v>
      </c>
      <c r="J34" s="37">
        <v>13</v>
      </c>
      <c r="K34" s="38">
        <f t="shared" ref="K34:K36" si="1">(H34/1000*I34/1000)*J34</f>
        <v>102.62616</v>
      </c>
      <c r="L34" s="39" t="s">
        <v>2870</v>
      </c>
    </row>
    <row r="35" spans="1:12" s="27" customFormat="1" ht="19.5" customHeight="1" x14ac:dyDescent="0.3">
      <c r="A35" s="28"/>
      <c r="B35" s="16"/>
      <c r="C35" s="17">
        <v>24</v>
      </c>
      <c r="D35" s="18" t="s">
        <v>2863</v>
      </c>
      <c r="E35" s="41">
        <v>24</v>
      </c>
      <c r="F35" s="42">
        <v>7.56</v>
      </c>
      <c r="G35" s="34" t="s">
        <v>2865</v>
      </c>
      <c r="H35" s="35">
        <v>2590</v>
      </c>
      <c r="I35" s="36">
        <v>3353</v>
      </c>
      <c r="J35" s="37">
        <v>6</v>
      </c>
      <c r="K35" s="38">
        <f t="shared" si="1"/>
        <v>52.105619999999988</v>
      </c>
      <c r="L35" s="39" t="s">
        <v>2870</v>
      </c>
    </row>
    <row r="36" spans="1:12" s="27" customFormat="1" ht="19.5" customHeight="1" x14ac:dyDescent="0.3">
      <c r="A36" s="28"/>
      <c r="B36" s="16"/>
      <c r="C36" s="17">
        <v>24</v>
      </c>
      <c r="D36" s="18" t="s">
        <v>2864</v>
      </c>
      <c r="E36" s="41">
        <v>45</v>
      </c>
      <c r="F36" s="42">
        <v>30.57</v>
      </c>
      <c r="G36" s="34" t="s">
        <v>2866</v>
      </c>
      <c r="H36" s="35">
        <v>2590</v>
      </c>
      <c r="I36" s="36">
        <v>3048</v>
      </c>
      <c r="J36" s="37">
        <v>7</v>
      </c>
      <c r="K36" s="38">
        <f t="shared" si="1"/>
        <v>55.260239999999996</v>
      </c>
      <c r="L36" s="39" t="s">
        <v>2870</v>
      </c>
    </row>
    <row r="37" spans="1:12" s="27" customFormat="1" ht="19.5" customHeight="1" x14ac:dyDescent="0.3">
      <c r="A37" s="28"/>
      <c r="B37" s="16" t="s">
        <v>2861</v>
      </c>
      <c r="C37" s="17">
        <v>24</v>
      </c>
      <c r="D37" s="18" t="s">
        <v>2863</v>
      </c>
      <c r="E37" s="41">
        <v>36</v>
      </c>
      <c r="F37" s="42">
        <v>49.38</v>
      </c>
      <c r="G37" s="34" t="s">
        <v>2866</v>
      </c>
      <c r="H37" s="35">
        <v>2590</v>
      </c>
      <c r="I37" s="36">
        <v>3353</v>
      </c>
      <c r="J37" s="37">
        <v>2</v>
      </c>
      <c r="K37" s="38">
        <f t="shared" si="0"/>
        <v>17.368539999999996</v>
      </c>
      <c r="L37" s="39" t="s">
        <v>2870</v>
      </c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38">
        <f t="shared" si="0"/>
        <v>0</v>
      </c>
      <c r="L39" s="39"/>
    </row>
    <row r="40" spans="1:12" s="27" customFormat="1" ht="19.5" customHeight="1" x14ac:dyDescent="0.3">
      <c r="A40" s="28"/>
      <c r="B40" s="29"/>
      <c r="C40" s="30"/>
      <c r="D40" s="31"/>
      <c r="E40" s="41"/>
      <c r="F40" s="42"/>
      <c r="G40" s="43"/>
      <c r="H40" s="35"/>
      <c r="I40" s="36"/>
      <c r="J40" s="37"/>
      <c r="K40" s="38">
        <f t="shared" si="0"/>
        <v>0</v>
      </c>
      <c r="L40" s="39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1041</v>
      </c>
      <c r="B42" s="45" t="s">
        <v>2842</v>
      </c>
      <c r="C42" s="46">
        <v>24</v>
      </c>
      <c r="D42" s="47" t="s">
        <v>2843</v>
      </c>
      <c r="E42" s="48">
        <v>80</v>
      </c>
      <c r="F42" s="49">
        <v>71.3</v>
      </c>
      <c r="G42" s="50" t="s">
        <v>2829</v>
      </c>
      <c r="H42" s="51">
        <v>1981</v>
      </c>
      <c r="I42" s="45">
        <v>3353</v>
      </c>
      <c r="J42" s="52">
        <v>13</v>
      </c>
      <c r="K42" s="53">
        <f t="shared" si="0"/>
        <v>86.349809000000008</v>
      </c>
      <c r="L42" s="54" t="s">
        <v>2845</v>
      </c>
    </row>
    <row r="43" spans="1:12" s="55" customFormat="1" ht="19.5" customHeight="1" x14ac:dyDescent="0.3">
      <c r="A43" s="44"/>
      <c r="B43" s="45"/>
      <c r="C43" s="46">
        <v>22</v>
      </c>
      <c r="D43" s="47" t="s">
        <v>45</v>
      </c>
      <c r="E43" s="48">
        <v>10</v>
      </c>
      <c r="F43" s="49">
        <v>11.7</v>
      </c>
      <c r="G43" s="50" t="s">
        <v>2844</v>
      </c>
      <c r="H43" s="51">
        <v>1981</v>
      </c>
      <c r="I43" s="45">
        <v>3353</v>
      </c>
      <c r="J43" s="52">
        <v>13</v>
      </c>
      <c r="K43" s="53">
        <f t="shared" si="0"/>
        <v>86.349809000000008</v>
      </c>
      <c r="L43" s="54" t="s">
        <v>2845</v>
      </c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/>
      <c r="L44" s="54"/>
    </row>
    <row r="45" spans="1:12" s="55" customFormat="1" ht="19.5" customHeight="1" x14ac:dyDescent="0.3">
      <c r="A45" s="44"/>
      <c r="B45" s="45"/>
      <c r="C45" s="46">
        <v>24</v>
      </c>
      <c r="D45" s="47" t="s">
        <v>17</v>
      </c>
      <c r="E45" s="48">
        <v>90</v>
      </c>
      <c r="F45" s="49">
        <v>102.7</v>
      </c>
      <c r="G45" s="50" t="s">
        <v>18</v>
      </c>
      <c r="H45" s="51">
        <v>1981</v>
      </c>
      <c r="I45" s="45">
        <v>3353</v>
      </c>
      <c r="J45" s="52">
        <v>16</v>
      </c>
      <c r="K45" s="53">
        <f t="shared" si="0"/>
        <v>106.27668800000001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 t="s">
        <v>2844</v>
      </c>
      <c r="H46" s="51">
        <v>1981</v>
      </c>
      <c r="I46" s="45">
        <v>3353</v>
      </c>
      <c r="J46" s="52">
        <v>16</v>
      </c>
      <c r="K46" s="53">
        <f t="shared" si="0"/>
        <v>106.27668800000001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/>
      <c r="L47" s="54"/>
    </row>
    <row r="48" spans="1:12" s="55" customFormat="1" ht="19.5" customHeight="1" x14ac:dyDescent="0.3">
      <c r="A48" s="44" t="s">
        <v>1041</v>
      </c>
      <c r="B48" s="45" t="s">
        <v>2846</v>
      </c>
      <c r="C48" s="46">
        <v>24</v>
      </c>
      <c r="D48" s="47" t="s">
        <v>2848</v>
      </c>
      <c r="E48" s="48">
        <v>10</v>
      </c>
      <c r="F48" s="49">
        <v>31.4</v>
      </c>
      <c r="G48" s="50" t="s">
        <v>2847</v>
      </c>
      <c r="H48" s="51">
        <v>1981</v>
      </c>
      <c r="I48" s="45">
        <v>3353</v>
      </c>
      <c r="J48" s="52">
        <v>5</v>
      </c>
      <c r="K48" s="53">
        <f t="shared" si="0"/>
        <v>33.211465000000004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149</v>
      </c>
      <c r="H49" s="51">
        <v>1981</v>
      </c>
      <c r="I49" s="45">
        <v>3353</v>
      </c>
      <c r="J49" s="52">
        <v>5</v>
      </c>
      <c r="K49" s="53">
        <f t="shared" si="0"/>
        <v>33.211465000000004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/>
      <c r="L50" s="54"/>
    </row>
    <row r="51" spans="1:12" s="55" customFormat="1" ht="19.5" customHeight="1" x14ac:dyDescent="0.3">
      <c r="A51" s="44" t="s">
        <v>1042</v>
      </c>
      <c r="B51" s="45" t="s">
        <v>2846</v>
      </c>
      <c r="C51" s="46">
        <v>24</v>
      </c>
      <c r="D51" s="47" t="s">
        <v>2848</v>
      </c>
      <c r="E51" s="48">
        <v>10</v>
      </c>
      <c r="F51" s="49">
        <v>31.4</v>
      </c>
      <c r="G51" s="50" t="s">
        <v>2847</v>
      </c>
      <c r="H51" s="51">
        <v>1981</v>
      </c>
      <c r="I51" s="45">
        <v>3353</v>
      </c>
      <c r="J51" s="52">
        <v>5</v>
      </c>
      <c r="K51" s="53">
        <f t="shared" ref="K51:K52" si="2">(H51/1000*I51/1000)*J51</f>
        <v>33.211465000000004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 t="s">
        <v>149</v>
      </c>
      <c r="H52" s="51">
        <v>1981</v>
      </c>
      <c r="I52" s="45">
        <v>3353</v>
      </c>
      <c r="J52" s="52">
        <v>5</v>
      </c>
      <c r="K52" s="53">
        <f t="shared" si="2"/>
        <v>33.211465000000004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/>
      <c r="L53" s="54"/>
    </row>
    <row r="54" spans="1:12" s="55" customFormat="1" ht="19.5" customHeight="1" x14ac:dyDescent="0.3">
      <c r="A54" s="44" t="s">
        <v>2815</v>
      </c>
      <c r="B54" s="45" t="s">
        <v>2849</v>
      </c>
      <c r="C54" s="46">
        <v>43</v>
      </c>
      <c r="D54" s="47" t="s">
        <v>2850</v>
      </c>
      <c r="E54" s="48">
        <v>335</v>
      </c>
      <c r="F54" s="49">
        <v>185.7</v>
      </c>
      <c r="G54" s="50" t="s">
        <v>2851</v>
      </c>
      <c r="H54" s="51">
        <v>2438</v>
      </c>
      <c r="I54" s="45">
        <v>3353</v>
      </c>
      <c r="J54" s="52">
        <v>23</v>
      </c>
      <c r="K54" s="53">
        <f t="shared" ref="K54:K55" si="3">(H54/1000*I54/1000)*J54</f>
        <v>188.016122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 t="s">
        <v>2852</v>
      </c>
      <c r="H55" s="51">
        <v>2438</v>
      </c>
      <c r="I55" s="45">
        <v>3353</v>
      </c>
      <c r="J55" s="52">
        <v>22</v>
      </c>
      <c r="K55" s="53">
        <f t="shared" si="3"/>
        <v>179.841508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/>
      <c r="L56" s="54"/>
    </row>
    <row r="57" spans="1:12" s="55" customFormat="1" ht="19.5" customHeight="1" x14ac:dyDescent="0.3">
      <c r="A57" s="44" t="s">
        <v>2623</v>
      </c>
      <c r="B57" s="45" t="s">
        <v>2624</v>
      </c>
      <c r="C57" s="46">
        <v>24</v>
      </c>
      <c r="D57" s="47" t="s">
        <v>2853</v>
      </c>
      <c r="E57" s="48">
        <v>1</v>
      </c>
      <c r="F57" s="49">
        <v>1.28</v>
      </c>
      <c r="G57" s="50" t="s">
        <v>2854</v>
      </c>
      <c r="H57" s="51"/>
      <c r="I57" s="45"/>
      <c r="J57" s="52"/>
      <c r="K57" s="53"/>
      <c r="L57" s="54" t="s">
        <v>2856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 t="s">
        <v>2855</v>
      </c>
      <c r="H58" s="51"/>
      <c r="I58" s="45"/>
      <c r="J58" s="52"/>
      <c r="K58" s="53"/>
      <c r="L58" s="54" t="s">
        <v>2857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/>
      <c r="L59" s="54"/>
    </row>
    <row r="60" spans="1:12" s="55" customFormat="1" ht="19.5" customHeight="1" x14ac:dyDescent="0.3">
      <c r="A60" s="44" t="s">
        <v>2567</v>
      </c>
      <c r="B60" s="45" t="s">
        <v>2858</v>
      </c>
      <c r="C60" s="46">
        <v>43</v>
      </c>
      <c r="D60" s="47" t="s">
        <v>2859</v>
      </c>
      <c r="E60" s="48">
        <v>1</v>
      </c>
      <c r="F60" s="49">
        <v>4.09</v>
      </c>
      <c r="G60" s="50" t="s">
        <v>211</v>
      </c>
      <c r="H60" s="51">
        <v>2134</v>
      </c>
      <c r="I60" s="45">
        <v>3048</v>
      </c>
      <c r="J60" s="52">
        <v>1</v>
      </c>
      <c r="K60" s="53">
        <f t="shared" ref="K60" si="4">(H60/1000*I60/1000)*J60</f>
        <v>6.5044319999999995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/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/>
      <c r="L62" s="54"/>
    </row>
    <row r="63" spans="1:12" s="55" customFormat="1" ht="19.5" customHeight="1" x14ac:dyDescent="0.3">
      <c r="A63" s="44"/>
      <c r="B63" s="96"/>
      <c r="C63" s="77"/>
      <c r="D63" s="78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57</v>
      </c>
      <c r="B64" s="76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2871</v>
      </c>
      <c r="B65" s="45" t="s">
        <v>1213</v>
      </c>
      <c r="C65" s="46">
        <v>24</v>
      </c>
      <c r="D65" s="47" t="s">
        <v>45</v>
      </c>
      <c r="E65" s="48">
        <v>90</v>
      </c>
      <c r="F65" s="49">
        <v>75.599999999999994</v>
      </c>
      <c r="G65" s="50" t="s">
        <v>2872</v>
      </c>
      <c r="H65" s="51">
        <v>1981</v>
      </c>
      <c r="I65" s="45">
        <v>3353</v>
      </c>
      <c r="J65" s="52">
        <v>14</v>
      </c>
      <c r="K65" s="53">
        <f t="shared" si="0"/>
        <v>92.992102000000003</v>
      </c>
      <c r="L65" s="54"/>
    </row>
    <row r="66" spans="1:12" s="55" customFormat="1" ht="19.5" customHeight="1" x14ac:dyDescent="0.3">
      <c r="A66" s="44"/>
      <c r="B66" s="76"/>
      <c r="C66" s="46">
        <v>24</v>
      </c>
      <c r="D66" s="47" t="s">
        <v>17</v>
      </c>
      <c r="E66" s="48">
        <v>100</v>
      </c>
      <c r="F66" s="49">
        <v>107</v>
      </c>
      <c r="G66" s="50" t="s">
        <v>2873</v>
      </c>
      <c r="H66" s="51">
        <v>1981</v>
      </c>
      <c r="I66" s="45">
        <v>3353</v>
      </c>
      <c r="J66" s="52">
        <v>17</v>
      </c>
      <c r="K66" s="53">
        <f t="shared" si="0"/>
        <v>112.918981</v>
      </c>
      <c r="L66" s="54"/>
    </row>
    <row r="67" spans="1:12" s="55" customFormat="1" ht="19.5" customHeight="1" x14ac:dyDescent="0.3">
      <c r="A67" s="44"/>
      <c r="B67" s="76"/>
      <c r="C67" s="46">
        <v>24</v>
      </c>
      <c r="D67" s="47" t="s">
        <v>45</v>
      </c>
      <c r="E67" s="48">
        <v>10</v>
      </c>
      <c r="F67" s="49">
        <v>11.7</v>
      </c>
      <c r="G67" s="50" t="s">
        <v>2874</v>
      </c>
      <c r="H67" s="51">
        <v>1981</v>
      </c>
      <c r="I67" s="45">
        <v>3353</v>
      </c>
      <c r="J67" s="52">
        <v>31</v>
      </c>
      <c r="K67" s="53">
        <f t="shared" si="0"/>
        <v>205.91108300000002</v>
      </c>
      <c r="L67" s="54"/>
    </row>
    <row r="68" spans="1:12" s="55" customFormat="1" ht="19.5" customHeight="1" x14ac:dyDescent="0.3">
      <c r="A68" s="44"/>
      <c r="B68" s="76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76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76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76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76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76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9" customFormat="1" ht="20.100000000000001" customHeight="1" x14ac:dyDescent="0.3">
      <c r="A75" s="44"/>
      <c r="B75" s="45"/>
      <c r="C75" s="46"/>
      <c r="D75" s="47"/>
      <c r="E75" s="56"/>
      <c r="F75" s="57"/>
      <c r="G75" s="50"/>
      <c r="H75" s="51"/>
      <c r="I75" s="45"/>
      <c r="J75" s="52"/>
      <c r="K75" s="53">
        <f t="shared" si="0"/>
        <v>0</v>
      </c>
      <c r="L75" s="58">
        <f>SUM(J41:J76)</f>
        <v>186</v>
      </c>
    </row>
    <row r="76" spans="1:12" s="59" customFormat="1" ht="20.100000000000001" customHeight="1" x14ac:dyDescent="0.3">
      <c r="A76" s="44"/>
      <c r="B76" s="45"/>
      <c r="C76" s="46"/>
      <c r="D76" s="47"/>
      <c r="E76" s="60"/>
      <c r="F76" s="61"/>
      <c r="G76" s="62"/>
      <c r="H76" s="51"/>
      <c r="I76" s="45"/>
      <c r="J76" s="63"/>
      <c r="K76" s="53">
        <f t="shared" si="0"/>
        <v>0</v>
      </c>
      <c r="L76" s="64">
        <f>SUM(K41:K76)</f>
        <v>1304.2830819999999</v>
      </c>
    </row>
    <row r="77" spans="1:12" s="59" customFormat="1" ht="20.100000000000001" customHeight="1" thickBot="1" x14ac:dyDescent="0.35">
      <c r="A77" s="114"/>
      <c r="B77" s="115"/>
      <c r="C77" s="115"/>
      <c r="D77" s="115"/>
      <c r="E77" s="115"/>
      <c r="F77" s="115"/>
      <c r="G77" s="115"/>
      <c r="H77" s="115"/>
      <c r="I77" s="115"/>
      <c r="J77" s="65">
        <f>SUM(J7:J76)</f>
        <v>318</v>
      </c>
      <c r="K77" s="66">
        <f>SUM(K7:K76)</f>
        <v>2293.0924049999999</v>
      </c>
      <c r="L77" s="67"/>
    </row>
    <row r="78" spans="1:12" s="59" customFormat="1" ht="20.100000000000001" customHeight="1" thickTop="1" thickBot="1" x14ac:dyDescent="0.35">
      <c r="A78" s="116" t="s">
        <v>52</v>
      </c>
      <c r="B78" s="117"/>
      <c r="C78" s="68"/>
      <c r="D78" s="118">
        <f>J77</f>
        <v>318</v>
      </c>
      <c r="E78" s="119"/>
      <c r="F78" s="119"/>
      <c r="G78" s="120"/>
      <c r="H78" s="121"/>
      <c r="I78" s="121"/>
      <c r="J78" s="122"/>
      <c r="K78" s="119"/>
      <c r="L78" s="123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71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72"/>
      <c r="F84" s="5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5"/>
      <c r="G85" s="73"/>
      <c r="H85" s="5"/>
      <c r="I85" s="74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70"/>
      <c r="G89" s="5"/>
      <c r="H89" s="72"/>
      <c r="I89" s="72"/>
      <c r="J89" s="5"/>
      <c r="K89" s="5"/>
      <c r="L89" s="5"/>
    </row>
    <row r="90" spans="1:12" ht="20.100000000000001" customHeight="1" x14ac:dyDescent="0.3">
      <c r="A90" s="113"/>
      <c r="B90" s="113"/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A93" s="113"/>
      <c r="B93" s="113"/>
      <c r="H93" s="72"/>
      <c r="I93" s="72"/>
    </row>
    <row r="94" spans="1:12" ht="20.100000000000001" customHeight="1" x14ac:dyDescent="0.3">
      <c r="A94" s="113"/>
      <c r="B94" s="113"/>
      <c r="H94" s="72"/>
      <c r="I94" s="72"/>
    </row>
    <row r="95" spans="1:12" ht="20.100000000000001" customHeight="1" x14ac:dyDescent="0.3">
      <c r="H95" s="72"/>
      <c r="I95" s="72"/>
    </row>
    <row r="96" spans="1:12" ht="20.100000000000001" customHeight="1" x14ac:dyDescent="0.3">
      <c r="H96" s="72"/>
      <c r="I96" s="72"/>
    </row>
    <row r="97" spans="1:12" ht="20.100000000000001" customHeight="1" x14ac:dyDescent="0.3">
      <c r="H97" s="72"/>
      <c r="I97" s="72"/>
    </row>
    <row r="98" spans="1:12" s="72" customFormat="1" ht="20.100000000000001" customHeight="1" x14ac:dyDescent="0.3">
      <c r="A98" s="69"/>
      <c r="B98" s="5"/>
      <c r="C98" s="5"/>
      <c r="D98" s="5"/>
      <c r="E98" s="5"/>
      <c r="F98" s="70"/>
      <c r="G98" s="5"/>
      <c r="J98" s="5"/>
      <c r="K98" s="5"/>
      <c r="L98" s="5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5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5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5" customFormat="1" ht="19.5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2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2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ht="19.5" customHeight="1" x14ac:dyDescent="0.3"/>
    <row r="106" spans="1:12" ht="19.5" customHeight="1" x14ac:dyDescent="0.3"/>
    <row r="107" spans="1:12" ht="19.5" customHeight="1" x14ac:dyDescent="0.3"/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>
        <v>2</v>
      </c>
      <c r="C168" s="5"/>
      <c r="D168" s="5"/>
      <c r="E168" s="5"/>
      <c r="F168" s="70"/>
      <c r="G168" s="5"/>
      <c r="H168" s="5"/>
      <c r="I168" s="5"/>
      <c r="J168" s="5"/>
      <c r="K168" s="5"/>
      <c r="L168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3:B83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7:I77"/>
    <mergeCell ref="A78:B78"/>
    <mergeCell ref="D78:G78"/>
    <mergeCell ref="H78:J78"/>
    <mergeCell ref="K78:L78"/>
    <mergeCell ref="A93:B93"/>
    <mergeCell ref="A94:B94"/>
    <mergeCell ref="A84:B84"/>
    <mergeCell ref="A85:B85"/>
    <mergeCell ref="A86:B86"/>
    <mergeCell ref="A88:B88"/>
    <mergeCell ref="A89:B89"/>
    <mergeCell ref="A90:B90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L163"/>
  <sheetViews>
    <sheetView view="pageBreakPreview" topLeftCell="F61" zoomScale="85" zoomScaleSheetLayoutView="85" workbookViewId="0">
      <selection activeCell="L70" sqref="L70:L7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46126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1" si="0">(H7/1000*I7/1000)*J7</f>
        <v>0</v>
      </c>
      <c r="L7" s="26">
        <f>SUM(J7:J32)</f>
        <v>142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SUM(K7:K32)</f>
        <v>935.48758399999997</v>
      </c>
    </row>
    <row r="9" spans="1:12" s="27" customFormat="1" ht="19.5" customHeight="1" x14ac:dyDescent="0.3">
      <c r="A9" s="28" t="s">
        <v>2762</v>
      </c>
      <c r="B9" s="16" t="s">
        <v>2763</v>
      </c>
      <c r="C9" s="17">
        <v>22</v>
      </c>
      <c r="D9" s="18" t="s">
        <v>2764</v>
      </c>
      <c r="E9" s="41">
        <v>65</v>
      </c>
      <c r="F9" s="42">
        <v>56.15</v>
      </c>
      <c r="G9" s="34" t="s">
        <v>2765</v>
      </c>
      <c r="H9" s="35">
        <v>1829</v>
      </c>
      <c r="I9" s="36">
        <v>3353</v>
      </c>
      <c r="J9" s="37">
        <v>13</v>
      </c>
      <c r="K9" s="38">
        <f t="shared" si="0"/>
        <v>79.724281000000005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2764</v>
      </c>
      <c r="E10" s="81">
        <v>20</v>
      </c>
      <c r="F10" s="82">
        <v>16.600000000000001</v>
      </c>
      <c r="G10" s="34" t="s">
        <v>2766</v>
      </c>
      <c r="H10" s="35">
        <v>1981</v>
      </c>
      <c r="I10" s="36">
        <v>3353</v>
      </c>
      <c r="J10" s="37">
        <v>12</v>
      </c>
      <c r="K10" s="38">
        <f t="shared" si="0"/>
        <v>79.707515999999998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81"/>
      <c r="F11" s="8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2767</v>
      </c>
      <c r="B12" s="16" t="s">
        <v>2763</v>
      </c>
      <c r="C12" s="17">
        <v>22</v>
      </c>
      <c r="D12" s="18" t="s">
        <v>2764</v>
      </c>
      <c r="E12" s="41">
        <v>60</v>
      </c>
      <c r="F12" s="42">
        <v>46.12</v>
      </c>
      <c r="G12" s="34" t="s">
        <v>2765</v>
      </c>
      <c r="H12" s="35">
        <v>1829</v>
      </c>
      <c r="I12" s="36">
        <v>3353</v>
      </c>
      <c r="J12" s="37">
        <v>10</v>
      </c>
      <c r="K12" s="38">
        <f t="shared" si="0"/>
        <v>61.326369999999997</v>
      </c>
      <c r="L12" s="39"/>
    </row>
    <row r="13" spans="1:12" s="27" customFormat="1" ht="19.5" customHeight="1" x14ac:dyDescent="0.3">
      <c r="A13" s="28"/>
      <c r="B13" s="16"/>
      <c r="C13" s="17">
        <v>22</v>
      </c>
      <c r="D13" s="18" t="s">
        <v>2764</v>
      </c>
      <c r="E13" s="41">
        <v>16</v>
      </c>
      <c r="F13" s="42">
        <v>13.28</v>
      </c>
      <c r="G13" s="34" t="s">
        <v>2766</v>
      </c>
      <c r="H13" s="35">
        <v>1981</v>
      </c>
      <c r="I13" s="36">
        <v>3353</v>
      </c>
      <c r="J13" s="37">
        <v>9</v>
      </c>
      <c r="K13" s="38">
        <f t="shared" si="0"/>
        <v>59.780637000000006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2768</v>
      </c>
      <c r="B15" s="16" t="s">
        <v>2769</v>
      </c>
      <c r="C15" s="17">
        <v>24</v>
      </c>
      <c r="D15" s="18" t="s">
        <v>2772</v>
      </c>
      <c r="E15" s="41">
        <v>19</v>
      </c>
      <c r="F15" s="42">
        <v>10.45</v>
      </c>
      <c r="G15" s="34" t="s">
        <v>2770</v>
      </c>
      <c r="H15" s="35">
        <v>1829</v>
      </c>
      <c r="I15" s="36">
        <v>3048</v>
      </c>
      <c r="J15" s="37">
        <v>2</v>
      </c>
      <c r="K15" s="38">
        <f t="shared" si="0"/>
        <v>11.149583999999999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2771</v>
      </c>
      <c r="H16" s="35">
        <v>2590</v>
      </c>
      <c r="I16" s="36">
        <v>3353</v>
      </c>
      <c r="J16" s="37">
        <v>1</v>
      </c>
      <c r="K16" s="38">
        <f t="shared" si="0"/>
        <v>8.6842699999999979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2773</v>
      </c>
      <c r="B18" s="16" t="s">
        <v>2769</v>
      </c>
      <c r="C18" s="17">
        <v>24</v>
      </c>
      <c r="D18" s="18" t="s">
        <v>2772</v>
      </c>
      <c r="E18" s="41">
        <v>19</v>
      </c>
      <c r="F18" s="42">
        <v>10.45</v>
      </c>
      <c r="G18" s="34" t="s">
        <v>2770</v>
      </c>
      <c r="H18" s="35">
        <v>1829</v>
      </c>
      <c r="I18" s="36">
        <v>3048</v>
      </c>
      <c r="J18" s="37">
        <v>2</v>
      </c>
      <c r="K18" s="38">
        <f t="shared" si="0"/>
        <v>11.149583999999999</v>
      </c>
      <c r="L18" s="39"/>
    </row>
    <row r="19" spans="1:12" s="27" customFormat="1" ht="19.5" customHeight="1" x14ac:dyDescent="0.3">
      <c r="A19" s="28"/>
      <c r="B19" s="93"/>
      <c r="C19" s="17"/>
      <c r="D19" s="18"/>
      <c r="E19" s="41"/>
      <c r="F19" s="42"/>
      <c r="G19" s="34" t="s">
        <v>2771</v>
      </c>
      <c r="H19" s="35">
        <v>2590</v>
      </c>
      <c r="I19" s="36">
        <v>3353</v>
      </c>
      <c r="J19" s="37">
        <v>1</v>
      </c>
      <c r="K19" s="38">
        <f t="shared" si="0"/>
        <v>8.6842699999999979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 t="s">
        <v>2771</v>
      </c>
      <c r="H20" s="35">
        <v>1981</v>
      </c>
      <c r="I20" s="36">
        <v>3353</v>
      </c>
      <c r="J20" s="37">
        <v>1</v>
      </c>
      <c r="K20" s="38">
        <f t="shared" si="0"/>
        <v>6.6422930000000004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81"/>
      <c r="F21" s="8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 t="s">
        <v>2773</v>
      </c>
      <c r="B22" s="16" t="s">
        <v>2769</v>
      </c>
      <c r="C22" s="17">
        <v>39</v>
      </c>
      <c r="D22" s="18" t="s">
        <v>2774</v>
      </c>
      <c r="E22" s="81">
        <v>89</v>
      </c>
      <c r="F22" s="82">
        <v>108.45</v>
      </c>
      <c r="G22" s="34" t="s">
        <v>2771</v>
      </c>
      <c r="H22" s="35">
        <v>2590</v>
      </c>
      <c r="I22" s="36">
        <v>3353</v>
      </c>
      <c r="J22" s="37">
        <v>13</v>
      </c>
      <c r="K22" s="38">
        <f t="shared" si="0"/>
        <v>112.89550999999997</v>
      </c>
      <c r="L22" s="39" t="s">
        <v>2775</v>
      </c>
    </row>
    <row r="23" spans="1:12" s="27" customFormat="1" ht="19.5" customHeight="1" x14ac:dyDescent="0.3">
      <c r="A23" s="28"/>
      <c r="B23" s="16"/>
      <c r="C23" s="17"/>
      <c r="D23" s="18"/>
      <c r="E23" s="81"/>
      <c r="F23" s="8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 t="s">
        <v>2776</v>
      </c>
      <c r="B24" s="16" t="s">
        <v>2777</v>
      </c>
      <c r="C24" s="17">
        <v>24</v>
      </c>
      <c r="D24" s="18" t="s">
        <v>2778</v>
      </c>
      <c r="E24" s="41">
        <v>74</v>
      </c>
      <c r="F24" s="42">
        <v>212.38</v>
      </c>
      <c r="G24" s="34" t="s">
        <v>2779</v>
      </c>
      <c r="H24" s="35">
        <v>1981</v>
      </c>
      <c r="I24" s="36">
        <v>3048</v>
      </c>
      <c r="J24" s="37">
        <v>37</v>
      </c>
      <c r="K24" s="38">
        <f t="shared" si="0"/>
        <v>223.40925600000003</v>
      </c>
      <c r="L24" s="39" t="s">
        <v>2780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 t="s">
        <v>2781</v>
      </c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 t="s">
        <v>2816</v>
      </c>
      <c r="B27" s="16" t="s">
        <v>2817</v>
      </c>
      <c r="C27" s="17">
        <v>5</v>
      </c>
      <c r="D27" s="18" t="s">
        <v>2818</v>
      </c>
      <c r="E27" s="41">
        <v>443</v>
      </c>
      <c r="F27" s="42">
        <v>258.92</v>
      </c>
      <c r="G27" s="34" t="s">
        <v>2819</v>
      </c>
      <c r="H27" s="35">
        <v>1981</v>
      </c>
      <c r="I27" s="36">
        <v>3353</v>
      </c>
      <c r="J27" s="37">
        <v>41</v>
      </c>
      <c r="K27" s="38">
        <f t="shared" si="0"/>
        <v>272.33401300000003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29"/>
      <c r="C32" s="30"/>
      <c r="D32" s="31"/>
      <c r="E32" s="41"/>
      <c r="F32" s="42"/>
      <c r="G32" s="43"/>
      <c r="H32" s="35"/>
      <c r="I32" s="36"/>
      <c r="J32" s="37"/>
      <c r="K32" s="38">
        <f t="shared" si="0"/>
        <v>0</v>
      </c>
      <c r="L32" s="39"/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2782</v>
      </c>
      <c r="B34" s="45" t="s">
        <v>2783</v>
      </c>
      <c r="C34" s="46">
        <v>18</v>
      </c>
      <c r="D34" s="47" t="s">
        <v>2784</v>
      </c>
      <c r="E34" s="48">
        <v>2</v>
      </c>
      <c r="F34" s="49">
        <v>2.54</v>
      </c>
      <c r="G34" s="50" t="s">
        <v>2785</v>
      </c>
      <c r="H34" s="51">
        <v>2438</v>
      </c>
      <c r="I34" s="45">
        <v>3353</v>
      </c>
      <c r="J34" s="52">
        <v>1</v>
      </c>
      <c r="K34" s="53">
        <f t="shared" si="0"/>
        <v>8.174614</v>
      </c>
      <c r="L34" s="54" t="s">
        <v>2786</v>
      </c>
    </row>
    <row r="35" spans="1:12" s="55" customFormat="1" ht="19.5" customHeight="1" x14ac:dyDescent="0.3">
      <c r="A35" s="44"/>
      <c r="B35" s="45"/>
      <c r="C35" s="77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2787</v>
      </c>
      <c r="B36" s="76" t="s">
        <v>2788</v>
      </c>
      <c r="C36" s="77">
        <v>28</v>
      </c>
      <c r="D36" s="78" t="s">
        <v>2789</v>
      </c>
      <c r="E36" s="48">
        <v>1</v>
      </c>
      <c r="F36" s="49">
        <v>0.28000000000000003</v>
      </c>
      <c r="G36" s="50"/>
      <c r="H36" s="51"/>
      <c r="I36" s="45"/>
      <c r="J36" s="52"/>
      <c r="K36" s="53">
        <f t="shared" si="0"/>
        <v>0</v>
      </c>
      <c r="L36" s="54" t="s">
        <v>2791</v>
      </c>
    </row>
    <row r="37" spans="1:12" s="55" customFormat="1" ht="19.5" customHeight="1" x14ac:dyDescent="0.3">
      <c r="A37" s="44"/>
      <c r="B37" s="45"/>
      <c r="C37" s="46">
        <v>28</v>
      </c>
      <c r="D37" s="47" t="s">
        <v>2790</v>
      </c>
      <c r="E37" s="48">
        <v>1</v>
      </c>
      <c r="F37" s="49">
        <v>0.28000000000000003</v>
      </c>
      <c r="G37" s="50"/>
      <c r="H37" s="51"/>
      <c r="I37" s="45"/>
      <c r="J37" s="52"/>
      <c r="K37" s="53">
        <f t="shared" si="0"/>
        <v>0</v>
      </c>
      <c r="L37" s="54" t="s">
        <v>2791</v>
      </c>
    </row>
    <row r="38" spans="1:12" s="55" customFormat="1" ht="19.5" customHeight="1" x14ac:dyDescent="0.3">
      <c r="A38" s="44"/>
      <c r="B38" s="76"/>
      <c r="C38" s="77"/>
      <c r="D38" s="78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2792</v>
      </c>
      <c r="B39" s="96" t="s">
        <v>2793</v>
      </c>
      <c r="C39" s="77">
        <v>24</v>
      </c>
      <c r="D39" s="78" t="s">
        <v>2794</v>
      </c>
      <c r="E39" s="48">
        <v>1</v>
      </c>
      <c r="F39" s="49">
        <v>4.1399999999999997</v>
      </c>
      <c r="G39" s="50" t="s">
        <v>2795</v>
      </c>
      <c r="H39" s="51">
        <v>2438</v>
      </c>
      <c r="I39" s="45">
        <v>3353</v>
      </c>
      <c r="J39" s="52">
        <v>1</v>
      </c>
      <c r="K39" s="53">
        <f t="shared" si="0"/>
        <v>8.174614</v>
      </c>
      <c r="L39" s="64" t="s">
        <v>2796</v>
      </c>
    </row>
    <row r="40" spans="1:12" s="55" customFormat="1" ht="19.5" customHeight="1" x14ac:dyDescent="0.3">
      <c r="A40" s="44"/>
      <c r="B40" s="76"/>
      <c r="C40" s="77"/>
      <c r="D40" s="78"/>
      <c r="E40" s="48"/>
      <c r="F40" s="49"/>
      <c r="G40" s="50" t="s">
        <v>2771</v>
      </c>
      <c r="H40" s="51">
        <v>1981</v>
      </c>
      <c r="I40" s="45">
        <v>3353</v>
      </c>
      <c r="J40" s="52">
        <v>1</v>
      </c>
      <c r="K40" s="53">
        <f t="shared" si="0"/>
        <v>6.6422930000000004</v>
      </c>
      <c r="L40" s="64"/>
    </row>
    <row r="41" spans="1:12" s="55" customFormat="1" ht="19.5" customHeight="1" x14ac:dyDescent="0.3">
      <c r="A41" s="44"/>
      <c r="B41" s="96"/>
      <c r="C41" s="77"/>
      <c r="D41" s="78"/>
      <c r="E41" s="48"/>
      <c r="F41" s="49"/>
      <c r="G41" s="50"/>
      <c r="H41" s="51"/>
      <c r="I41" s="45"/>
      <c r="J41" s="52"/>
      <c r="K41" s="53">
        <f t="shared" si="0"/>
        <v>0</v>
      </c>
      <c r="L41" s="64"/>
    </row>
    <row r="42" spans="1:12" s="55" customFormat="1" ht="19.5" customHeight="1" x14ac:dyDescent="0.3">
      <c r="A42" s="44" t="s">
        <v>2797</v>
      </c>
      <c r="B42" s="96" t="s">
        <v>2793</v>
      </c>
      <c r="C42" s="77">
        <v>24</v>
      </c>
      <c r="D42" s="78" t="s">
        <v>2794</v>
      </c>
      <c r="E42" s="48">
        <v>1</v>
      </c>
      <c r="F42" s="49">
        <v>1.7</v>
      </c>
      <c r="G42" s="50" t="s">
        <v>2795</v>
      </c>
      <c r="H42" s="51">
        <v>2438</v>
      </c>
      <c r="I42" s="45">
        <v>3353</v>
      </c>
      <c r="J42" s="52">
        <v>1</v>
      </c>
      <c r="K42" s="53">
        <f t="shared" si="0"/>
        <v>8.174614</v>
      </c>
      <c r="L42" s="64" t="s">
        <v>2799</v>
      </c>
    </row>
    <row r="43" spans="1:12" s="55" customFormat="1" ht="19.5" customHeight="1" x14ac:dyDescent="0.3">
      <c r="A43" s="44" t="s">
        <v>2798</v>
      </c>
      <c r="B43" s="96"/>
      <c r="C43" s="77">
        <v>24</v>
      </c>
      <c r="D43" s="78" t="s">
        <v>2794</v>
      </c>
      <c r="E43" s="48">
        <v>1</v>
      </c>
      <c r="F43" s="49">
        <v>1.71</v>
      </c>
      <c r="G43" s="50"/>
      <c r="H43" s="51"/>
      <c r="I43" s="45"/>
      <c r="J43" s="52"/>
      <c r="K43" s="53">
        <f t="shared" si="0"/>
        <v>0</v>
      </c>
      <c r="L43" s="64" t="s">
        <v>2799</v>
      </c>
    </row>
    <row r="44" spans="1:12" s="55" customFormat="1" ht="19.5" customHeight="1" x14ac:dyDescent="0.3">
      <c r="A44" s="44"/>
      <c r="B44" s="96"/>
      <c r="C44" s="77"/>
      <c r="D44" s="78"/>
      <c r="E44" s="48"/>
      <c r="F44" s="49"/>
      <c r="G44" s="50"/>
      <c r="H44" s="51"/>
      <c r="I44" s="45"/>
      <c r="J44" s="52"/>
      <c r="K44" s="53">
        <f t="shared" si="0"/>
        <v>0</v>
      </c>
      <c r="L44" s="64"/>
    </row>
    <row r="45" spans="1:12" s="55" customFormat="1" ht="19.5" customHeight="1" x14ac:dyDescent="0.3">
      <c r="A45" s="44" t="s">
        <v>2800</v>
      </c>
      <c r="B45" s="76" t="s">
        <v>2801</v>
      </c>
      <c r="C45" s="77">
        <v>43</v>
      </c>
      <c r="D45" s="78" t="s">
        <v>2802</v>
      </c>
      <c r="E45" s="48">
        <v>28</v>
      </c>
      <c r="F45" s="49">
        <v>38.29</v>
      </c>
      <c r="G45" s="50" t="s">
        <v>2803</v>
      </c>
      <c r="H45" s="51">
        <v>2134</v>
      </c>
      <c r="I45" s="45">
        <v>3048</v>
      </c>
      <c r="J45" s="52">
        <v>4</v>
      </c>
      <c r="K45" s="53">
        <f t="shared" si="0"/>
        <v>26.017727999999998</v>
      </c>
      <c r="L45" s="54"/>
    </row>
    <row r="46" spans="1:12" s="55" customFormat="1" ht="19.5" customHeight="1" x14ac:dyDescent="0.3">
      <c r="A46" s="44"/>
      <c r="B46" s="96"/>
      <c r="C46" s="77"/>
      <c r="D46" s="78"/>
      <c r="E46" s="48"/>
      <c r="F46" s="49"/>
      <c r="G46" s="50" t="s">
        <v>2803</v>
      </c>
      <c r="H46" s="51">
        <v>2438</v>
      </c>
      <c r="I46" s="45">
        <v>3353</v>
      </c>
      <c r="J46" s="52">
        <v>8</v>
      </c>
      <c r="K46" s="53">
        <f t="shared" si="0"/>
        <v>65.396912</v>
      </c>
      <c r="L46" s="54"/>
    </row>
    <row r="47" spans="1:12" s="55" customFormat="1" ht="19.5" customHeight="1" x14ac:dyDescent="0.3">
      <c r="A47" s="44"/>
      <c r="B47" s="96"/>
      <c r="C47" s="77"/>
      <c r="D47" s="78"/>
      <c r="E47" s="48"/>
      <c r="F47" s="49"/>
      <c r="G47" s="50" t="s">
        <v>2771</v>
      </c>
      <c r="H47" s="51">
        <v>2590</v>
      </c>
      <c r="I47" s="45">
        <v>3353</v>
      </c>
      <c r="J47" s="52">
        <v>5</v>
      </c>
      <c r="K47" s="53">
        <f t="shared" si="0"/>
        <v>43.42134999999999</v>
      </c>
      <c r="L47" s="54"/>
    </row>
    <row r="48" spans="1:12" s="55" customFormat="1" ht="19.5" customHeight="1" x14ac:dyDescent="0.3">
      <c r="A48" s="44"/>
      <c r="B48" s="76"/>
      <c r="C48" s="77"/>
      <c r="D48" s="78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2804</v>
      </c>
      <c r="B49" s="76" t="s">
        <v>2805</v>
      </c>
      <c r="C49" s="46">
        <v>43</v>
      </c>
      <c r="D49" s="47" t="s">
        <v>2808</v>
      </c>
      <c r="E49" s="48">
        <v>6</v>
      </c>
      <c r="F49" s="49">
        <v>24.54</v>
      </c>
      <c r="G49" s="50" t="s">
        <v>2806</v>
      </c>
      <c r="H49" s="51">
        <v>2134</v>
      </c>
      <c r="I49" s="45">
        <v>3353</v>
      </c>
      <c r="J49" s="52">
        <v>6</v>
      </c>
      <c r="K49" s="53">
        <f t="shared" si="0"/>
        <v>42.931812000000001</v>
      </c>
      <c r="L49" s="54" t="s">
        <v>2807</v>
      </c>
    </row>
    <row r="50" spans="1:12" s="55" customFormat="1" ht="19.5" customHeight="1" x14ac:dyDescent="0.3">
      <c r="A50" s="44"/>
      <c r="B50" s="76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2804</v>
      </c>
      <c r="B51" s="76" t="s">
        <v>2805</v>
      </c>
      <c r="C51" s="46">
        <v>43</v>
      </c>
      <c r="D51" s="47" t="s">
        <v>2808</v>
      </c>
      <c r="E51" s="48">
        <v>12</v>
      </c>
      <c r="F51" s="49">
        <v>44.22</v>
      </c>
      <c r="G51" s="50" t="s">
        <v>2770</v>
      </c>
      <c r="H51" s="51">
        <v>1981</v>
      </c>
      <c r="I51" s="45">
        <v>3353</v>
      </c>
      <c r="J51" s="52">
        <v>11</v>
      </c>
      <c r="K51" s="53">
        <f t="shared" si="0"/>
        <v>73.065223000000003</v>
      </c>
      <c r="L51" s="54" t="s">
        <v>2809</v>
      </c>
    </row>
    <row r="52" spans="1:12" s="55" customFormat="1" ht="19.5" customHeight="1" x14ac:dyDescent="0.3">
      <c r="A52" s="44"/>
      <c r="B52" s="76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2804</v>
      </c>
      <c r="B53" s="76" t="s">
        <v>2805</v>
      </c>
      <c r="C53" s="46">
        <v>43</v>
      </c>
      <c r="D53" s="47" t="s">
        <v>2808</v>
      </c>
      <c r="E53" s="48">
        <v>1</v>
      </c>
      <c r="F53" s="49">
        <v>4.09</v>
      </c>
      <c r="G53" s="50" t="s">
        <v>2771</v>
      </c>
      <c r="H53" s="51">
        <v>1981</v>
      </c>
      <c r="I53" s="45">
        <v>3048</v>
      </c>
      <c r="J53" s="52">
        <v>1</v>
      </c>
      <c r="K53" s="53">
        <f t="shared" si="0"/>
        <v>6.038088000000001</v>
      </c>
      <c r="L53" s="54" t="s">
        <v>2810</v>
      </c>
    </row>
    <row r="54" spans="1:12" s="55" customFormat="1" ht="19.5" customHeight="1" x14ac:dyDescent="0.3">
      <c r="A54" s="44"/>
      <c r="B54" s="76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2811</v>
      </c>
      <c r="B55" s="76" t="s">
        <v>2812</v>
      </c>
      <c r="C55" s="46">
        <v>43</v>
      </c>
      <c r="D55" s="47" t="s">
        <v>2813</v>
      </c>
      <c r="E55" s="48">
        <v>251</v>
      </c>
      <c r="F55" s="49">
        <v>123.58</v>
      </c>
      <c r="G55" s="50" t="s">
        <v>2765</v>
      </c>
      <c r="H55" s="51">
        <v>1829</v>
      </c>
      <c r="I55" s="45">
        <v>3353</v>
      </c>
      <c r="J55" s="52">
        <v>20</v>
      </c>
      <c r="K55" s="53">
        <f t="shared" si="0"/>
        <v>122.65273999999999</v>
      </c>
      <c r="L55" s="54" t="s">
        <v>2814</v>
      </c>
    </row>
    <row r="56" spans="1:12" s="55" customFormat="1" ht="19.5" customHeight="1" x14ac:dyDescent="0.3">
      <c r="A56" s="44"/>
      <c r="B56" s="76"/>
      <c r="C56" s="77"/>
      <c r="D56" s="78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2815</v>
      </c>
      <c r="B57" s="76" t="s">
        <v>2812</v>
      </c>
      <c r="C57" s="46">
        <v>43</v>
      </c>
      <c r="D57" s="47" t="s">
        <v>2813</v>
      </c>
      <c r="E57" s="48">
        <v>335</v>
      </c>
      <c r="F57" s="49">
        <v>185.7</v>
      </c>
      <c r="G57" s="50" t="s">
        <v>2765</v>
      </c>
      <c r="H57" s="51">
        <v>1829</v>
      </c>
      <c r="I57" s="45">
        <v>3353</v>
      </c>
      <c r="J57" s="52">
        <v>32</v>
      </c>
      <c r="K57" s="53">
        <f t="shared" si="0"/>
        <v>196.244384</v>
      </c>
      <c r="L57" s="54" t="s">
        <v>2814</v>
      </c>
    </row>
    <row r="58" spans="1:12" s="55" customFormat="1" ht="19.5" customHeight="1" x14ac:dyDescent="0.3">
      <c r="A58" s="44"/>
      <c r="B58" s="96"/>
      <c r="C58" s="77"/>
      <c r="D58" s="78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2781</v>
      </c>
      <c r="B59" s="76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2811</v>
      </c>
      <c r="B60" s="76" t="s">
        <v>2456</v>
      </c>
      <c r="C60" s="46">
        <v>43</v>
      </c>
      <c r="D60" s="47" t="s">
        <v>791</v>
      </c>
      <c r="E60" s="48">
        <v>251</v>
      </c>
      <c r="F60" s="49">
        <v>123.58</v>
      </c>
      <c r="G60" s="50" t="s">
        <v>2820</v>
      </c>
      <c r="H60" s="51">
        <v>2438</v>
      </c>
      <c r="I60" s="45">
        <v>3353</v>
      </c>
      <c r="J60" s="52">
        <v>29</v>
      </c>
      <c r="K60" s="53">
        <f t="shared" si="0"/>
        <v>237.063806</v>
      </c>
      <c r="L60" s="54" t="s">
        <v>2821</v>
      </c>
    </row>
    <row r="61" spans="1:12" s="55" customFormat="1" ht="19.5" customHeight="1" x14ac:dyDescent="0.3">
      <c r="A61" s="44"/>
      <c r="B61" s="76"/>
      <c r="C61" s="46"/>
      <c r="D61" s="47"/>
      <c r="E61" s="48"/>
      <c r="F61" s="49"/>
      <c r="G61" s="50"/>
      <c r="H61" s="51"/>
      <c r="I61" s="45"/>
      <c r="J61" s="52"/>
      <c r="K61" s="53">
        <f t="shared" ref="K61:K65" si="1">(H61/1000*I61/1000)*J61</f>
        <v>0</v>
      </c>
      <c r="L61" s="54"/>
    </row>
    <row r="62" spans="1:12" s="55" customFormat="1" ht="19.5" customHeight="1" x14ac:dyDescent="0.3">
      <c r="A62" s="44"/>
      <c r="B62" s="76"/>
      <c r="C62" s="46"/>
      <c r="D62" s="47"/>
      <c r="E62" s="48"/>
      <c r="F62" s="49"/>
      <c r="G62" s="50"/>
      <c r="H62" s="51"/>
      <c r="I62" s="45"/>
      <c r="J62" s="52"/>
      <c r="K62" s="53">
        <f t="shared" si="1"/>
        <v>0</v>
      </c>
      <c r="L62" s="54"/>
    </row>
    <row r="63" spans="1:12" s="55" customFormat="1" ht="19.5" customHeight="1" x14ac:dyDescent="0.3">
      <c r="A63" s="44"/>
      <c r="B63" s="76"/>
      <c r="C63" s="46"/>
      <c r="D63" s="47"/>
      <c r="E63" s="48"/>
      <c r="F63" s="49"/>
      <c r="G63" s="50"/>
      <c r="H63" s="51"/>
      <c r="I63" s="45"/>
      <c r="J63" s="52"/>
      <c r="K63" s="53">
        <f t="shared" si="1"/>
        <v>0</v>
      </c>
      <c r="L63" s="54"/>
    </row>
    <row r="64" spans="1:12" s="55" customFormat="1" ht="19.5" customHeight="1" x14ac:dyDescent="0.3">
      <c r="A64" s="44"/>
      <c r="B64" s="76"/>
      <c r="C64" s="46"/>
      <c r="D64" s="47"/>
      <c r="E64" s="48"/>
      <c r="F64" s="49"/>
      <c r="G64" s="50"/>
      <c r="H64" s="51"/>
      <c r="I64" s="45"/>
      <c r="J64" s="52"/>
      <c r="K64" s="53">
        <f t="shared" si="1"/>
        <v>0</v>
      </c>
      <c r="L64" s="54"/>
    </row>
    <row r="65" spans="1:12" s="55" customFormat="1" ht="19.5" customHeight="1" x14ac:dyDescent="0.3">
      <c r="A65" s="44"/>
      <c r="B65" s="76"/>
      <c r="C65" s="46"/>
      <c r="D65" s="47"/>
      <c r="E65" s="48"/>
      <c r="F65" s="49"/>
      <c r="G65" s="50"/>
      <c r="H65" s="51"/>
      <c r="I65" s="45"/>
      <c r="J65" s="52"/>
      <c r="K65" s="53">
        <f t="shared" si="1"/>
        <v>0</v>
      </c>
      <c r="L65" s="54"/>
    </row>
    <row r="66" spans="1:12" s="55" customFormat="1" ht="19.5" customHeight="1" x14ac:dyDescent="0.3">
      <c r="A66" s="44"/>
      <c r="B66" s="76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76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76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9" customFormat="1" ht="20.100000000000001" customHeight="1" x14ac:dyDescent="0.3">
      <c r="A70" s="44"/>
      <c r="B70" s="45"/>
      <c r="C70" s="46"/>
      <c r="D70" s="47"/>
      <c r="E70" s="56"/>
      <c r="F70" s="57"/>
      <c r="G70" s="50"/>
      <c r="H70" s="51"/>
      <c r="I70" s="45"/>
      <c r="J70" s="52"/>
      <c r="K70" s="53">
        <f t="shared" si="0"/>
        <v>0</v>
      </c>
      <c r="L70" s="58">
        <f>SUM(J33:J71)</f>
        <v>120</v>
      </c>
    </row>
    <row r="71" spans="1:12" s="59" customFormat="1" ht="20.100000000000001" customHeight="1" x14ac:dyDescent="0.3">
      <c r="A71" s="44"/>
      <c r="B71" s="45"/>
      <c r="C71" s="46"/>
      <c r="D71" s="47"/>
      <c r="E71" s="60"/>
      <c r="F71" s="61"/>
      <c r="G71" s="62"/>
      <c r="H71" s="51"/>
      <c r="I71" s="45"/>
      <c r="J71" s="63"/>
      <c r="K71" s="53">
        <f t="shared" si="0"/>
        <v>0</v>
      </c>
      <c r="L71" s="64">
        <f>SUM(K33:K71)</f>
        <v>843.99817799999994</v>
      </c>
    </row>
    <row r="72" spans="1:12" s="59" customFormat="1" ht="20.100000000000001" customHeight="1" thickBot="1" x14ac:dyDescent="0.35">
      <c r="A72" s="114"/>
      <c r="B72" s="115"/>
      <c r="C72" s="115"/>
      <c r="D72" s="115"/>
      <c r="E72" s="115"/>
      <c r="F72" s="115"/>
      <c r="G72" s="115"/>
      <c r="H72" s="115"/>
      <c r="I72" s="115"/>
      <c r="J72" s="65">
        <f>SUM(J7:J71)</f>
        <v>262</v>
      </c>
      <c r="K72" s="66">
        <f>SUM(K7:K71)</f>
        <v>1779.4857620000002</v>
      </c>
      <c r="L72" s="67"/>
    </row>
    <row r="73" spans="1:12" s="59" customFormat="1" ht="20.100000000000001" customHeight="1" thickTop="1" thickBot="1" x14ac:dyDescent="0.35">
      <c r="A73" s="116" t="s">
        <v>52</v>
      </c>
      <c r="B73" s="117"/>
      <c r="C73" s="68"/>
      <c r="D73" s="118">
        <f>J72</f>
        <v>262</v>
      </c>
      <c r="E73" s="119"/>
      <c r="F73" s="119"/>
      <c r="G73" s="120"/>
      <c r="H73" s="121"/>
      <c r="I73" s="121"/>
      <c r="J73" s="122"/>
      <c r="K73" s="119"/>
      <c r="L73" s="123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71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72"/>
      <c r="F79" s="5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5"/>
      <c r="G80" s="73"/>
      <c r="H80" s="5"/>
      <c r="I80" s="74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72"/>
      <c r="I84" s="72"/>
      <c r="J84" s="5"/>
      <c r="K84" s="5"/>
      <c r="L84" s="5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A88" s="113"/>
      <c r="B88" s="113"/>
      <c r="H88" s="72"/>
      <c r="I88" s="72"/>
    </row>
    <row r="89" spans="1:12" ht="20.100000000000001" customHeight="1" x14ac:dyDescent="0.3">
      <c r="A89" s="113"/>
      <c r="B89" s="113"/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H92" s="72"/>
      <c r="I92" s="72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5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5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5" customFormat="1" ht="19.5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2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ht="19.5" customHeight="1" x14ac:dyDescent="0.3"/>
    <row r="101" spans="1:12" ht="19.5" customHeight="1" x14ac:dyDescent="0.3"/>
    <row r="102" spans="1:12" ht="19.5" customHeight="1" x14ac:dyDescent="0.3"/>
    <row r="103" spans="1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>
        <v>2</v>
      </c>
      <c r="C163" s="5"/>
      <c r="D163" s="5"/>
      <c r="E163" s="5"/>
      <c r="F163" s="70"/>
      <c r="G163" s="5"/>
      <c r="H163" s="5"/>
      <c r="I163" s="5"/>
      <c r="J163" s="5"/>
      <c r="K163" s="5"/>
      <c r="L163" s="5"/>
    </row>
  </sheetData>
  <mergeCells count="30">
    <mergeCell ref="A88:B88"/>
    <mergeCell ref="A89:B89"/>
    <mergeCell ref="A79:B79"/>
    <mergeCell ref="A80:B80"/>
    <mergeCell ref="A81:B81"/>
    <mergeCell ref="A83:B83"/>
    <mergeCell ref="A84:B84"/>
    <mergeCell ref="A85:B85"/>
    <mergeCell ref="A78:B7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2:I72"/>
    <mergeCell ref="A73:B73"/>
    <mergeCell ref="D73:G73"/>
    <mergeCell ref="H73:J73"/>
    <mergeCell ref="K73:L73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L184"/>
  <sheetViews>
    <sheetView view="pageBreakPreview" topLeftCell="F70" zoomScale="85" zoomScaleSheetLayoutView="85" workbookViewId="0">
      <selection activeCell="L91" sqref="L91:L92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46125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92" si="0">(H7/1000*I7/1000)*J7</f>
        <v>0</v>
      </c>
      <c r="L7" s="26">
        <f>SUM(J7:J57)</f>
        <v>132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SUM(K7:K57)</f>
        <v>882.43248100000005</v>
      </c>
    </row>
    <row r="9" spans="1:12" s="27" customFormat="1" ht="19.5" customHeight="1" x14ac:dyDescent="0.3">
      <c r="A9" s="28" t="s">
        <v>2725</v>
      </c>
      <c r="B9" s="16" t="s">
        <v>2726</v>
      </c>
      <c r="C9" s="17">
        <v>27.76</v>
      </c>
      <c r="D9" s="18" t="s">
        <v>2727</v>
      </c>
      <c r="E9" s="41">
        <v>1</v>
      </c>
      <c r="F9" s="42">
        <v>0.83</v>
      </c>
      <c r="G9" s="34"/>
      <c r="H9" s="35"/>
      <c r="I9" s="36"/>
      <c r="J9" s="37"/>
      <c r="K9" s="38">
        <f t="shared" si="0"/>
        <v>0</v>
      </c>
      <c r="L9" s="39" t="s">
        <v>31</v>
      </c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2728</v>
      </c>
      <c r="B11" s="16" t="s">
        <v>2729</v>
      </c>
      <c r="C11" s="17">
        <v>24</v>
      </c>
      <c r="D11" s="18" t="s">
        <v>2648</v>
      </c>
      <c r="E11" s="81">
        <v>9</v>
      </c>
      <c r="F11" s="82">
        <v>13.32</v>
      </c>
      <c r="G11" s="34" t="s">
        <v>336</v>
      </c>
      <c r="H11" s="35">
        <v>1981</v>
      </c>
      <c r="I11" s="36">
        <v>3353</v>
      </c>
      <c r="J11" s="37">
        <v>2</v>
      </c>
      <c r="K11" s="38">
        <f t="shared" si="0"/>
        <v>13.284586000000001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62</v>
      </c>
      <c r="H12" s="35">
        <v>1981</v>
      </c>
      <c r="I12" s="36">
        <v>3353</v>
      </c>
      <c r="J12" s="37">
        <v>2</v>
      </c>
      <c r="K12" s="38">
        <f t="shared" si="0"/>
        <v>13.284586000000001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2712</v>
      </c>
      <c r="B14" s="16" t="s">
        <v>2662</v>
      </c>
      <c r="C14" s="17">
        <v>22</v>
      </c>
      <c r="D14" s="18" t="s">
        <v>228</v>
      </c>
      <c r="E14" s="41">
        <v>6</v>
      </c>
      <c r="F14" s="42">
        <v>14.16</v>
      </c>
      <c r="G14" s="34" t="s">
        <v>216</v>
      </c>
      <c r="H14" s="35">
        <v>1981</v>
      </c>
      <c r="I14" s="36">
        <v>3353</v>
      </c>
      <c r="J14" s="37">
        <v>7</v>
      </c>
      <c r="K14" s="38">
        <f t="shared" si="0"/>
        <v>46.496051000000001</v>
      </c>
      <c r="L14" s="39" t="s">
        <v>2730</v>
      </c>
    </row>
    <row r="15" spans="1:12" s="27" customFormat="1" ht="19.5" customHeight="1" x14ac:dyDescent="0.3">
      <c r="A15" s="28" t="s">
        <v>2713</v>
      </c>
      <c r="B15" s="16" t="s">
        <v>2662</v>
      </c>
      <c r="C15" s="17">
        <v>22</v>
      </c>
      <c r="D15" s="18" t="s">
        <v>228</v>
      </c>
      <c r="E15" s="41">
        <v>3</v>
      </c>
      <c r="F15" s="42">
        <v>9.69</v>
      </c>
      <c r="G15" s="34"/>
      <c r="H15" s="35"/>
      <c r="I15" s="36"/>
      <c r="J15" s="37"/>
      <c r="K15" s="38">
        <f t="shared" si="0"/>
        <v>0</v>
      </c>
      <c r="L15" s="39" t="s">
        <v>2730</v>
      </c>
    </row>
    <row r="16" spans="1:12" s="27" customFormat="1" ht="19.5" customHeight="1" x14ac:dyDescent="0.3">
      <c r="A16" s="28" t="s">
        <v>2714</v>
      </c>
      <c r="B16" s="16" t="s">
        <v>2662</v>
      </c>
      <c r="C16" s="17">
        <v>22</v>
      </c>
      <c r="D16" s="18" t="s">
        <v>228</v>
      </c>
      <c r="E16" s="41">
        <v>6</v>
      </c>
      <c r="F16" s="42">
        <v>14.16</v>
      </c>
      <c r="G16" s="34"/>
      <c r="H16" s="35"/>
      <c r="I16" s="36"/>
      <c r="J16" s="37"/>
      <c r="K16" s="38">
        <f t="shared" si="0"/>
        <v>0</v>
      </c>
      <c r="L16" s="39" t="s">
        <v>2730</v>
      </c>
    </row>
    <row r="17" spans="1:12" s="27" customFormat="1" ht="19.5" customHeight="1" x14ac:dyDescent="0.3">
      <c r="A17" s="28" t="s">
        <v>2715</v>
      </c>
      <c r="B17" s="16" t="s">
        <v>2662</v>
      </c>
      <c r="C17" s="17">
        <v>22</v>
      </c>
      <c r="D17" s="18" t="s">
        <v>228</v>
      </c>
      <c r="E17" s="41">
        <v>6</v>
      </c>
      <c r="F17" s="42">
        <v>14.16</v>
      </c>
      <c r="G17" s="34"/>
      <c r="H17" s="35"/>
      <c r="I17" s="36"/>
      <c r="J17" s="37"/>
      <c r="K17" s="38">
        <f t="shared" si="0"/>
        <v>0</v>
      </c>
      <c r="L17" s="39" t="s">
        <v>2730</v>
      </c>
    </row>
    <row r="18" spans="1:12" s="27" customFormat="1" ht="19.5" customHeight="1" x14ac:dyDescent="0.3">
      <c r="A18" s="28" t="s">
        <v>2716</v>
      </c>
      <c r="B18" s="16" t="s">
        <v>2662</v>
      </c>
      <c r="C18" s="17">
        <v>22</v>
      </c>
      <c r="D18" s="18" t="s">
        <v>228</v>
      </c>
      <c r="E18" s="41">
        <v>3</v>
      </c>
      <c r="F18" s="42">
        <v>9.69</v>
      </c>
      <c r="G18" s="34"/>
      <c r="H18" s="35"/>
      <c r="I18" s="36"/>
      <c r="J18" s="37"/>
      <c r="K18" s="38">
        <f t="shared" si="0"/>
        <v>0</v>
      </c>
      <c r="L18" s="39" t="s">
        <v>2730</v>
      </c>
    </row>
    <row r="19" spans="1:12" s="27" customFormat="1" ht="19.5" customHeight="1" x14ac:dyDescent="0.3">
      <c r="A19" s="28"/>
      <c r="B19" s="93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2712</v>
      </c>
      <c r="B20" s="16" t="s">
        <v>2662</v>
      </c>
      <c r="C20" s="17">
        <v>22</v>
      </c>
      <c r="D20" s="18" t="s">
        <v>17</v>
      </c>
      <c r="E20" s="81">
        <v>54</v>
      </c>
      <c r="F20" s="82">
        <v>44.4</v>
      </c>
      <c r="G20" s="34" t="s">
        <v>18</v>
      </c>
      <c r="H20" s="35">
        <v>1981</v>
      </c>
      <c r="I20" s="36">
        <v>3353</v>
      </c>
      <c r="J20" s="37">
        <v>7</v>
      </c>
      <c r="K20" s="38">
        <f t="shared" si="0"/>
        <v>46.496051000000001</v>
      </c>
      <c r="L20" s="39"/>
    </row>
    <row r="21" spans="1:12" s="27" customFormat="1" ht="19.5" customHeight="1" x14ac:dyDescent="0.3">
      <c r="A21" s="28"/>
      <c r="B21" s="16" t="s">
        <v>2662</v>
      </c>
      <c r="C21" s="17">
        <v>22</v>
      </c>
      <c r="D21" s="18" t="s">
        <v>17</v>
      </c>
      <c r="E21" s="81">
        <v>6</v>
      </c>
      <c r="F21" s="82">
        <v>1.68</v>
      </c>
      <c r="G21" s="34" t="s">
        <v>216</v>
      </c>
      <c r="H21" s="35">
        <v>1981</v>
      </c>
      <c r="I21" s="36">
        <v>3353</v>
      </c>
      <c r="J21" s="37">
        <v>7</v>
      </c>
      <c r="K21" s="38">
        <f t="shared" si="0"/>
        <v>46.496051000000001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81"/>
      <c r="F22" s="8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2713</v>
      </c>
      <c r="B23" s="16" t="s">
        <v>2662</v>
      </c>
      <c r="C23" s="17">
        <v>22</v>
      </c>
      <c r="D23" s="18" t="s">
        <v>17</v>
      </c>
      <c r="E23" s="81">
        <v>57</v>
      </c>
      <c r="F23" s="82">
        <v>40.950000000000003</v>
      </c>
      <c r="G23" s="34" t="s">
        <v>18</v>
      </c>
      <c r="H23" s="35">
        <v>1981</v>
      </c>
      <c r="I23" s="36">
        <v>3353</v>
      </c>
      <c r="J23" s="37">
        <v>6</v>
      </c>
      <c r="K23" s="38">
        <f t="shared" si="0"/>
        <v>39.853757999999999</v>
      </c>
      <c r="L23" s="39"/>
    </row>
    <row r="24" spans="1:12" s="27" customFormat="1" ht="19.5" customHeight="1" x14ac:dyDescent="0.3">
      <c r="A24" s="28"/>
      <c r="B24" s="16" t="s">
        <v>2662</v>
      </c>
      <c r="C24" s="17">
        <v>22</v>
      </c>
      <c r="D24" s="18" t="s">
        <v>17</v>
      </c>
      <c r="E24" s="41">
        <v>6</v>
      </c>
      <c r="F24" s="42">
        <v>1.68</v>
      </c>
      <c r="G24" s="34" t="s">
        <v>216</v>
      </c>
      <c r="H24" s="35">
        <v>1981</v>
      </c>
      <c r="I24" s="36">
        <v>3353</v>
      </c>
      <c r="J24" s="37">
        <v>8</v>
      </c>
      <c r="K24" s="38">
        <f t="shared" si="0"/>
        <v>53.138344000000004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 t="s">
        <v>2714</v>
      </c>
      <c r="B26" s="16" t="s">
        <v>2662</v>
      </c>
      <c r="C26" s="17">
        <v>22</v>
      </c>
      <c r="D26" s="18" t="s">
        <v>17</v>
      </c>
      <c r="E26" s="41">
        <v>66</v>
      </c>
      <c r="F26" s="42">
        <v>43.44</v>
      </c>
      <c r="G26" s="34" t="s">
        <v>18</v>
      </c>
      <c r="H26" s="35">
        <v>1981</v>
      </c>
      <c r="I26" s="36">
        <v>3353</v>
      </c>
      <c r="J26" s="37">
        <v>7</v>
      </c>
      <c r="K26" s="38">
        <f t="shared" si="0"/>
        <v>46.496051000000001</v>
      </c>
      <c r="L26" s="39"/>
    </row>
    <row r="27" spans="1:12" s="27" customFormat="1" ht="19.5" customHeight="1" x14ac:dyDescent="0.3">
      <c r="A27" s="28"/>
      <c r="B27" s="16" t="s">
        <v>2662</v>
      </c>
      <c r="C27" s="17">
        <v>22</v>
      </c>
      <c r="D27" s="18" t="s">
        <v>17</v>
      </c>
      <c r="E27" s="41">
        <v>12</v>
      </c>
      <c r="F27" s="42">
        <v>3.36</v>
      </c>
      <c r="G27" s="34" t="s">
        <v>216</v>
      </c>
      <c r="H27" s="35">
        <v>1981</v>
      </c>
      <c r="I27" s="36">
        <v>3353</v>
      </c>
      <c r="J27" s="37">
        <v>7</v>
      </c>
      <c r="K27" s="38">
        <f t="shared" si="0"/>
        <v>46.496051000000001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 t="s">
        <v>2731</v>
      </c>
      <c r="B29" s="16" t="s">
        <v>2662</v>
      </c>
      <c r="C29" s="17">
        <v>22</v>
      </c>
      <c r="D29" s="18" t="s">
        <v>17</v>
      </c>
      <c r="E29" s="41">
        <v>100</v>
      </c>
      <c r="F29" s="42">
        <v>48.8</v>
      </c>
      <c r="G29" s="34" t="s">
        <v>18</v>
      </c>
      <c r="H29" s="35">
        <v>1981</v>
      </c>
      <c r="I29" s="36">
        <v>3353</v>
      </c>
      <c r="J29" s="37">
        <v>7</v>
      </c>
      <c r="K29" s="38">
        <f t="shared" si="0"/>
        <v>46.496051000000001</v>
      </c>
      <c r="L29" s="39"/>
    </row>
    <row r="30" spans="1:12" s="27" customFormat="1" ht="19.5" customHeight="1" x14ac:dyDescent="0.3">
      <c r="A30" s="28"/>
      <c r="B30" s="16" t="s">
        <v>2662</v>
      </c>
      <c r="C30" s="17">
        <v>22</v>
      </c>
      <c r="D30" s="18" t="s">
        <v>17</v>
      </c>
      <c r="E30" s="41">
        <v>10</v>
      </c>
      <c r="F30" s="42">
        <v>2.8</v>
      </c>
      <c r="G30" s="34" t="s">
        <v>216</v>
      </c>
      <c r="H30" s="35">
        <v>1981</v>
      </c>
      <c r="I30" s="36">
        <v>3353</v>
      </c>
      <c r="J30" s="37">
        <v>7</v>
      </c>
      <c r="K30" s="38">
        <f t="shared" si="0"/>
        <v>46.496051000000001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 t="s">
        <v>2715</v>
      </c>
      <c r="B32" s="16" t="s">
        <v>2662</v>
      </c>
      <c r="C32" s="17">
        <v>22</v>
      </c>
      <c r="D32" s="18" t="s">
        <v>17</v>
      </c>
      <c r="E32" s="41">
        <v>54</v>
      </c>
      <c r="F32" s="42">
        <v>44.4</v>
      </c>
      <c r="G32" s="34" t="s">
        <v>18</v>
      </c>
      <c r="H32" s="35">
        <v>1981</v>
      </c>
      <c r="I32" s="36">
        <v>3353</v>
      </c>
      <c r="J32" s="37">
        <v>7</v>
      </c>
      <c r="K32" s="38">
        <f t="shared" ref="K32:K52" si="1">(H32/1000*I32/1000)*J32</f>
        <v>46.496051000000001</v>
      </c>
      <c r="L32" s="39"/>
    </row>
    <row r="33" spans="1:12" s="27" customFormat="1" ht="19.5" customHeight="1" x14ac:dyDescent="0.3">
      <c r="A33" s="28"/>
      <c r="B33" s="16" t="s">
        <v>2662</v>
      </c>
      <c r="C33" s="17">
        <v>22</v>
      </c>
      <c r="D33" s="18" t="s">
        <v>17</v>
      </c>
      <c r="E33" s="41">
        <v>6</v>
      </c>
      <c r="F33" s="42">
        <v>1.68</v>
      </c>
      <c r="G33" s="34" t="s">
        <v>216</v>
      </c>
      <c r="H33" s="35">
        <v>1981</v>
      </c>
      <c r="I33" s="36">
        <v>3353</v>
      </c>
      <c r="J33" s="37">
        <v>7</v>
      </c>
      <c r="K33" s="38">
        <f t="shared" si="1"/>
        <v>46.496051000000001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1"/>
        <v>0</v>
      </c>
      <c r="L34" s="39"/>
    </row>
    <row r="35" spans="1:12" s="27" customFormat="1" ht="19.5" customHeight="1" x14ac:dyDescent="0.3">
      <c r="A35" s="28" t="s">
        <v>2716</v>
      </c>
      <c r="B35" s="16" t="s">
        <v>2662</v>
      </c>
      <c r="C35" s="17">
        <v>22</v>
      </c>
      <c r="D35" s="18" t="s">
        <v>17</v>
      </c>
      <c r="E35" s="41">
        <v>57</v>
      </c>
      <c r="F35" s="42">
        <v>40.950000000000003</v>
      </c>
      <c r="G35" s="34" t="s">
        <v>18</v>
      </c>
      <c r="H35" s="35">
        <v>1981</v>
      </c>
      <c r="I35" s="36">
        <v>3353</v>
      </c>
      <c r="J35" s="37">
        <v>6</v>
      </c>
      <c r="K35" s="38">
        <f t="shared" si="1"/>
        <v>39.853757999999999</v>
      </c>
      <c r="L35" s="39"/>
    </row>
    <row r="36" spans="1:12" s="27" customFormat="1" ht="19.5" customHeight="1" x14ac:dyDescent="0.3">
      <c r="A36" s="28"/>
      <c r="B36" s="16" t="s">
        <v>2662</v>
      </c>
      <c r="C36" s="17">
        <v>22</v>
      </c>
      <c r="D36" s="18" t="s">
        <v>17</v>
      </c>
      <c r="E36" s="41">
        <v>6</v>
      </c>
      <c r="F36" s="42">
        <v>1.68</v>
      </c>
      <c r="G36" s="34" t="s">
        <v>216</v>
      </c>
      <c r="H36" s="35">
        <v>1981</v>
      </c>
      <c r="I36" s="36">
        <v>3353</v>
      </c>
      <c r="J36" s="37">
        <v>8</v>
      </c>
      <c r="K36" s="38">
        <f t="shared" si="1"/>
        <v>53.138344000000004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1"/>
        <v>0</v>
      </c>
      <c r="L37" s="39"/>
    </row>
    <row r="38" spans="1:12" s="27" customFormat="1" ht="19.5" customHeight="1" x14ac:dyDescent="0.3">
      <c r="A38" s="28" t="s">
        <v>57</v>
      </c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si="1"/>
        <v>0</v>
      </c>
      <c r="L38" s="39"/>
    </row>
    <row r="39" spans="1:12" s="27" customFormat="1" ht="19.5" customHeight="1" x14ac:dyDescent="0.3">
      <c r="A39" s="28" t="s">
        <v>2740</v>
      </c>
      <c r="B39" s="16" t="s">
        <v>2741</v>
      </c>
      <c r="C39" s="17">
        <v>25.76</v>
      </c>
      <c r="D39" s="18" t="s">
        <v>2742</v>
      </c>
      <c r="E39" s="41">
        <v>36</v>
      </c>
      <c r="F39" s="42">
        <v>20.88</v>
      </c>
      <c r="G39" s="34" t="s">
        <v>2745</v>
      </c>
      <c r="H39" s="35">
        <v>2134</v>
      </c>
      <c r="I39" s="36">
        <v>3353</v>
      </c>
      <c r="J39" s="37">
        <v>4</v>
      </c>
      <c r="K39" s="38">
        <f t="shared" si="1"/>
        <v>28.621207999999999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38">
        <f t="shared" si="1"/>
        <v>0</v>
      </c>
      <c r="L40" s="39"/>
    </row>
    <row r="41" spans="1:12" s="27" customFormat="1" ht="19.5" customHeight="1" x14ac:dyDescent="0.3">
      <c r="A41" s="28" t="s">
        <v>2748</v>
      </c>
      <c r="B41" s="16" t="s">
        <v>2741</v>
      </c>
      <c r="C41" s="17">
        <v>25.76</v>
      </c>
      <c r="D41" s="18" t="s">
        <v>2742</v>
      </c>
      <c r="E41" s="41">
        <v>72</v>
      </c>
      <c r="F41" s="42">
        <v>35.200000000000003</v>
      </c>
      <c r="G41" s="34" t="s">
        <v>2745</v>
      </c>
      <c r="H41" s="35">
        <v>2134</v>
      </c>
      <c r="I41" s="36">
        <v>3353</v>
      </c>
      <c r="J41" s="37">
        <v>5</v>
      </c>
      <c r="K41" s="38">
        <f t="shared" ref="K41:K51" si="2">(H41/1000*I41/1000)*J41</f>
        <v>35.776510000000002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38">
        <f t="shared" si="2"/>
        <v>0</v>
      </c>
      <c r="L42" s="39"/>
    </row>
    <row r="43" spans="1:12" s="27" customFormat="1" ht="19.5" customHeight="1" x14ac:dyDescent="0.3">
      <c r="A43" s="28" t="s">
        <v>2749</v>
      </c>
      <c r="B43" s="16" t="s">
        <v>2741</v>
      </c>
      <c r="C43" s="17">
        <v>25.76</v>
      </c>
      <c r="D43" s="18" t="s">
        <v>2742</v>
      </c>
      <c r="E43" s="41">
        <v>48</v>
      </c>
      <c r="F43" s="42">
        <v>29.04</v>
      </c>
      <c r="G43" s="34" t="s">
        <v>2745</v>
      </c>
      <c r="H43" s="35">
        <v>2134</v>
      </c>
      <c r="I43" s="36">
        <v>3353</v>
      </c>
      <c r="J43" s="37">
        <v>4</v>
      </c>
      <c r="K43" s="38">
        <f t="shared" si="2"/>
        <v>28.621207999999999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38">
        <f t="shared" si="2"/>
        <v>0</v>
      </c>
      <c r="L44" s="39"/>
    </row>
    <row r="45" spans="1:12" s="27" customFormat="1" ht="19.5" customHeight="1" x14ac:dyDescent="0.3">
      <c r="A45" s="28" t="s">
        <v>2740</v>
      </c>
      <c r="B45" s="16" t="s">
        <v>2741</v>
      </c>
      <c r="C45" s="17">
        <v>22</v>
      </c>
      <c r="D45" s="18" t="s">
        <v>2743</v>
      </c>
      <c r="E45" s="41">
        <v>12</v>
      </c>
      <c r="F45" s="42">
        <v>13.2</v>
      </c>
      <c r="G45" s="34" t="s">
        <v>2746</v>
      </c>
      <c r="H45" s="35">
        <v>1981</v>
      </c>
      <c r="I45" s="36">
        <v>3353</v>
      </c>
      <c r="J45" s="37">
        <v>10</v>
      </c>
      <c r="K45" s="38">
        <f t="shared" si="2"/>
        <v>66.422930000000008</v>
      </c>
      <c r="L45" s="39" t="s">
        <v>2750</v>
      </c>
    </row>
    <row r="46" spans="1:12" s="27" customFormat="1" ht="19.5" customHeight="1" x14ac:dyDescent="0.3">
      <c r="A46" s="28" t="s">
        <v>2748</v>
      </c>
      <c r="B46" s="16" t="s">
        <v>2741</v>
      </c>
      <c r="C46" s="17">
        <v>22</v>
      </c>
      <c r="D46" s="18" t="s">
        <v>2743</v>
      </c>
      <c r="E46" s="41">
        <v>16</v>
      </c>
      <c r="F46" s="42">
        <v>22.56</v>
      </c>
      <c r="G46" s="34"/>
      <c r="H46" s="35"/>
      <c r="I46" s="36"/>
      <c r="J46" s="37"/>
      <c r="K46" s="38">
        <f t="shared" si="2"/>
        <v>0</v>
      </c>
      <c r="L46" s="39" t="s">
        <v>2750</v>
      </c>
    </row>
    <row r="47" spans="1:12" s="27" customFormat="1" ht="19.5" customHeight="1" x14ac:dyDescent="0.3">
      <c r="A47" s="28" t="s">
        <v>2749</v>
      </c>
      <c r="B47" s="16" t="s">
        <v>2741</v>
      </c>
      <c r="C47" s="17">
        <v>22</v>
      </c>
      <c r="D47" s="18" t="s">
        <v>2743</v>
      </c>
      <c r="E47" s="41">
        <v>24</v>
      </c>
      <c r="F47" s="42">
        <v>26.4</v>
      </c>
      <c r="G47" s="34"/>
      <c r="H47" s="35"/>
      <c r="I47" s="36"/>
      <c r="J47" s="37"/>
      <c r="K47" s="38">
        <f t="shared" si="2"/>
        <v>0</v>
      </c>
      <c r="L47" s="39" t="s">
        <v>2750</v>
      </c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38">
        <f t="shared" si="2"/>
        <v>0</v>
      </c>
      <c r="L48" s="39"/>
    </row>
    <row r="49" spans="1:12" s="27" customFormat="1" ht="19.5" customHeight="1" x14ac:dyDescent="0.3">
      <c r="A49" s="28" t="s">
        <v>2740</v>
      </c>
      <c r="B49" s="16" t="s">
        <v>2741</v>
      </c>
      <c r="C49" s="17">
        <v>22</v>
      </c>
      <c r="D49" s="18" t="s">
        <v>2743</v>
      </c>
      <c r="E49" s="41">
        <v>12</v>
      </c>
      <c r="F49" s="42">
        <v>13.2</v>
      </c>
      <c r="G49" s="34" t="s">
        <v>2745</v>
      </c>
      <c r="H49" s="35">
        <v>1829</v>
      </c>
      <c r="I49" s="36">
        <v>3353</v>
      </c>
      <c r="J49" s="37">
        <v>2</v>
      </c>
      <c r="K49" s="38">
        <f t="shared" si="2"/>
        <v>12.265274</v>
      </c>
      <c r="L49" s="39" t="s">
        <v>2751</v>
      </c>
    </row>
    <row r="50" spans="1:12" s="27" customFormat="1" ht="19.5" customHeight="1" x14ac:dyDescent="0.3">
      <c r="A50" s="28"/>
      <c r="B50" s="16"/>
      <c r="C50" s="17">
        <v>46.76</v>
      </c>
      <c r="D50" s="18" t="s">
        <v>2744</v>
      </c>
      <c r="E50" s="41">
        <v>4</v>
      </c>
      <c r="F50" s="42">
        <v>1.8</v>
      </c>
      <c r="G50" s="34" t="s">
        <v>2747</v>
      </c>
      <c r="H50" s="35">
        <v>1981</v>
      </c>
      <c r="I50" s="36">
        <v>3353</v>
      </c>
      <c r="J50" s="37">
        <v>12</v>
      </c>
      <c r="K50" s="38">
        <f t="shared" si="2"/>
        <v>79.707515999999998</v>
      </c>
      <c r="L50" s="39" t="s">
        <v>2751</v>
      </c>
    </row>
    <row r="51" spans="1:12" s="27" customFormat="1" ht="19.5" customHeight="1" x14ac:dyDescent="0.3">
      <c r="A51" s="28" t="s">
        <v>2748</v>
      </c>
      <c r="B51" s="16" t="s">
        <v>2741</v>
      </c>
      <c r="C51" s="17">
        <v>22</v>
      </c>
      <c r="D51" s="18" t="s">
        <v>2743</v>
      </c>
      <c r="E51" s="41">
        <v>16</v>
      </c>
      <c r="F51" s="42">
        <v>22.56</v>
      </c>
      <c r="G51" s="34"/>
      <c r="H51" s="35"/>
      <c r="I51" s="36"/>
      <c r="J51" s="37"/>
      <c r="K51" s="38">
        <f t="shared" si="2"/>
        <v>0</v>
      </c>
      <c r="L51" s="39" t="s">
        <v>2751</v>
      </c>
    </row>
    <row r="52" spans="1:12" s="27" customFormat="1" ht="19.5" customHeight="1" x14ac:dyDescent="0.3">
      <c r="A52" s="28"/>
      <c r="B52" s="16"/>
      <c r="C52" s="17">
        <v>46.76</v>
      </c>
      <c r="D52" s="18" t="s">
        <v>2744</v>
      </c>
      <c r="E52" s="41">
        <v>8</v>
      </c>
      <c r="F52" s="42">
        <v>3.2</v>
      </c>
      <c r="G52" s="34"/>
      <c r="H52" s="35"/>
      <c r="I52" s="36"/>
      <c r="J52" s="37"/>
      <c r="K52" s="38">
        <f t="shared" si="1"/>
        <v>0</v>
      </c>
      <c r="L52" s="39" t="s">
        <v>2751</v>
      </c>
    </row>
    <row r="53" spans="1:12" s="27" customFormat="1" ht="19.5" customHeight="1" x14ac:dyDescent="0.3">
      <c r="A53" s="28" t="s">
        <v>2749</v>
      </c>
      <c r="B53" s="16" t="s">
        <v>2741</v>
      </c>
      <c r="C53" s="17">
        <v>22</v>
      </c>
      <c r="D53" s="18" t="s">
        <v>2743</v>
      </c>
      <c r="E53" s="41">
        <v>24</v>
      </c>
      <c r="F53" s="42">
        <v>26.4</v>
      </c>
      <c r="G53" s="34"/>
      <c r="H53" s="35"/>
      <c r="I53" s="36"/>
      <c r="J53" s="37"/>
      <c r="K53" s="38">
        <f t="shared" si="0"/>
        <v>0</v>
      </c>
      <c r="L53" s="39" t="s">
        <v>2751</v>
      </c>
    </row>
    <row r="54" spans="1:12" s="27" customFormat="1" ht="19.5" customHeight="1" x14ac:dyDescent="0.3">
      <c r="A54" s="28"/>
      <c r="B54" s="16"/>
      <c r="C54" s="17">
        <v>46.76</v>
      </c>
      <c r="D54" s="18" t="s">
        <v>2744</v>
      </c>
      <c r="E54" s="41">
        <v>8</v>
      </c>
      <c r="F54" s="42">
        <v>3.6</v>
      </c>
      <c r="G54" s="34"/>
      <c r="H54" s="35"/>
      <c r="I54" s="36"/>
      <c r="J54" s="37"/>
      <c r="K54" s="38">
        <f t="shared" si="0"/>
        <v>0</v>
      </c>
      <c r="L54" s="39" t="s">
        <v>2751</v>
      </c>
    </row>
    <row r="55" spans="1:12" s="27" customFormat="1" ht="19.5" customHeight="1" x14ac:dyDescent="0.3">
      <c r="A55" s="28"/>
      <c r="B55" s="16"/>
      <c r="C55" s="17"/>
      <c r="D55" s="18"/>
      <c r="E55" s="41"/>
      <c r="F55" s="42"/>
      <c r="G55" s="34"/>
      <c r="H55" s="35"/>
      <c r="I55" s="36"/>
      <c r="J55" s="37"/>
      <c r="K55" s="38">
        <f t="shared" si="0"/>
        <v>0</v>
      </c>
      <c r="L55" s="39"/>
    </row>
    <row r="56" spans="1:12" s="27" customFormat="1" ht="19.5" customHeight="1" x14ac:dyDescent="0.3">
      <c r="A56" s="28"/>
      <c r="B56" s="16"/>
      <c r="C56" s="17"/>
      <c r="D56" s="18"/>
      <c r="E56" s="41"/>
      <c r="F56" s="42"/>
      <c r="G56" s="34"/>
      <c r="H56" s="35"/>
      <c r="I56" s="36"/>
      <c r="J56" s="37"/>
      <c r="K56" s="38">
        <f t="shared" si="0"/>
        <v>0</v>
      </c>
      <c r="L56" s="39"/>
    </row>
    <row r="57" spans="1:12" s="27" customFormat="1" ht="19.5" customHeight="1" x14ac:dyDescent="0.3">
      <c r="A57" s="28"/>
      <c r="B57" s="29"/>
      <c r="C57" s="30"/>
      <c r="D57" s="31"/>
      <c r="E57" s="41"/>
      <c r="F57" s="42"/>
      <c r="G57" s="43"/>
      <c r="H57" s="35"/>
      <c r="I57" s="36"/>
      <c r="J57" s="37"/>
      <c r="K57" s="38">
        <f t="shared" si="0"/>
        <v>0</v>
      </c>
      <c r="L57" s="39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2732</v>
      </c>
      <c r="B59" s="45" t="s">
        <v>218</v>
      </c>
      <c r="C59" s="46">
        <v>24</v>
      </c>
      <c r="D59" s="47" t="s">
        <v>501</v>
      </c>
      <c r="E59" s="48">
        <v>59</v>
      </c>
      <c r="F59" s="49">
        <v>69.790000000000006</v>
      </c>
      <c r="G59" s="50" t="s">
        <v>56</v>
      </c>
      <c r="H59" s="51">
        <v>1981</v>
      </c>
      <c r="I59" s="45">
        <v>3353</v>
      </c>
      <c r="J59" s="52">
        <v>8</v>
      </c>
      <c r="K59" s="53">
        <f t="shared" si="0"/>
        <v>53.138344000000004</v>
      </c>
      <c r="L59" s="54"/>
    </row>
    <row r="60" spans="1:12" s="55" customFormat="1" ht="19.5" customHeight="1" x14ac:dyDescent="0.3">
      <c r="A60" s="44"/>
      <c r="B60" s="45"/>
      <c r="C60" s="77"/>
      <c r="D60" s="47"/>
      <c r="E60" s="48"/>
      <c r="F60" s="49"/>
      <c r="G60" s="50" t="s">
        <v>56</v>
      </c>
      <c r="H60" s="51">
        <v>2438</v>
      </c>
      <c r="I60" s="45">
        <v>3353</v>
      </c>
      <c r="J60" s="52">
        <v>3</v>
      </c>
      <c r="K60" s="53">
        <f t="shared" si="0"/>
        <v>24.523842000000002</v>
      </c>
      <c r="L60" s="54"/>
    </row>
    <row r="61" spans="1:12" s="55" customFormat="1" ht="19.5" customHeight="1" x14ac:dyDescent="0.3">
      <c r="A61" s="44"/>
      <c r="B61" s="76"/>
      <c r="C61" s="77"/>
      <c r="D61" s="78"/>
      <c r="E61" s="48"/>
      <c r="F61" s="49"/>
      <c r="G61" s="50" t="s">
        <v>18</v>
      </c>
      <c r="H61" s="51">
        <v>1981</v>
      </c>
      <c r="I61" s="45">
        <v>3353</v>
      </c>
      <c r="J61" s="52">
        <v>11</v>
      </c>
      <c r="K61" s="53">
        <f t="shared" si="0"/>
        <v>73.065223000000003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 t="s">
        <v>18</v>
      </c>
      <c r="H62" s="51">
        <v>2134</v>
      </c>
      <c r="I62" s="45">
        <v>3353</v>
      </c>
      <c r="J62" s="52">
        <v>2</v>
      </c>
      <c r="K62" s="53">
        <f t="shared" si="0"/>
        <v>14.310604</v>
      </c>
      <c r="L62" s="54"/>
    </row>
    <row r="63" spans="1:12" s="55" customFormat="1" ht="19.5" customHeight="1" x14ac:dyDescent="0.3">
      <c r="A63" s="44"/>
      <c r="B63" s="76"/>
      <c r="C63" s="77"/>
      <c r="D63" s="78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2650</v>
      </c>
      <c r="B64" s="96" t="s">
        <v>2563</v>
      </c>
      <c r="C64" s="77">
        <v>24</v>
      </c>
      <c r="D64" s="78" t="s">
        <v>55</v>
      </c>
      <c r="E64" s="48">
        <v>49</v>
      </c>
      <c r="F64" s="49">
        <v>46.23</v>
      </c>
      <c r="G64" s="50" t="s">
        <v>56</v>
      </c>
      <c r="H64" s="51">
        <v>2438</v>
      </c>
      <c r="I64" s="45">
        <v>3353</v>
      </c>
      <c r="J64" s="52">
        <v>7</v>
      </c>
      <c r="K64" s="53">
        <f t="shared" si="0"/>
        <v>57.222298000000002</v>
      </c>
      <c r="L64" s="64" t="s">
        <v>106</v>
      </c>
    </row>
    <row r="65" spans="1:12" s="55" customFormat="1" ht="19.5" customHeight="1" x14ac:dyDescent="0.3">
      <c r="A65" s="44"/>
      <c r="B65" s="76"/>
      <c r="C65" s="77">
        <v>24</v>
      </c>
      <c r="D65" s="78" t="s">
        <v>2733</v>
      </c>
      <c r="E65" s="48">
        <v>3</v>
      </c>
      <c r="F65" s="49">
        <v>2.87</v>
      </c>
      <c r="G65" s="50"/>
      <c r="H65" s="51"/>
      <c r="I65" s="45"/>
      <c r="J65" s="52"/>
      <c r="K65" s="53">
        <f t="shared" si="0"/>
        <v>0</v>
      </c>
      <c r="L65" s="64" t="s">
        <v>106</v>
      </c>
    </row>
    <row r="66" spans="1:12" s="55" customFormat="1" ht="19.5" customHeight="1" x14ac:dyDescent="0.3">
      <c r="A66" s="44"/>
      <c r="B66" s="96"/>
      <c r="C66" s="77"/>
      <c r="D66" s="78"/>
      <c r="E66" s="48"/>
      <c r="F66" s="49"/>
      <c r="G66" s="50"/>
      <c r="H66" s="51"/>
      <c r="I66" s="45"/>
      <c r="J66" s="52"/>
      <c r="K66" s="53">
        <f t="shared" si="0"/>
        <v>0</v>
      </c>
      <c r="L66" s="64"/>
    </row>
    <row r="67" spans="1:12" s="55" customFormat="1" ht="19.5" customHeight="1" x14ac:dyDescent="0.3">
      <c r="A67" s="44" t="s">
        <v>2734</v>
      </c>
      <c r="B67" s="96" t="s">
        <v>2563</v>
      </c>
      <c r="C67" s="77">
        <v>24</v>
      </c>
      <c r="D67" s="78" t="s">
        <v>55</v>
      </c>
      <c r="E67" s="48">
        <v>73</v>
      </c>
      <c r="F67" s="49">
        <v>79.55</v>
      </c>
      <c r="G67" s="50" t="s">
        <v>56</v>
      </c>
      <c r="H67" s="51">
        <v>2438</v>
      </c>
      <c r="I67" s="45">
        <v>3353</v>
      </c>
      <c r="J67" s="52">
        <v>11</v>
      </c>
      <c r="K67" s="53">
        <f t="shared" si="0"/>
        <v>89.920754000000002</v>
      </c>
      <c r="L67" s="64" t="s">
        <v>106</v>
      </c>
    </row>
    <row r="68" spans="1:12" s="55" customFormat="1" ht="19.5" customHeight="1" x14ac:dyDescent="0.3">
      <c r="A68" s="44"/>
      <c r="B68" s="96"/>
      <c r="C68" s="77"/>
      <c r="D68" s="78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2735</v>
      </c>
      <c r="B69" s="96" t="s">
        <v>2563</v>
      </c>
      <c r="C69" s="77">
        <v>24</v>
      </c>
      <c r="D69" s="78" t="s">
        <v>55</v>
      </c>
      <c r="E69" s="48">
        <v>67</v>
      </c>
      <c r="F69" s="49">
        <v>80.2</v>
      </c>
      <c r="G69" s="50" t="s">
        <v>56</v>
      </c>
      <c r="H69" s="51">
        <v>2438</v>
      </c>
      <c r="I69" s="45">
        <v>3353</v>
      </c>
      <c r="J69" s="52">
        <v>11</v>
      </c>
      <c r="K69" s="53">
        <f t="shared" si="0"/>
        <v>89.920754000000002</v>
      </c>
      <c r="L69" s="64" t="s">
        <v>106</v>
      </c>
    </row>
    <row r="70" spans="1:12" s="55" customFormat="1" ht="19.5" customHeight="1" x14ac:dyDescent="0.3">
      <c r="A70" s="44"/>
      <c r="B70" s="76"/>
      <c r="C70" s="77"/>
      <c r="D70" s="78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2736</v>
      </c>
      <c r="B71" s="96" t="s">
        <v>2563</v>
      </c>
      <c r="C71" s="77">
        <v>24</v>
      </c>
      <c r="D71" s="78" t="s">
        <v>55</v>
      </c>
      <c r="E71" s="48">
        <v>36</v>
      </c>
      <c r="F71" s="49">
        <v>73.8</v>
      </c>
      <c r="G71" s="50" t="s">
        <v>56</v>
      </c>
      <c r="H71" s="51">
        <v>2438</v>
      </c>
      <c r="I71" s="45">
        <v>3353</v>
      </c>
      <c r="J71" s="52">
        <v>22</v>
      </c>
      <c r="K71" s="53">
        <f t="shared" si="0"/>
        <v>179.841508</v>
      </c>
      <c r="L71" s="54" t="s">
        <v>2738</v>
      </c>
    </row>
    <row r="72" spans="1:12" s="55" customFormat="1" ht="19.5" customHeight="1" x14ac:dyDescent="0.3">
      <c r="A72" s="44" t="s">
        <v>2737</v>
      </c>
      <c r="B72" s="96" t="s">
        <v>2563</v>
      </c>
      <c r="C72" s="77">
        <v>24</v>
      </c>
      <c r="D72" s="78" t="s">
        <v>55</v>
      </c>
      <c r="E72" s="48">
        <v>55</v>
      </c>
      <c r="F72" s="49">
        <v>77.819999999999993</v>
      </c>
      <c r="G72" s="50"/>
      <c r="H72" s="51"/>
      <c r="I72" s="45"/>
      <c r="J72" s="52"/>
      <c r="K72" s="53">
        <f t="shared" si="0"/>
        <v>0</v>
      </c>
      <c r="L72" s="54" t="s">
        <v>2738</v>
      </c>
    </row>
    <row r="73" spans="1:12" s="55" customFormat="1" ht="19.5" customHeight="1" x14ac:dyDescent="0.3">
      <c r="A73" s="44"/>
      <c r="B73" s="76"/>
      <c r="C73" s="77"/>
      <c r="D73" s="78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 t="s">
        <v>57</v>
      </c>
      <c r="B74" s="76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 t="s">
        <v>2752</v>
      </c>
      <c r="B75" s="76" t="s">
        <v>2753</v>
      </c>
      <c r="C75" s="46">
        <v>24</v>
      </c>
      <c r="D75" s="47" t="s">
        <v>2754</v>
      </c>
      <c r="E75" s="48">
        <v>49</v>
      </c>
      <c r="F75" s="49">
        <v>46.23</v>
      </c>
      <c r="G75" s="50" t="s">
        <v>2746</v>
      </c>
      <c r="H75" s="51">
        <v>2590</v>
      </c>
      <c r="I75" s="45">
        <v>3353</v>
      </c>
      <c r="J75" s="52">
        <v>7</v>
      </c>
      <c r="K75" s="53">
        <f t="shared" si="0"/>
        <v>60.789889999999986</v>
      </c>
      <c r="L75" s="54" t="s">
        <v>2756</v>
      </c>
    </row>
    <row r="76" spans="1:12" s="55" customFormat="1" ht="19.5" customHeight="1" x14ac:dyDescent="0.3">
      <c r="A76" s="44"/>
      <c r="B76" s="76"/>
      <c r="C76" s="77">
        <v>24</v>
      </c>
      <c r="D76" s="47" t="s">
        <v>2755</v>
      </c>
      <c r="E76" s="48">
        <v>3</v>
      </c>
      <c r="F76" s="49">
        <v>2.87</v>
      </c>
      <c r="G76" s="50"/>
      <c r="H76" s="51"/>
      <c r="I76" s="45"/>
      <c r="J76" s="52"/>
      <c r="K76" s="53">
        <f t="shared" si="0"/>
        <v>0</v>
      </c>
      <c r="L76" s="54" t="s">
        <v>2756</v>
      </c>
    </row>
    <row r="77" spans="1:12" s="55" customFormat="1" ht="19.5" customHeight="1" x14ac:dyDescent="0.3">
      <c r="A77" s="44"/>
      <c r="B77" s="76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 t="s">
        <v>2757</v>
      </c>
      <c r="B78" s="76" t="s">
        <v>2753</v>
      </c>
      <c r="C78" s="46">
        <v>24</v>
      </c>
      <c r="D78" s="47" t="s">
        <v>2754</v>
      </c>
      <c r="E78" s="48">
        <v>73</v>
      </c>
      <c r="F78" s="49">
        <v>79.55</v>
      </c>
      <c r="G78" s="50" t="s">
        <v>2746</v>
      </c>
      <c r="H78" s="51">
        <v>2590</v>
      </c>
      <c r="I78" s="45">
        <v>3353</v>
      </c>
      <c r="J78" s="52">
        <v>10</v>
      </c>
      <c r="K78" s="53">
        <f t="shared" si="0"/>
        <v>86.842699999999979</v>
      </c>
      <c r="L78" s="54" t="s">
        <v>2756</v>
      </c>
    </row>
    <row r="79" spans="1:12" s="55" customFormat="1" ht="19.5" customHeight="1" x14ac:dyDescent="0.3">
      <c r="A79" s="44"/>
      <c r="B79" s="76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 t="s">
        <v>2758</v>
      </c>
      <c r="B80" s="76" t="s">
        <v>2753</v>
      </c>
      <c r="C80" s="46">
        <v>24</v>
      </c>
      <c r="D80" s="47" t="s">
        <v>2754</v>
      </c>
      <c r="E80" s="48">
        <v>67</v>
      </c>
      <c r="F80" s="49">
        <v>80.2</v>
      </c>
      <c r="G80" s="50" t="s">
        <v>2746</v>
      </c>
      <c r="H80" s="51">
        <v>2590</v>
      </c>
      <c r="I80" s="45">
        <v>3353</v>
      </c>
      <c r="J80" s="52">
        <v>10</v>
      </c>
      <c r="K80" s="53">
        <f t="shared" si="0"/>
        <v>86.842699999999979</v>
      </c>
      <c r="L80" s="54" t="s">
        <v>2756</v>
      </c>
    </row>
    <row r="81" spans="1:12" s="55" customFormat="1" ht="19.5" customHeight="1" x14ac:dyDescent="0.3">
      <c r="A81" s="44"/>
      <c r="B81" s="76"/>
      <c r="C81" s="77"/>
      <c r="D81" s="78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 t="s">
        <v>2736</v>
      </c>
      <c r="B82" s="96" t="s">
        <v>2563</v>
      </c>
      <c r="C82" s="77">
        <v>24</v>
      </c>
      <c r="D82" s="78" t="s">
        <v>55</v>
      </c>
      <c r="E82" s="48">
        <v>36</v>
      </c>
      <c r="F82" s="49">
        <v>73.8</v>
      </c>
      <c r="G82" s="50" t="s">
        <v>2746</v>
      </c>
      <c r="H82" s="51">
        <v>2590</v>
      </c>
      <c r="I82" s="45">
        <v>3048</v>
      </c>
      <c r="J82" s="52">
        <v>21</v>
      </c>
      <c r="K82" s="53">
        <f t="shared" si="0"/>
        <v>165.78072</v>
      </c>
      <c r="L82" s="54" t="s">
        <v>2759</v>
      </c>
    </row>
    <row r="83" spans="1:12" s="55" customFormat="1" ht="19.5" customHeight="1" x14ac:dyDescent="0.3">
      <c r="A83" s="44" t="s">
        <v>2737</v>
      </c>
      <c r="B83" s="96" t="s">
        <v>2563</v>
      </c>
      <c r="C83" s="77">
        <v>24</v>
      </c>
      <c r="D83" s="78" t="s">
        <v>55</v>
      </c>
      <c r="E83" s="48">
        <v>55</v>
      </c>
      <c r="F83" s="49">
        <v>77.819999999999993</v>
      </c>
      <c r="G83" s="50"/>
      <c r="H83" s="51"/>
      <c r="I83" s="45"/>
      <c r="J83" s="52"/>
      <c r="K83" s="53">
        <f t="shared" si="0"/>
        <v>0</v>
      </c>
      <c r="L83" s="54" t="s">
        <v>2759</v>
      </c>
    </row>
    <row r="84" spans="1:12" s="55" customFormat="1" ht="19.5" customHeight="1" x14ac:dyDescent="0.3">
      <c r="A84" s="44"/>
      <c r="B84" s="76"/>
      <c r="C84" s="46"/>
      <c r="D84" s="47"/>
      <c r="E84" s="48"/>
      <c r="F84" s="49"/>
      <c r="G84" s="50"/>
      <c r="H84" s="51"/>
      <c r="I84" s="45"/>
      <c r="J84" s="52"/>
      <c r="K84" s="53">
        <f t="shared" si="0"/>
        <v>0</v>
      </c>
      <c r="L84" s="54"/>
    </row>
    <row r="85" spans="1:12" s="55" customFormat="1" ht="19.5" customHeight="1" x14ac:dyDescent="0.3">
      <c r="A85" s="44" t="s">
        <v>2623</v>
      </c>
      <c r="B85" s="76" t="s">
        <v>2624</v>
      </c>
      <c r="C85" s="46">
        <v>24</v>
      </c>
      <c r="D85" s="47" t="s">
        <v>2582</v>
      </c>
      <c r="E85" s="48">
        <v>36</v>
      </c>
      <c r="F85" s="49">
        <v>32.24</v>
      </c>
      <c r="G85" s="50" t="s">
        <v>2583</v>
      </c>
      <c r="H85" s="51">
        <v>2134</v>
      </c>
      <c r="I85" s="45">
        <v>3353</v>
      </c>
      <c r="J85" s="52">
        <v>6</v>
      </c>
      <c r="K85" s="53">
        <f t="shared" si="0"/>
        <v>42.931812000000001</v>
      </c>
      <c r="L85" s="54" t="s">
        <v>2760</v>
      </c>
    </row>
    <row r="86" spans="1:12" s="55" customFormat="1" ht="19.5" customHeight="1" x14ac:dyDescent="0.3">
      <c r="A86" s="44"/>
      <c r="B86" s="76"/>
      <c r="C86" s="46"/>
      <c r="D86" s="47"/>
      <c r="E86" s="48"/>
      <c r="F86" s="49"/>
      <c r="G86" s="50"/>
      <c r="H86" s="51"/>
      <c r="I86" s="45"/>
      <c r="J86" s="52"/>
      <c r="K86" s="53">
        <f t="shared" ref="K86:K89" si="3">(H86/1000*I86/1000)*J86</f>
        <v>0</v>
      </c>
      <c r="L86" s="54"/>
    </row>
    <row r="87" spans="1:12" s="55" customFormat="1" ht="19.5" customHeight="1" x14ac:dyDescent="0.3">
      <c r="A87" s="44"/>
      <c r="B87" s="76"/>
      <c r="C87" s="46"/>
      <c r="D87" s="47"/>
      <c r="E87" s="48"/>
      <c r="F87" s="49"/>
      <c r="G87" s="50"/>
      <c r="H87" s="51"/>
      <c r="I87" s="45"/>
      <c r="J87" s="52"/>
      <c r="K87" s="53">
        <f t="shared" si="3"/>
        <v>0</v>
      </c>
      <c r="L87" s="54"/>
    </row>
    <row r="88" spans="1:12" s="55" customFormat="1" ht="19.5" customHeight="1" x14ac:dyDescent="0.3">
      <c r="A88" s="44"/>
      <c r="B88" s="76"/>
      <c r="C88" s="46"/>
      <c r="D88" s="47"/>
      <c r="E88" s="48"/>
      <c r="F88" s="49"/>
      <c r="G88" s="50"/>
      <c r="H88" s="51"/>
      <c r="I88" s="45"/>
      <c r="J88" s="52"/>
      <c r="K88" s="53">
        <f t="shared" si="3"/>
        <v>0</v>
      </c>
      <c r="L88" s="54"/>
    </row>
    <row r="89" spans="1:12" s="55" customFormat="1" ht="19.5" customHeight="1" x14ac:dyDescent="0.3">
      <c r="A89" s="44"/>
      <c r="B89" s="76"/>
      <c r="C89" s="46"/>
      <c r="D89" s="47"/>
      <c r="E89" s="48"/>
      <c r="F89" s="49"/>
      <c r="G89" s="50"/>
      <c r="H89" s="51"/>
      <c r="I89" s="45"/>
      <c r="J89" s="52"/>
      <c r="K89" s="53">
        <f t="shared" si="3"/>
        <v>0</v>
      </c>
      <c r="L89" s="54"/>
    </row>
    <row r="90" spans="1:12" s="55" customFormat="1" ht="19.5" customHeight="1" x14ac:dyDescent="0.3">
      <c r="A90" s="44"/>
      <c r="B90" s="45"/>
      <c r="C90" s="46"/>
      <c r="D90" s="47"/>
      <c r="E90" s="48"/>
      <c r="F90" s="49"/>
      <c r="G90" s="50"/>
      <c r="H90" s="51"/>
      <c r="I90" s="45"/>
      <c r="J90" s="52"/>
      <c r="K90" s="53">
        <f t="shared" si="0"/>
        <v>0</v>
      </c>
      <c r="L90" s="54"/>
    </row>
    <row r="91" spans="1:12" s="59" customFormat="1" ht="20.100000000000001" customHeight="1" x14ac:dyDescent="0.3">
      <c r="A91" s="44"/>
      <c r="B91" s="45"/>
      <c r="C91" s="46"/>
      <c r="D91" s="47"/>
      <c r="E91" s="56"/>
      <c r="F91" s="57"/>
      <c r="G91" s="50"/>
      <c r="H91" s="51"/>
      <c r="I91" s="45"/>
      <c r="J91" s="52"/>
      <c r="K91" s="53">
        <f t="shared" si="0"/>
        <v>0</v>
      </c>
      <c r="L91" s="58">
        <f>SUM(J58:J92)</f>
        <v>129</v>
      </c>
    </row>
    <row r="92" spans="1:12" s="59" customFormat="1" ht="20.100000000000001" customHeight="1" x14ac:dyDescent="0.3">
      <c r="A92" s="44"/>
      <c r="B92" s="45"/>
      <c r="C92" s="46"/>
      <c r="D92" s="47"/>
      <c r="E92" s="60"/>
      <c r="F92" s="61"/>
      <c r="G92" s="62"/>
      <c r="H92" s="51"/>
      <c r="I92" s="45"/>
      <c r="J92" s="63"/>
      <c r="K92" s="53">
        <f t="shared" si="0"/>
        <v>0</v>
      </c>
      <c r="L92" s="64">
        <f>SUM(K58:K92)</f>
        <v>1025.1311490000001</v>
      </c>
    </row>
    <row r="93" spans="1:12" s="59" customFormat="1" ht="20.100000000000001" customHeight="1" thickBot="1" x14ac:dyDescent="0.35">
      <c r="A93" s="114"/>
      <c r="B93" s="115"/>
      <c r="C93" s="115"/>
      <c r="D93" s="115"/>
      <c r="E93" s="115"/>
      <c r="F93" s="115"/>
      <c r="G93" s="115"/>
      <c r="H93" s="115"/>
      <c r="I93" s="115"/>
      <c r="J93" s="65">
        <f>SUM(J7:J92)</f>
        <v>261</v>
      </c>
      <c r="K93" s="66">
        <f>SUM(K7:K92)</f>
        <v>1907.5636299999999</v>
      </c>
      <c r="L93" s="67"/>
    </row>
    <row r="94" spans="1:12" s="59" customFormat="1" ht="20.100000000000001" customHeight="1" thickTop="1" thickBot="1" x14ac:dyDescent="0.35">
      <c r="A94" s="116" t="s">
        <v>52</v>
      </c>
      <c r="B94" s="117"/>
      <c r="C94" s="68"/>
      <c r="D94" s="118">
        <f>J93</f>
        <v>261</v>
      </c>
      <c r="E94" s="119"/>
      <c r="F94" s="119"/>
      <c r="G94" s="120"/>
      <c r="H94" s="121"/>
      <c r="I94" s="121"/>
      <c r="J94" s="122"/>
      <c r="K94" s="119"/>
      <c r="L94" s="123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71"/>
    </row>
    <row r="96" spans="1:12" s="59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113"/>
      <c r="B99" s="113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113"/>
      <c r="B100" s="113"/>
      <c r="C100" s="5"/>
      <c r="D100" s="5"/>
      <c r="E100" s="72"/>
      <c r="F100" s="5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113"/>
      <c r="B101" s="113"/>
      <c r="C101" s="5"/>
      <c r="D101" s="5"/>
      <c r="E101" s="5"/>
      <c r="F101" s="5"/>
      <c r="G101" s="73"/>
      <c r="H101" s="5"/>
      <c r="I101" s="74"/>
      <c r="J101" s="5"/>
      <c r="K101" s="5"/>
      <c r="L101" s="5"/>
    </row>
    <row r="102" spans="1:12" s="59" customFormat="1" ht="20.100000000000001" customHeight="1" x14ac:dyDescent="0.3">
      <c r="A102" s="113"/>
      <c r="B102" s="113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59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59" customFormat="1" ht="20.100000000000001" customHeight="1" x14ac:dyDescent="0.3">
      <c r="A104" s="113"/>
      <c r="B104" s="113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59" customFormat="1" ht="20.100000000000001" customHeight="1" x14ac:dyDescent="0.3">
      <c r="A105" s="113"/>
      <c r="B105" s="113"/>
      <c r="C105" s="5"/>
      <c r="D105" s="5"/>
      <c r="E105" s="5"/>
      <c r="F105" s="70"/>
      <c r="G105" s="5"/>
      <c r="H105" s="72"/>
      <c r="I105" s="72"/>
      <c r="J105" s="5"/>
      <c r="K105" s="5"/>
      <c r="L105" s="5"/>
    </row>
    <row r="106" spans="1:12" ht="20.100000000000001" customHeight="1" x14ac:dyDescent="0.3">
      <c r="A106" s="113"/>
      <c r="B106" s="113"/>
      <c r="H106" s="72"/>
      <c r="I106" s="72"/>
    </row>
    <row r="107" spans="1:12" ht="20.100000000000001" customHeight="1" x14ac:dyDescent="0.3">
      <c r="H107" s="72"/>
      <c r="I107" s="72"/>
    </row>
    <row r="108" spans="1:12" ht="20.100000000000001" customHeight="1" x14ac:dyDescent="0.3">
      <c r="H108" s="72"/>
      <c r="I108" s="72"/>
    </row>
    <row r="109" spans="1:12" ht="20.100000000000001" customHeight="1" x14ac:dyDescent="0.3">
      <c r="A109" s="113"/>
      <c r="B109" s="113"/>
      <c r="H109" s="72"/>
      <c r="I109" s="72"/>
    </row>
    <row r="110" spans="1:12" ht="20.100000000000001" customHeight="1" x14ac:dyDescent="0.3">
      <c r="A110" s="113"/>
      <c r="B110" s="113"/>
      <c r="H110" s="72"/>
      <c r="I110" s="72"/>
    </row>
    <row r="111" spans="1:12" ht="20.100000000000001" customHeight="1" x14ac:dyDescent="0.3">
      <c r="H111" s="72"/>
      <c r="I111" s="72"/>
    </row>
    <row r="112" spans="1:12" ht="20.100000000000001" customHeight="1" x14ac:dyDescent="0.3">
      <c r="H112" s="72"/>
      <c r="I112" s="72"/>
    </row>
    <row r="113" spans="1:12" ht="20.100000000000001" customHeight="1" x14ac:dyDescent="0.3">
      <c r="H113" s="72"/>
      <c r="I113" s="72"/>
    </row>
    <row r="114" spans="1:12" s="72" customFormat="1" ht="20.100000000000001" customHeight="1" x14ac:dyDescent="0.3">
      <c r="A114" s="69"/>
      <c r="B114" s="5"/>
      <c r="C114" s="5"/>
      <c r="D114" s="5"/>
      <c r="E114" s="5"/>
      <c r="F114" s="70"/>
      <c r="G114" s="5"/>
      <c r="J114" s="5"/>
      <c r="K114" s="5"/>
      <c r="L114" s="5"/>
    </row>
    <row r="115" spans="1:12" s="72" customFormat="1" ht="20.100000000000001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s="75" customFormat="1" ht="20.100000000000001" customHeight="1" x14ac:dyDescent="0.3">
      <c r="A116" s="69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s="75" customFormat="1" ht="20.100000000000001" customHeight="1" x14ac:dyDescent="0.3">
      <c r="A117" s="69"/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75" customFormat="1" ht="19.5" customHeight="1" x14ac:dyDescent="0.3">
      <c r="A118" s="69"/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72" customFormat="1" ht="20.100000000000001" customHeight="1" x14ac:dyDescent="0.3">
      <c r="A119" s="69"/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72" customFormat="1" ht="20.100000000000001" customHeight="1" x14ac:dyDescent="0.3">
      <c r="A120" s="69"/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ht="19.5" customHeight="1" x14ac:dyDescent="0.3"/>
    <row r="122" spans="1:12" ht="19.5" customHeight="1" x14ac:dyDescent="0.3"/>
    <row r="123" spans="1:12" ht="19.5" customHeight="1" x14ac:dyDescent="0.3"/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ht="19.5" customHeight="1" x14ac:dyDescent="0.3"/>
    <row r="148" spans="2:12" ht="19.5" customHeight="1" x14ac:dyDescent="0.3"/>
    <row r="149" spans="2:12" ht="19.5" customHeight="1" x14ac:dyDescent="0.3"/>
    <row r="150" spans="2:12" ht="19.5" customHeight="1" x14ac:dyDescent="0.3"/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>
        <v>2</v>
      </c>
      <c r="C184" s="5"/>
      <c r="D184" s="5"/>
      <c r="E184" s="5"/>
      <c r="F184" s="70"/>
      <c r="G184" s="5"/>
      <c r="H184" s="5"/>
      <c r="I184" s="5"/>
      <c r="J184" s="5"/>
      <c r="K184" s="5"/>
      <c r="L184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9:B9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93:I93"/>
    <mergeCell ref="A94:B94"/>
    <mergeCell ref="D94:G94"/>
    <mergeCell ref="H94:J94"/>
    <mergeCell ref="K94:L94"/>
    <mergeCell ref="A109:B109"/>
    <mergeCell ref="A110:B110"/>
    <mergeCell ref="A100:B100"/>
    <mergeCell ref="A101:B101"/>
    <mergeCell ref="A102:B102"/>
    <mergeCell ref="A104:B104"/>
    <mergeCell ref="A105:B105"/>
    <mergeCell ref="A106:B106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L160"/>
  <sheetViews>
    <sheetView view="pageBreakPreview" topLeftCell="F55" zoomScale="85" zoomScaleSheetLayoutView="85" workbookViewId="0">
      <selection activeCell="L67" sqref="L67:L6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46123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8" si="0">(H7/1000*I7/1000)*J7</f>
        <v>0</v>
      </c>
      <c r="L7" s="26">
        <f>SUM(J7:J37)</f>
        <v>166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SUM(K7:K37)</f>
        <v>1077.2071170000002</v>
      </c>
    </row>
    <row r="9" spans="1:12" s="27" customFormat="1" ht="19.5" customHeight="1" x14ac:dyDescent="0.3">
      <c r="A9" s="28" t="s">
        <v>2692</v>
      </c>
      <c r="B9" s="16" t="s">
        <v>2693</v>
      </c>
      <c r="C9" s="17">
        <v>22</v>
      </c>
      <c r="D9" s="18" t="s">
        <v>2694</v>
      </c>
      <c r="E9" s="41">
        <v>280</v>
      </c>
      <c r="F9" s="42">
        <v>420.08</v>
      </c>
      <c r="G9" s="34" t="s">
        <v>2695</v>
      </c>
      <c r="H9" s="35">
        <v>1981</v>
      </c>
      <c r="I9" s="36">
        <v>3353</v>
      </c>
      <c r="J9" s="37">
        <v>47</v>
      </c>
      <c r="K9" s="38">
        <f t="shared" si="0"/>
        <v>312.187771</v>
      </c>
      <c r="L9" s="39" t="s">
        <v>2702</v>
      </c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 t="s">
        <v>2695</v>
      </c>
      <c r="H10" s="35">
        <v>1981</v>
      </c>
      <c r="I10" s="36">
        <v>3048</v>
      </c>
      <c r="J10" s="37">
        <v>12</v>
      </c>
      <c r="K10" s="38">
        <f t="shared" si="0"/>
        <v>72.457056000000009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81"/>
      <c r="F11" s="8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2692</v>
      </c>
      <c r="B12" s="16" t="s">
        <v>2693</v>
      </c>
      <c r="C12" s="17">
        <v>22</v>
      </c>
      <c r="D12" s="18" t="s">
        <v>2694</v>
      </c>
      <c r="E12" s="41">
        <v>230</v>
      </c>
      <c r="F12" s="42">
        <v>345.08000000000004</v>
      </c>
      <c r="G12" s="34" t="s">
        <v>2697</v>
      </c>
      <c r="H12" s="35">
        <v>1981</v>
      </c>
      <c r="I12" s="36">
        <v>3353</v>
      </c>
      <c r="J12" s="37">
        <v>44</v>
      </c>
      <c r="K12" s="38">
        <f t="shared" si="0"/>
        <v>292.26089200000001</v>
      </c>
      <c r="L12" s="39" t="s">
        <v>2703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2697</v>
      </c>
      <c r="H13" s="35">
        <v>1981</v>
      </c>
      <c r="I13" s="36">
        <v>3048</v>
      </c>
      <c r="J13" s="37">
        <v>25</v>
      </c>
      <c r="K13" s="38">
        <f t="shared" si="0"/>
        <v>150.95220000000003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81"/>
      <c r="F14" s="8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2645</v>
      </c>
      <c r="B15" s="93" t="s">
        <v>2646</v>
      </c>
      <c r="C15" s="17">
        <v>24</v>
      </c>
      <c r="D15" s="18" t="s">
        <v>2647</v>
      </c>
      <c r="E15" s="41">
        <v>26</v>
      </c>
      <c r="F15" s="42">
        <v>15.08</v>
      </c>
      <c r="G15" s="34" t="s">
        <v>62</v>
      </c>
      <c r="H15" s="35">
        <v>1981</v>
      </c>
      <c r="I15" s="36">
        <v>3353</v>
      </c>
      <c r="J15" s="37">
        <v>22</v>
      </c>
      <c r="K15" s="38">
        <f t="shared" si="0"/>
        <v>146.13044600000001</v>
      </c>
      <c r="L15" s="39" t="s">
        <v>2696</v>
      </c>
    </row>
    <row r="16" spans="1:12" s="27" customFormat="1" ht="19.5" customHeight="1" x14ac:dyDescent="0.3">
      <c r="A16" s="28"/>
      <c r="B16" s="16"/>
      <c r="C16" s="17">
        <v>24</v>
      </c>
      <c r="D16" s="18" t="s">
        <v>2648</v>
      </c>
      <c r="E16" s="41">
        <v>52</v>
      </c>
      <c r="F16" s="42">
        <v>82.94</v>
      </c>
      <c r="G16" s="34"/>
      <c r="H16" s="35"/>
      <c r="I16" s="36"/>
      <c r="J16" s="37"/>
      <c r="K16" s="38">
        <f t="shared" si="0"/>
        <v>0</v>
      </c>
      <c r="L16" s="39" t="s">
        <v>2696</v>
      </c>
    </row>
    <row r="17" spans="1:12" s="27" customFormat="1" ht="19.5" customHeight="1" x14ac:dyDescent="0.3">
      <c r="A17" s="28"/>
      <c r="B17" s="16"/>
      <c r="C17" s="17">
        <v>24</v>
      </c>
      <c r="D17" s="18" t="s">
        <v>2647</v>
      </c>
      <c r="E17" s="41">
        <v>15</v>
      </c>
      <c r="F17" s="42">
        <v>8.6999999999999993</v>
      </c>
      <c r="G17" s="34"/>
      <c r="H17" s="35"/>
      <c r="I17" s="36"/>
      <c r="J17" s="37"/>
      <c r="K17" s="38">
        <f t="shared" si="0"/>
        <v>0</v>
      </c>
      <c r="L17" s="39" t="s">
        <v>2696</v>
      </c>
    </row>
    <row r="18" spans="1:12" s="27" customFormat="1" ht="19.5" customHeight="1" x14ac:dyDescent="0.3">
      <c r="A18" s="28"/>
      <c r="B18" s="93"/>
      <c r="C18" s="17">
        <v>24</v>
      </c>
      <c r="D18" s="18" t="s">
        <v>2648</v>
      </c>
      <c r="E18" s="41">
        <v>30</v>
      </c>
      <c r="F18" s="42">
        <v>47.85</v>
      </c>
      <c r="G18" s="34"/>
      <c r="H18" s="35"/>
      <c r="I18" s="36"/>
      <c r="J18" s="37"/>
      <c r="K18" s="38">
        <f t="shared" si="0"/>
        <v>0</v>
      </c>
      <c r="L18" s="39" t="s">
        <v>2696</v>
      </c>
    </row>
    <row r="19" spans="1:12" s="27" customFormat="1" ht="19.5" customHeight="1" x14ac:dyDescent="0.3">
      <c r="A19" s="28"/>
      <c r="B19" s="93"/>
      <c r="C19" s="17">
        <v>24</v>
      </c>
      <c r="D19" s="18" t="s">
        <v>2647</v>
      </c>
      <c r="E19" s="41">
        <v>26</v>
      </c>
      <c r="F19" s="42">
        <v>15.08</v>
      </c>
      <c r="G19" s="34"/>
      <c r="H19" s="35"/>
      <c r="I19" s="36"/>
      <c r="J19" s="37"/>
      <c r="K19" s="38">
        <f t="shared" si="0"/>
        <v>0</v>
      </c>
      <c r="L19" s="39" t="s">
        <v>2696</v>
      </c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2704</v>
      </c>
      <c r="B21" s="16" t="s">
        <v>1754</v>
      </c>
      <c r="C21" s="17">
        <v>22</v>
      </c>
      <c r="D21" s="18" t="s">
        <v>45</v>
      </c>
      <c r="E21" s="81">
        <v>1</v>
      </c>
      <c r="F21" s="82">
        <v>0.35</v>
      </c>
      <c r="G21" s="34" t="s">
        <v>49</v>
      </c>
      <c r="H21" s="35">
        <v>1829</v>
      </c>
      <c r="I21" s="36">
        <v>3353</v>
      </c>
      <c r="J21" s="37">
        <v>3</v>
      </c>
      <c r="K21" s="38">
        <f t="shared" si="0"/>
        <v>18.397911000000001</v>
      </c>
      <c r="L21" s="39" t="s">
        <v>2709</v>
      </c>
    </row>
    <row r="22" spans="1:12" s="27" customFormat="1" ht="19.5" customHeight="1" x14ac:dyDescent="0.3">
      <c r="A22" s="28" t="s">
        <v>2705</v>
      </c>
      <c r="B22" s="16" t="s">
        <v>2706</v>
      </c>
      <c r="C22" s="17">
        <v>24</v>
      </c>
      <c r="D22" s="18" t="s">
        <v>45</v>
      </c>
      <c r="E22" s="81">
        <v>16</v>
      </c>
      <c r="F22" s="82">
        <v>13.34</v>
      </c>
      <c r="G22" s="34" t="s">
        <v>62</v>
      </c>
      <c r="H22" s="35">
        <v>1829</v>
      </c>
      <c r="I22" s="36">
        <v>3353</v>
      </c>
      <c r="J22" s="37">
        <v>3</v>
      </c>
      <c r="K22" s="38">
        <f t="shared" si="0"/>
        <v>18.397911000000001</v>
      </c>
      <c r="L22" s="39" t="s">
        <v>2710</v>
      </c>
    </row>
    <row r="23" spans="1:12" s="27" customFormat="1" ht="19.5" customHeight="1" x14ac:dyDescent="0.3">
      <c r="A23" s="28" t="s">
        <v>2707</v>
      </c>
      <c r="B23" s="16" t="s">
        <v>2708</v>
      </c>
      <c r="C23" s="17">
        <v>22</v>
      </c>
      <c r="D23" s="18" t="s">
        <v>17</v>
      </c>
      <c r="E23" s="81">
        <v>3</v>
      </c>
      <c r="F23" s="82">
        <v>1.45</v>
      </c>
      <c r="G23" s="34"/>
      <c r="H23" s="35"/>
      <c r="I23" s="36"/>
      <c r="J23" s="37"/>
      <c r="K23" s="38">
        <f t="shared" si="0"/>
        <v>0</v>
      </c>
      <c r="L23" s="39" t="s">
        <v>2711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2712</v>
      </c>
      <c r="B25" s="16" t="s">
        <v>2662</v>
      </c>
      <c r="C25" s="17">
        <v>22</v>
      </c>
      <c r="D25" s="18" t="s">
        <v>228</v>
      </c>
      <c r="E25" s="41">
        <v>6</v>
      </c>
      <c r="F25" s="42">
        <v>14.16</v>
      </c>
      <c r="G25" s="34" t="s">
        <v>18</v>
      </c>
      <c r="H25" s="35">
        <v>1981</v>
      </c>
      <c r="I25" s="36">
        <v>3353</v>
      </c>
      <c r="J25" s="37">
        <v>10</v>
      </c>
      <c r="K25" s="38">
        <f t="shared" si="0"/>
        <v>66.422930000000008</v>
      </c>
      <c r="L25" s="39" t="s">
        <v>2717</v>
      </c>
    </row>
    <row r="26" spans="1:12" s="27" customFormat="1" ht="19.5" customHeight="1" x14ac:dyDescent="0.3">
      <c r="A26" s="28" t="s">
        <v>2713</v>
      </c>
      <c r="B26" s="16" t="s">
        <v>2662</v>
      </c>
      <c r="C26" s="17">
        <v>22</v>
      </c>
      <c r="D26" s="18" t="s">
        <v>228</v>
      </c>
      <c r="E26" s="41">
        <v>3</v>
      </c>
      <c r="F26" s="42">
        <v>9.69</v>
      </c>
      <c r="G26" s="34"/>
      <c r="H26" s="35"/>
      <c r="I26" s="36"/>
      <c r="J26" s="37"/>
      <c r="K26" s="38">
        <f t="shared" si="0"/>
        <v>0</v>
      </c>
      <c r="L26" s="39" t="s">
        <v>2717</v>
      </c>
    </row>
    <row r="27" spans="1:12" s="27" customFormat="1" ht="19.5" customHeight="1" x14ac:dyDescent="0.3">
      <c r="A27" s="28" t="s">
        <v>2714</v>
      </c>
      <c r="B27" s="16" t="s">
        <v>2662</v>
      </c>
      <c r="C27" s="17">
        <v>22</v>
      </c>
      <c r="D27" s="18" t="s">
        <v>228</v>
      </c>
      <c r="E27" s="41">
        <v>6</v>
      </c>
      <c r="F27" s="42">
        <v>14.16</v>
      </c>
      <c r="G27" s="34"/>
      <c r="H27" s="35"/>
      <c r="I27" s="36"/>
      <c r="J27" s="37"/>
      <c r="K27" s="38">
        <f t="shared" si="0"/>
        <v>0</v>
      </c>
      <c r="L27" s="39" t="s">
        <v>2717</v>
      </c>
    </row>
    <row r="28" spans="1:12" s="27" customFormat="1" ht="19.5" customHeight="1" x14ac:dyDescent="0.3">
      <c r="A28" s="28" t="s">
        <v>2715</v>
      </c>
      <c r="B28" s="16" t="s">
        <v>2662</v>
      </c>
      <c r="C28" s="17">
        <v>22</v>
      </c>
      <c r="D28" s="18" t="s">
        <v>228</v>
      </c>
      <c r="E28" s="41">
        <v>6</v>
      </c>
      <c r="F28" s="42">
        <v>14.16</v>
      </c>
      <c r="G28" s="34"/>
      <c r="H28" s="35"/>
      <c r="I28" s="36"/>
      <c r="J28" s="37"/>
      <c r="K28" s="38">
        <f t="shared" si="0"/>
        <v>0</v>
      </c>
      <c r="L28" s="39" t="s">
        <v>2717</v>
      </c>
    </row>
    <row r="29" spans="1:12" s="27" customFormat="1" ht="19.5" customHeight="1" x14ac:dyDescent="0.3">
      <c r="A29" s="28" t="s">
        <v>2716</v>
      </c>
      <c r="B29" s="16" t="s">
        <v>2662</v>
      </c>
      <c r="C29" s="17">
        <v>22</v>
      </c>
      <c r="D29" s="18" t="s">
        <v>228</v>
      </c>
      <c r="E29" s="41">
        <v>3</v>
      </c>
      <c r="F29" s="42">
        <v>9.69</v>
      </c>
      <c r="G29" s="34"/>
      <c r="H29" s="35"/>
      <c r="I29" s="36"/>
      <c r="J29" s="37"/>
      <c r="K29" s="38">
        <f t="shared" si="0"/>
        <v>0</v>
      </c>
      <c r="L29" s="39" t="s">
        <v>2717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29"/>
      <c r="C37" s="30"/>
      <c r="D37" s="31"/>
      <c r="E37" s="41"/>
      <c r="F37" s="42"/>
      <c r="G37" s="43"/>
      <c r="H37" s="35"/>
      <c r="I37" s="36"/>
      <c r="J37" s="37"/>
      <c r="K37" s="38">
        <f t="shared" si="0"/>
        <v>0</v>
      </c>
      <c r="L37" s="39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2718</v>
      </c>
      <c r="B39" s="45" t="s">
        <v>21</v>
      </c>
      <c r="C39" s="46">
        <v>22</v>
      </c>
      <c r="D39" s="47" t="s">
        <v>17</v>
      </c>
      <c r="E39" s="48">
        <v>160</v>
      </c>
      <c r="F39" s="49">
        <v>134.32</v>
      </c>
      <c r="G39" s="50" t="s">
        <v>18</v>
      </c>
      <c r="H39" s="51">
        <v>2590</v>
      </c>
      <c r="I39" s="45">
        <v>3353</v>
      </c>
      <c r="J39" s="52">
        <v>16</v>
      </c>
      <c r="K39" s="53">
        <f t="shared" si="0"/>
        <v>138.94831999999997</v>
      </c>
      <c r="L39" s="54"/>
    </row>
    <row r="40" spans="1:12" s="55" customFormat="1" ht="19.5" customHeight="1" x14ac:dyDescent="0.3">
      <c r="A40" s="44"/>
      <c r="B40" s="45"/>
      <c r="C40" s="77"/>
      <c r="D40" s="47"/>
      <c r="E40" s="48"/>
      <c r="F40" s="49"/>
      <c r="G40" s="50" t="s">
        <v>18</v>
      </c>
      <c r="H40" s="51">
        <v>2134</v>
      </c>
      <c r="I40" s="45">
        <v>3048</v>
      </c>
      <c r="J40" s="52">
        <v>1</v>
      </c>
      <c r="K40" s="53">
        <f t="shared" si="0"/>
        <v>6.5044319999999995</v>
      </c>
      <c r="L40" s="54"/>
    </row>
    <row r="41" spans="1:12" s="55" customFormat="1" ht="19.5" customHeight="1" x14ac:dyDescent="0.3">
      <c r="A41" s="44"/>
      <c r="B41" s="76"/>
      <c r="C41" s="77"/>
      <c r="D41" s="78"/>
      <c r="E41" s="48"/>
      <c r="F41" s="49"/>
      <c r="G41" s="50" t="s">
        <v>19</v>
      </c>
      <c r="H41" s="51">
        <v>1981</v>
      </c>
      <c r="I41" s="45">
        <v>3353</v>
      </c>
      <c r="J41" s="52">
        <v>22</v>
      </c>
      <c r="K41" s="53">
        <f t="shared" si="0"/>
        <v>146.13044600000001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2719</v>
      </c>
      <c r="B43" s="76" t="s">
        <v>2720</v>
      </c>
      <c r="C43" s="77">
        <v>22</v>
      </c>
      <c r="D43" s="78" t="s">
        <v>17</v>
      </c>
      <c r="E43" s="48">
        <v>60</v>
      </c>
      <c r="F43" s="49">
        <v>46.12</v>
      </c>
      <c r="G43" s="50" t="s">
        <v>18</v>
      </c>
      <c r="H43" s="51">
        <v>1981</v>
      </c>
      <c r="I43" s="45">
        <v>3353</v>
      </c>
      <c r="J43" s="52">
        <v>7</v>
      </c>
      <c r="K43" s="53">
        <f t="shared" si="0"/>
        <v>46.496051000000001</v>
      </c>
      <c r="L43" s="54"/>
    </row>
    <row r="44" spans="1:12" s="55" customFormat="1" ht="19.5" customHeight="1" x14ac:dyDescent="0.3">
      <c r="A44" s="44"/>
      <c r="B44" s="96"/>
      <c r="C44" s="77"/>
      <c r="D44" s="78"/>
      <c r="E44" s="48"/>
      <c r="F44" s="49"/>
      <c r="G44" s="50" t="s">
        <v>18</v>
      </c>
      <c r="H44" s="51">
        <v>1981</v>
      </c>
      <c r="I44" s="45">
        <v>3048</v>
      </c>
      <c r="J44" s="52">
        <v>1</v>
      </c>
      <c r="K44" s="53">
        <f t="shared" si="0"/>
        <v>6.038088000000001</v>
      </c>
      <c r="L44" s="64"/>
    </row>
    <row r="45" spans="1:12" s="55" customFormat="1" ht="19.5" customHeight="1" x14ac:dyDescent="0.3">
      <c r="A45" s="44"/>
      <c r="B45" s="76"/>
      <c r="C45" s="77"/>
      <c r="D45" s="78"/>
      <c r="E45" s="48"/>
      <c r="F45" s="49"/>
      <c r="G45" s="50" t="s">
        <v>19</v>
      </c>
      <c r="H45" s="51">
        <v>1981</v>
      </c>
      <c r="I45" s="45">
        <v>3353</v>
      </c>
      <c r="J45" s="52">
        <v>8</v>
      </c>
      <c r="K45" s="53">
        <f t="shared" si="0"/>
        <v>53.138344000000004</v>
      </c>
      <c r="L45" s="54"/>
    </row>
    <row r="46" spans="1:12" s="55" customFormat="1" ht="19.5" customHeight="1" x14ac:dyDescent="0.3">
      <c r="A46" s="44"/>
      <c r="B46" s="96"/>
      <c r="C46" s="77"/>
      <c r="D46" s="78"/>
      <c r="E46" s="48"/>
      <c r="F46" s="49"/>
      <c r="G46" s="50"/>
      <c r="H46" s="51"/>
      <c r="I46" s="45"/>
      <c r="J46" s="52"/>
      <c r="K46" s="53">
        <f t="shared" si="0"/>
        <v>0</v>
      </c>
      <c r="L46" s="64"/>
    </row>
    <row r="47" spans="1:12" s="55" customFormat="1" ht="19.5" customHeight="1" x14ac:dyDescent="0.3">
      <c r="A47" s="44" t="s">
        <v>2721</v>
      </c>
      <c r="B47" s="76" t="s">
        <v>2720</v>
      </c>
      <c r="C47" s="77">
        <v>22</v>
      </c>
      <c r="D47" s="78" t="s">
        <v>17</v>
      </c>
      <c r="E47" s="48">
        <v>65</v>
      </c>
      <c r="F47" s="49">
        <v>56.15</v>
      </c>
      <c r="G47" s="50" t="s">
        <v>18</v>
      </c>
      <c r="H47" s="51">
        <v>1981</v>
      </c>
      <c r="I47" s="45">
        <v>3353</v>
      </c>
      <c r="J47" s="52">
        <v>9</v>
      </c>
      <c r="K47" s="53">
        <f t="shared" si="0"/>
        <v>59.780637000000006</v>
      </c>
      <c r="L47" s="54"/>
    </row>
    <row r="48" spans="1:12" s="55" customFormat="1" ht="19.5" customHeight="1" x14ac:dyDescent="0.3">
      <c r="A48" s="44"/>
      <c r="B48" s="96"/>
      <c r="C48" s="77"/>
      <c r="D48" s="78"/>
      <c r="E48" s="48"/>
      <c r="F48" s="49"/>
      <c r="G48" s="50" t="s">
        <v>19</v>
      </c>
      <c r="H48" s="51">
        <v>1981</v>
      </c>
      <c r="I48" s="45">
        <v>3353</v>
      </c>
      <c r="J48" s="52">
        <v>9</v>
      </c>
      <c r="K48" s="53">
        <f t="shared" si="0"/>
        <v>59.780637000000006</v>
      </c>
      <c r="L48" s="54"/>
    </row>
    <row r="49" spans="1:12" s="55" customFormat="1" ht="19.5" customHeight="1" x14ac:dyDescent="0.3">
      <c r="A49" s="44"/>
      <c r="B49" s="96"/>
      <c r="C49" s="77"/>
      <c r="D49" s="78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2722</v>
      </c>
      <c r="B50" s="76" t="s">
        <v>2720</v>
      </c>
      <c r="C50" s="77">
        <v>22</v>
      </c>
      <c r="D50" s="78" t="s">
        <v>17</v>
      </c>
      <c r="E50" s="48">
        <v>75</v>
      </c>
      <c r="F50" s="49">
        <v>57.65</v>
      </c>
      <c r="G50" s="50" t="s">
        <v>18</v>
      </c>
      <c r="H50" s="51">
        <v>1981</v>
      </c>
      <c r="I50" s="45">
        <v>3353</v>
      </c>
      <c r="J50" s="52">
        <v>9</v>
      </c>
      <c r="K50" s="53">
        <f t="shared" si="0"/>
        <v>59.780637000000006</v>
      </c>
      <c r="L50" s="54"/>
    </row>
    <row r="51" spans="1:12" s="55" customFormat="1" ht="19.5" customHeight="1" x14ac:dyDescent="0.3">
      <c r="A51" s="44"/>
      <c r="B51" s="96"/>
      <c r="C51" s="77"/>
      <c r="D51" s="78"/>
      <c r="E51" s="48"/>
      <c r="F51" s="49"/>
      <c r="G51" s="50" t="s">
        <v>19</v>
      </c>
      <c r="H51" s="51">
        <v>1981</v>
      </c>
      <c r="I51" s="45">
        <v>3353</v>
      </c>
      <c r="J51" s="52">
        <v>10</v>
      </c>
      <c r="K51" s="53">
        <f t="shared" si="0"/>
        <v>66.422930000000008</v>
      </c>
      <c r="L51" s="54"/>
    </row>
    <row r="52" spans="1:12" s="55" customFormat="1" ht="19.5" customHeight="1" x14ac:dyDescent="0.3">
      <c r="A52" s="44"/>
      <c r="B52" s="76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2723</v>
      </c>
      <c r="B53" s="76" t="s">
        <v>2720</v>
      </c>
      <c r="C53" s="77">
        <v>22</v>
      </c>
      <c r="D53" s="78" t="s">
        <v>17</v>
      </c>
      <c r="E53" s="48">
        <v>60</v>
      </c>
      <c r="F53" s="49">
        <v>46.12</v>
      </c>
      <c r="G53" s="50" t="s">
        <v>18</v>
      </c>
      <c r="H53" s="51">
        <v>1981</v>
      </c>
      <c r="I53" s="45">
        <v>3353</v>
      </c>
      <c r="J53" s="52">
        <v>7</v>
      </c>
      <c r="K53" s="53">
        <f t="shared" si="0"/>
        <v>46.496051000000001</v>
      </c>
      <c r="L53" s="54"/>
    </row>
    <row r="54" spans="1:12" s="55" customFormat="1" ht="19.5" customHeight="1" x14ac:dyDescent="0.3">
      <c r="A54" s="44"/>
      <c r="B54" s="76"/>
      <c r="C54" s="46"/>
      <c r="D54" s="47"/>
      <c r="E54" s="48"/>
      <c r="F54" s="49"/>
      <c r="G54" s="50" t="s">
        <v>19</v>
      </c>
      <c r="H54" s="51">
        <v>1981</v>
      </c>
      <c r="I54" s="45">
        <v>3353</v>
      </c>
      <c r="J54" s="52">
        <v>7</v>
      </c>
      <c r="K54" s="53">
        <f t="shared" si="0"/>
        <v>46.496051000000001</v>
      </c>
      <c r="L54" s="54"/>
    </row>
    <row r="55" spans="1:12" s="55" customFormat="1" ht="19.5" customHeight="1" x14ac:dyDescent="0.3">
      <c r="A55" s="44"/>
      <c r="B55" s="76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2724</v>
      </c>
      <c r="B56" s="76" t="s">
        <v>2720</v>
      </c>
      <c r="C56" s="77">
        <v>22</v>
      </c>
      <c r="D56" s="78" t="s">
        <v>17</v>
      </c>
      <c r="E56" s="48">
        <v>75</v>
      </c>
      <c r="F56" s="49">
        <v>60.05</v>
      </c>
      <c r="G56" s="50" t="s">
        <v>18</v>
      </c>
      <c r="H56" s="51">
        <v>1981</v>
      </c>
      <c r="I56" s="45">
        <v>3353</v>
      </c>
      <c r="J56" s="52">
        <v>11</v>
      </c>
      <c r="K56" s="53">
        <f t="shared" si="0"/>
        <v>73.065223000000003</v>
      </c>
      <c r="L56" s="54"/>
    </row>
    <row r="57" spans="1:12" s="55" customFormat="1" ht="19.5" customHeight="1" x14ac:dyDescent="0.3">
      <c r="A57" s="44"/>
      <c r="B57" s="76"/>
      <c r="C57" s="46"/>
      <c r="D57" s="47"/>
      <c r="E57" s="48"/>
      <c r="F57" s="49"/>
      <c r="G57" s="50" t="s">
        <v>19</v>
      </c>
      <c r="H57" s="51">
        <v>1981</v>
      </c>
      <c r="I57" s="45">
        <v>3353</v>
      </c>
      <c r="J57" s="52">
        <v>11</v>
      </c>
      <c r="K57" s="53">
        <f t="shared" si="0"/>
        <v>73.065223000000003</v>
      </c>
      <c r="L57" s="54"/>
    </row>
    <row r="58" spans="1:12" s="55" customFormat="1" ht="19.5" customHeight="1" x14ac:dyDescent="0.3">
      <c r="A58" s="44"/>
      <c r="B58" s="76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76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76"/>
      <c r="C60" s="77"/>
      <c r="D60" s="78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76"/>
      <c r="C61" s="77"/>
      <c r="D61" s="78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76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76"/>
      <c r="C63" s="77"/>
      <c r="D63" s="78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76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76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9" customFormat="1" ht="20.100000000000001" customHeight="1" x14ac:dyDescent="0.3">
      <c r="A67" s="44"/>
      <c r="B67" s="45"/>
      <c r="C67" s="46"/>
      <c r="D67" s="47"/>
      <c r="E67" s="56"/>
      <c r="F67" s="57"/>
      <c r="G67" s="50"/>
      <c r="H67" s="51"/>
      <c r="I67" s="45"/>
      <c r="J67" s="52"/>
      <c r="K67" s="53">
        <f t="shared" si="0"/>
        <v>0</v>
      </c>
      <c r="L67" s="58">
        <f>SUM(J38:J68)</f>
        <v>128</v>
      </c>
    </row>
    <row r="68" spans="1:12" s="59" customFormat="1" ht="20.100000000000001" customHeight="1" x14ac:dyDescent="0.3">
      <c r="A68" s="44"/>
      <c r="B68" s="45"/>
      <c r="C68" s="46"/>
      <c r="D68" s="47"/>
      <c r="E68" s="60"/>
      <c r="F68" s="61"/>
      <c r="G68" s="62"/>
      <c r="H68" s="51"/>
      <c r="I68" s="45"/>
      <c r="J68" s="63"/>
      <c r="K68" s="53">
        <f t="shared" si="0"/>
        <v>0</v>
      </c>
      <c r="L68" s="64">
        <f>SUM(K38:K68)</f>
        <v>882.14307000000008</v>
      </c>
    </row>
    <row r="69" spans="1:12" s="59" customFormat="1" ht="20.100000000000001" customHeight="1" thickBot="1" x14ac:dyDescent="0.35">
      <c r="A69" s="114"/>
      <c r="B69" s="115"/>
      <c r="C69" s="115"/>
      <c r="D69" s="115"/>
      <c r="E69" s="115"/>
      <c r="F69" s="115"/>
      <c r="G69" s="115"/>
      <c r="H69" s="115"/>
      <c r="I69" s="115"/>
      <c r="J69" s="65">
        <f>SUM(J7:J68)</f>
        <v>294</v>
      </c>
      <c r="K69" s="66">
        <f>SUM(K7:K68)</f>
        <v>1959.3501870000007</v>
      </c>
      <c r="L69" s="67"/>
    </row>
    <row r="70" spans="1:12" s="59" customFormat="1" ht="20.100000000000001" customHeight="1" thickTop="1" thickBot="1" x14ac:dyDescent="0.35">
      <c r="A70" s="116" t="s">
        <v>52</v>
      </c>
      <c r="B70" s="117"/>
      <c r="C70" s="68"/>
      <c r="D70" s="118">
        <f>J69</f>
        <v>294</v>
      </c>
      <c r="E70" s="119"/>
      <c r="F70" s="119"/>
      <c r="G70" s="120"/>
      <c r="H70" s="121"/>
      <c r="I70" s="121"/>
      <c r="J70" s="122"/>
      <c r="K70" s="119"/>
      <c r="L70" s="123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71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72"/>
      <c r="F76" s="5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5"/>
      <c r="G77" s="73"/>
      <c r="H77" s="5"/>
      <c r="I77" s="74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72"/>
      <c r="I81" s="72"/>
      <c r="J81" s="5"/>
      <c r="K81" s="5"/>
      <c r="L81" s="5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H89" s="72"/>
      <c r="I89" s="72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5" customFormat="1" ht="19.5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ht="19.5" customHeight="1" x14ac:dyDescent="0.3"/>
    <row r="98" spans="2:12" ht="19.5" customHeight="1" x14ac:dyDescent="0.3"/>
    <row r="99" spans="2:12" ht="19.5" customHeight="1" x14ac:dyDescent="0.3"/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>
        <v>2</v>
      </c>
      <c r="C160" s="5"/>
      <c r="D160" s="5"/>
      <c r="E160" s="5"/>
      <c r="F160" s="70"/>
      <c r="G160" s="5"/>
      <c r="H160" s="5"/>
      <c r="I160" s="5"/>
      <c r="J160" s="5"/>
      <c r="K160" s="5"/>
      <c r="L160" s="5"/>
    </row>
  </sheetData>
  <mergeCells count="30">
    <mergeCell ref="A85:B85"/>
    <mergeCell ref="A86:B86"/>
    <mergeCell ref="A76:B76"/>
    <mergeCell ref="A77:B77"/>
    <mergeCell ref="A78:B78"/>
    <mergeCell ref="A80:B80"/>
    <mergeCell ref="A81:B81"/>
    <mergeCell ref="A82:B82"/>
    <mergeCell ref="A75:B7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9:I69"/>
    <mergeCell ref="A70:B70"/>
    <mergeCell ref="D70:G70"/>
    <mergeCell ref="H70:J70"/>
    <mergeCell ref="K70:L70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L181"/>
  <sheetViews>
    <sheetView view="pageBreakPreview" topLeftCell="F79" zoomScale="85" zoomScaleSheetLayoutView="85" workbookViewId="0">
      <selection activeCell="L88" sqref="L88:L8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46122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9" si="0">(H7/1000*I7/1000)*J7</f>
        <v>0</v>
      </c>
      <c r="L7" s="26">
        <f>SUM(J7:J49)</f>
        <v>212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SUM(K7:K49)</f>
        <v>1409.4181430000001</v>
      </c>
    </row>
    <row r="9" spans="1:12" s="27" customFormat="1" ht="19.5" customHeight="1" x14ac:dyDescent="0.3">
      <c r="A9" s="16" t="s">
        <v>2661</v>
      </c>
      <c r="B9" s="16" t="s">
        <v>2662</v>
      </c>
      <c r="C9" s="17">
        <v>22</v>
      </c>
      <c r="D9" s="18" t="s">
        <v>2676</v>
      </c>
      <c r="E9" s="41">
        <v>27</v>
      </c>
      <c r="F9" s="42">
        <v>17.09</v>
      </c>
      <c r="G9" s="34" t="s">
        <v>80</v>
      </c>
      <c r="H9" s="35">
        <v>1981</v>
      </c>
      <c r="I9" s="36">
        <v>3353</v>
      </c>
      <c r="J9" s="37">
        <v>3</v>
      </c>
      <c r="K9" s="38">
        <f t="shared" si="0"/>
        <v>19.926879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2676</v>
      </c>
      <c r="E10" s="81">
        <v>2</v>
      </c>
      <c r="F10" s="82">
        <v>0.56000000000000005</v>
      </c>
      <c r="G10" s="34" t="s">
        <v>2679</v>
      </c>
      <c r="H10" s="35">
        <v>1981</v>
      </c>
      <c r="I10" s="36">
        <v>3353</v>
      </c>
      <c r="J10" s="37">
        <v>3</v>
      </c>
      <c r="K10" s="38">
        <f t="shared" si="0"/>
        <v>19.926879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81"/>
      <c r="F11" s="8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2354</v>
      </c>
      <c r="B12" s="16" t="s">
        <v>2662</v>
      </c>
      <c r="C12" s="17">
        <v>22</v>
      </c>
      <c r="D12" s="18" t="s">
        <v>2676</v>
      </c>
      <c r="E12" s="41">
        <v>66</v>
      </c>
      <c r="F12" s="42">
        <v>43.44</v>
      </c>
      <c r="G12" s="34" t="s">
        <v>80</v>
      </c>
      <c r="H12" s="35">
        <v>1981</v>
      </c>
      <c r="I12" s="36">
        <v>3353</v>
      </c>
      <c r="J12" s="37">
        <v>7</v>
      </c>
      <c r="K12" s="38">
        <f t="shared" si="0"/>
        <v>46.496051000000001</v>
      </c>
      <c r="L12" s="39"/>
    </row>
    <row r="13" spans="1:12" s="27" customFormat="1" ht="19.5" customHeight="1" x14ac:dyDescent="0.3">
      <c r="A13" s="28"/>
      <c r="B13" s="16"/>
      <c r="C13" s="17">
        <v>22</v>
      </c>
      <c r="D13" s="18" t="s">
        <v>2676</v>
      </c>
      <c r="E13" s="41">
        <v>12</v>
      </c>
      <c r="F13" s="42">
        <v>3.36</v>
      </c>
      <c r="G13" s="34" t="s">
        <v>2679</v>
      </c>
      <c r="H13" s="35">
        <v>1981</v>
      </c>
      <c r="I13" s="36">
        <v>3353</v>
      </c>
      <c r="J13" s="37">
        <v>7</v>
      </c>
      <c r="K13" s="38">
        <f t="shared" si="0"/>
        <v>46.496051000000001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81"/>
      <c r="F14" s="8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2677</v>
      </c>
      <c r="B15" s="16" t="s">
        <v>2662</v>
      </c>
      <c r="C15" s="17">
        <v>22</v>
      </c>
      <c r="D15" s="18" t="s">
        <v>2676</v>
      </c>
      <c r="E15" s="81">
        <v>106</v>
      </c>
      <c r="F15" s="82">
        <v>61.22</v>
      </c>
      <c r="G15" s="34" t="s">
        <v>80</v>
      </c>
      <c r="H15" s="35">
        <v>1981</v>
      </c>
      <c r="I15" s="36">
        <v>3353</v>
      </c>
      <c r="J15" s="37">
        <v>10</v>
      </c>
      <c r="K15" s="38">
        <f t="shared" si="0"/>
        <v>66.422930000000008</v>
      </c>
      <c r="L15" s="39"/>
    </row>
    <row r="16" spans="1:12" s="27" customFormat="1" ht="19.5" customHeight="1" x14ac:dyDescent="0.3">
      <c r="A16" s="28"/>
      <c r="B16" s="16"/>
      <c r="C16" s="17">
        <v>22</v>
      </c>
      <c r="D16" s="18" t="s">
        <v>2676</v>
      </c>
      <c r="E16" s="41">
        <v>10</v>
      </c>
      <c r="F16" s="42">
        <v>2.8</v>
      </c>
      <c r="G16" s="34" t="s">
        <v>2679</v>
      </c>
      <c r="H16" s="35">
        <v>1981</v>
      </c>
      <c r="I16" s="36">
        <v>3353</v>
      </c>
      <c r="J16" s="37">
        <v>10</v>
      </c>
      <c r="K16" s="38">
        <f t="shared" si="0"/>
        <v>66.422930000000008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2667</v>
      </c>
      <c r="B18" s="16" t="s">
        <v>2662</v>
      </c>
      <c r="C18" s="17">
        <v>22</v>
      </c>
      <c r="D18" s="18" t="s">
        <v>2676</v>
      </c>
      <c r="E18" s="81">
        <v>54</v>
      </c>
      <c r="F18" s="82">
        <v>44.4</v>
      </c>
      <c r="G18" s="34" t="s">
        <v>80</v>
      </c>
      <c r="H18" s="35">
        <v>1981</v>
      </c>
      <c r="I18" s="36">
        <v>3353</v>
      </c>
      <c r="J18" s="37">
        <v>7</v>
      </c>
      <c r="K18" s="38">
        <f t="shared" si="0"/>
        <v>46.496051000000001</v>
      </c>
      <c r="L18" s="39"/>
    </row>
    <row r="19" spans="1:12" s="27" customFormat="1" ht="19.5" customHeight="1" x14ac:dyDescent="0.3">
      <c r="A19" s="16"/>
      <c r="B19" s="16"/>
      <c r="C19" s="17">
        <v>22</v>
      </c>
      <c r="D19" s="18" t="s">
        <v>2676</v>
      </c>
      <c r="E19" s="41">
        <v>6</v>
      </c>
      <c r="F19" s="42">
        <v>1.68</v>
      </c>
      <c r="G19" s="34" t="s">
        <v>2679</v>
      </c>
      <c r="H19" s="35">
        <v>1981</v>
      </c>
      <c r="I19" s="36">
        <v>3353</v>
      </c>
      <c r="J19" s="37">
        <v>7</v>
      </c>
      <c r="K19" s="38">
        <f t="shared" si="0"/>
        <v>46.496051000000001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2678</v>
      </c>
      <c r="B21" s="16" t="s">
        <v>2662</v>
      </c>
      <c r="C21" s="17">
        <v>22</v>
      </c>
      <c r="D21" s="18" t="s">
        <v>2676</v>
      </c>
      <c r="E21" s="81">
        <v>57</v>
      </c>
      <c r="F21" s="82">
        <v>40.950000000000003</v>
      </c>
      <c r="G21" s="34" t="s">
        <v>80</v>
      </c>
      <c r="H21" s="35">
        <v>1981</v>
      </c>
      <c r="I21" s="36">
        <v>3353</v>
      </c>
      <c r="J21" s="37">
        <v>6</v>
      </c>
      <c r="K21" s="38">
        <f t="shared" si="0"/>
        <v>39.853757999999999</v>
      </c>
      <c r="L21" s="39"/>
    </row>
    <row r="22" spans="1:12" s="27" customFormat="1" ht="19.5" customHeight="1" x14ac:dyDescent="0.3">
      <c r="A22" s="28"/>
      <c r="B22" s="16"/>
      <c r="C22" s="17">
        <v>22</v>
      </c>
      <c r="D22" s="18" t="s">
        <v>2676</v>
      </c>
      <c r="E22" s="81">
        <v>6</v>
      </c>
      <c r="F22" s="82">
        <v>1.68</v>
      </c>
      <c r="G22" s="34" t="s">
        <v>2679</v>
      </c>
      <c r="H22" s="35">
        <v>1981</v>
      </c>
      <c r="I22" s="36">
        <v>3353</v>
      </c>
      <c r="J22" s="37">
        <v>6</v>
      </c>
      <c r="K22" s="38">
        <f t="shared" si="0"/>
        <v>39.853757999999999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81"/>
      <c r="F23" s="8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 t="s">
        <v>2669</v>
      </c>
      <c r="B24" s="16" t="s">
        <v>2662</v>
      </c>
      <c r="C24" s="17">
        <v>22</v>
      </c>
      <c r="D24" s="18" t="s">
        <v>2676</v>
      </c>
      <c r="E24" s="41">
        <v>66</v>
      </c>
      <c r="F24" s="42">
        <v>43.44</v>
      </c>
      <c r="G24" s="34" t="s">
        <v>80</v>
      </c>
      <c r="H24" s="35">
        <v>1981</v>
      </c>
      <c r="I24" s="36">
        <v>3353</v>
      </c>
      <c r="J24" s="37">
        <v>7</v>
      </c>
      <c r="K24" s="38">
        <f t="shared" si="0"/>
        <v>46.496051000000001</v>
      </c>
      <c r="L24" s="39"/>
    </row>
    <row r="25" spans="1:12" s="27" customFormat="1" ht="19.5" customHeight="1" x14ac:dyDescent="0.3">
      <c r="A25" s="28"/>
      <c r="B25" s="16"/>
      <c r="C25" s="17">
        <v>22</v>
      </c>
      <c r="D25" s="18" t="s">
        <v>2676</v>
      </c>
      <c r="E25" s="41">
        <v>12</v>
      </c>
      <c r="F25" s="42">
        <v>3.36</v>
      </c>
      <c r="G25" s="34" t="s">
        <v>2679</v>
      </c>
      <c r="H25" s="35">
        <v>1981</v>
      </c>
      <c r="I25" s="36">
        <v>3353</v>
      </c>
      <c r="J25" s="37">
        <v>7</v>
      </c>
      <c r="K25" s="38">
        <f t="shared" si="0"/>
        <v>46.496051000000001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 t="s">
        <v>2670</v>
      </c>
      <c r="B27" s="16" t="s">
        <v>2662</v>
      </c>
      <c r="C27" s="17">
        <v>22</v>
      </c>
      <c r="D27" s="18" t="s">
        <v>2676</v>
      </c>
      <c r="E27" s="41">
        <v>106</v>
      </c>
      <c r="F27" s="42">
        <v>61.22</v>
      </c>
      <c r="G27" s="34" t="s">
        <v>80</v>
      </c>
      <c r="H27" s="35">
        <v>1981</v>
      </c>
      <c r="I27" s="36">
        <v>3353</v>
      </c>
      <c r="J27" s="37">
        <v>9</v>
      </c>
      <c r="K27" s="38">
        <f t="shared" si="0"/>
        <v>59.780637000000006</v>
      </c>
      <c r="L27" s="39"/>
    </row>
    <row r="28" spans="1:12" s="27" customFormat="1" ht="19.5" customHeight="1" x14ac:dyDescent="0.3">
      <c r="A28" s="28"/>
      <c r="B28" s="16"/>
      <c r="C28" s="17">
        <v>22</v>
      </c>
      <c r="D28" s="18" t="s">
        <v>2676</v>
      </c>
      <c r="E28" s="41">
        <v>10</v>
      </c>
      <c r="F28" s="42">
        <v>2.8</v>
      </c>
      <c r="G28" s="34" t="s">
        <v>80</v>
      </c>
      <c r="H28" s="35">
        <v>2590</v>
      </c>
      <c r="I28" s="36">
        <v>3048</v>
      </c>
      <c r="J28" s="37">
        <v>1</v>
      </c>
      <c r="K28" s="38">
        <f t="shared" si="0"/>
        <v>7.8943199999999996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 t="s">
        <v>2679</v>
      </c>
      <c r="H29" s="35">
        <v>1981</v>
      </c>
      <c r="I29" s="36">
        <v>3353</v>
      </c>
      <c r="J29" s="37">
        <v>11</v>
      </c>
      <c r="K29" s="38">
        <f t="shared" si="0"/>
        <v>73.065223000000003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 t="s">
        <v>2661</v>
      </c>
      <c r="B31" s="16" t="s">
        <v>2662</v>
      </c>
      <c r="C31" s="17">
        <v>22</v>
      </c>
      <c r="D31" s="18" t="s">
        <v>716</v>
      </c>
      <c r="E31" s="41">
        <v>1</v>
      </c>
      <c r="F31" s="42">
        <v>3.23</v>
      </c>
      <c r="G31" s="34" t="s">
        <v>2679</v>
      </c>
      <c r="H31" s="35">
        <v>1981</v>
      </c>
      <c r="I31" s="36">
        <v>3353</v>
      </c>
      <c r="J31" s="37">
        <v>11</v>
      </c>
      <c r="K31" s="38">
        <f t="shared" si="0"/>
        <v>73.065223000000003</v>
      </c>
      <c r="L31" s="39" t="s">
        <v>2680</v>
      </c>
    </row>
    <row r="32" spans="1:12" s="27" customFormat="1" ht="19.5" customHeight="1" x14ac:dyDescent="0.3">
      <c r="A32" s="28" t="s">
        <v>2665</v>
      </c>
      <c r="B32" s="16" t="s">
        <v>2662</v>
      </c>
      <c r="C32" s="17">
        <v>22</v>
      </c>
      <c r="D32" s="18" t="s">
        <v>716</v>
      </c>
      <c r="E32" s="41">
        <v>6</v>
      </c>
      <c r="F32" s="42">
        <v>14.16</v>
      </c>
      <c r="G32" s="34"/>
      <c r="H32" s="35"/>
      <c r="I32" s="36"/>
      <c r="J32" s="37"/>
      <c r="K32" s="38">
        <f t="shared" si="0"/>
        <v>0</v>
      </c>
      <c r="L32" s="39" t="s">
        <v>2680</v>
      </c>
    </row>
    <row r="33" spans="1:12" s="27" customFormat="1" ht="19.5" customHeight="1" x14ac:dyDescent="0.3">
      <c r="A33" s="28" t="s">
        <v>2666</v>
      </c>
      <c r="B33" s="16" t="s">
        <v>2662</v>
      </c>
      <c r="C33" s="17">
        <v>22</v>
      </c>
      <c r="D33" s="18" t="s">
        <v>716</v>
      </c>
      <c r="E33" s="41">
        <v>2</v>
      </c>
      <c r="F33" s="42">
        <v>6.46</v>
      </c>
      <c r="G33" s="34"/>
      <c r="H33" s="35"/>
      <c r="I33" s="36"/>
      <c r="J33" s="37"/>
      <c r="K33" s="38">
        <f t="shared" si="0"/>
        <v>0</v>
      </c>
      <c r="L33" s="39" t="s">
        <v>2680</v>
      </c>
    </row>
    <row r="34" spans="1:12" s="27" customFormat="1" ht="19.5" customHeight="1" x14ac:dyDescent="0.3">
      <c r="A34" s="28" t="s">
        <v>2667</v>
      </c>
      <c r="B34" s="16" t="s">
        <v>2662</v>
      </c>
      <c r="C34" s="17">
        <v>22</v>
      </c>
      <c r="D34" s="18" t="s">
        <v>716</v>
      </c>
      <c r="E34" s="41">
        <v>6</v>
      </c>
      <c r="F34" s="42">
        <v>14.16</v>
      </c>
      <c r="G34" s="34"/>
      <c r="H34" s="35"/>
      <c r="I34" s="36"/>
      <c r="J34" s="37"/>
      <c r="K34" s="38">
        <f t="shared" si="0"/>
        <v>0</v>
      </c>
      <c r="L34" s="39" t="s">
        <v>2680</v>
      </c>
    </row>
    <row r="35" spans="1:12" s="27" customFormat="1" ht="19.5" customHeight="1" x14ac:dyDescent="0.3">
      <c r="A35" s="28" t="s">
        <v>2668</v>
      </c>
      <c r="B35" s="16" t="s">
        <v>2662</v>
      </c>
      <c r="C35" s="17">
        <v>22</v>
      </c>
      <c r="D35" s="18" t="s">
        <v>716</v>
      </c>
      <c r="E35" s="41">
        <v>3</v>
      </c>
      <c r="F35" s="42">
        <v>9.69</v>
      </c>
      <c r="G35" s="34"/>
      <c r="H35" s="35"/>
      <c r="I35" s="36"/>
      <c r="J35" s="37"/>
      <c r="K35" s="38">
        <f t="shared" si="0"/>
        <v>0</v>
      </c>
      <c r="L35" s="39" t="s">
        <v>2680</v>
      </c>
    </row>
    <row r="36" spans="1:12" s="27" customFormat="1" ht="19.5" customHeight="1" x14ac:dyDescent="0.3">
      <c r="A36" s="28" t="s">
        <v>2669</v>
      </c>
      <c r="B36" s="16" t="s">
        <v>2662</v>
      </c>
      <c r="C36" s="17">
        <v>22</v>
      </c>
      <c r="D36" s="18" t="s">
        <v>716</v>
      </c>
      <c r="E36" s="41">
        <v>6</v>
      </c>
      <c r="F36" s="42">
        <v>14.16</v>
      </c>
      <c r="G36" s="34"/>
      <c r="H36" s="35"/>
      <c r="I36" s="36"/>
      <c r="J36" s="37"/>
      <c r="K36" s="38">
        <f t="shared" si="0"/>
        <v>0</v>
      </c>
      <c r="L36" s="39" t="s">
        <v>2680</v>
      </c>
    </row>
    <row r="37" spans="1:12" s="27" customFormat="1" ht="19.5" customHeight="1" x14ac:dyDescent="0.3">
      <c r="A37" s="28" t="s">
        <v>2670</v>
      </c>
      <c r="B37" s="16" t="s">
        <v>2662</v>
      </c>
      <c r="C37" s="17">
        <v>22</v>
      </c>
      <c r="D37" s="18" t="s">
        <v>716</v>
      </c>
      <c r="E37" s="41">
        <v>2</v>
      </c>
      <c r="F37" s="42">
        <v>6.46</v>
      </c>
      <c r="G37" s="34"/>
      <c r="H37" s="35"/>
      <c r="I37" s="36"/>
      <c r="J37" s="37"/>
      <c r="K37" s="38">
        <f t="shared" si="0"/>
        <v>0</v>
      </c>
      <c r="L37" s="39" t="s">
        <v>2680</v>
      </c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 t="s">
        <v>2691</v>
      </c>
      <c r="B39" s="16"/>
      <c r="C39" s="17"/>
      <c r="D39" s="18"/>
      <c r="E39" s="41"/>
      <c r="F39" s="42"/>
      <c r="G39" s="34"/>
      <c r="H39" s="35"/>
      <c r="I39" s="36"/>
      <c r="J39" s="37"/>
      <c r="K39" s="38">
        <f t="shared" si="0"/>
        <v>0</v>
      </c>
      <c r="L39" s="39"/>
    </row>
    <row r="40" spans="1:12" s="27" customFormat="1" ht="19.5" customHeight="1" x14ac:dyDescent="0.3">
      <c r="A40" s="28" t="s">
        <v>2692</v>
      </c>
      <c r="B40" s="16" t="s">
        <v>2693</v>
      </c>
      <c r="C40" s="17">
        <v>22</v>
      </c>
      <c r="D40" s="18" t="s">
        <v>2694</v>
      </c>
      <c r="E40" s="41">
        <v>88</v>
      </c>
      <c r="F40" s="42">
        <v>268.39999999999998</v>
      </c>
      <c r="G40" s="34" t="s">
        <v>2695</v>
      </c>
      <c r="H40" s="35">
        <v>1981</v>
      </c>
      <c r="I40" s="36">
        <v>3353</v>
      </c>
      <c r="J40" s="37">
        <v>45</v>
      </c>
      <c r="K40" s="38">
        <f t="shared" si="0"/>
        <v>298.90318500000001</v>
      </c>
      <c r="L40" s="39" t="s">
        <v>2698</v>
      </c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38">
        <f t="shared" si="0"/>
        <v>0</v>
      </c>
      <c r="L41" s="39"/>
    </row>
    <row r="42" spans="1:12" s="27" customFormat="1" ht="19.5" customHeight="1" x14ac:dyDescent="0.3">
      <c r="A42" s="28" t="s">
        <v>2692</v>
      </c>
      <c r="B42" s="16" t="s">
        <v>2693</v>
      </c>
      <c r="C42" s="17">
        <v>22</v>
      </c>
      <c r="D42" s="18" t="s">
        <v>2694</v>
      </c>
      <c r="E42" s="41">
        <f>88+50</f>
        <v>138</v>
      </c>
      <c r="F42" s="42">
        <f>268.4+75</f>
        <v>343.4</v>
      </c>
      <c r="G42" s="34" t="s">
        <v>2697</v>
      </c>
      <c r="H42" s="35">
        <v>1981</v>
      </c>
      <c r="I42" s="36">
        <v>3353</v>
      </c>
      <c r="J42" s="37">
        <v>55</v>
      </c>
      <c r="K42" s="38">
        <f t="shared" si="0"/>
        <v>365.32611500000002</v>
      </c>
      <c r="L42" s="39" t="s">
        <v>2699</v>
      </c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38">
        <f t="shared" si="0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>
        <f>144/96</f>
        <v>1.5</v>
      </c>
      <c r="G44" s="34"/>
      <c r="H44" s="35"/>
      <c r="I44" s="36"/>
      <c r="J44" s="37"/>
      <c r="K44" s="38">
        <f t="shared" si="0"/>
        <v>0</v>
      </c>
      <c r="L44" s="39"/>
    </row>
    <row r="45" spans="1:12" s="27" customFormat="1" ht="19.5" customHeight="1" x14ac:dyDescent="0.3">
      <c r="A45" s="28"/>
      <c r="B45" s="16"/>
      <c r="C45" s="17"/>
      <c r="D45" s="18"/>
      <c r="E45" s="41"/>
      <c r="F45" s="42">
        <f>F44*50</f>
        <v>75</v>
      </c>
      <c r="G45" s="34"/>
      <c r="H45" s="35"/>
      <c r="I45" s="36"/>
      <c r="J45" s="37"/>
      <c r="K45" s="38">
        <f t="shared" si="0"/>
        <v>0</v>
      </c>
      <c r="L45" s="39"/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/>
      <c r="H46" s="35"/>
      <c r="I46" s="36"/>
      <c r="J46" s="37"/>
      <c r="K46" s="38">
        <f t="shared" si="0"/>
        <v>0</v>
      </c>
      <c r="L46" s="39"/>
    </row>
    <row r="47" spans="1:12" s="27" customFormat="1" ht="19.5" customHeight="1" x14ac:dyDescent="0.3">
      <c r="A47" s="28"/>
      <c r="B47" s="16"/>
      <c r="C47" s="17"/>
      <c r="D47" s="18"/>
      <c r="E47" s="41"/>
      <c r="F47" s="42"/>
      <c r="G47" s="34"/>
      <c r="H47" s="35"/>
      <c r="I47" s="36"/>
      <c r="J47" s="37"/>
      <c r="K47" s="38">
        <f t="shared" si="0"/>
        <v>0</v>
      </c>
      <c r="L47" s="39"/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38">
        <f t="shared" si="0"/>
        <v>0</v>
      </c>
      <c r="L48" s="39"/>
    </row>
    <row r="49" spans="1:12" s="27" customFormat="1" ht="19.5" customHeight="1" x14ac:dyDescent="0.3">
      <c r="A49" s="28"/>
      <c r="B49" s="29"/>
      <c r="C49" s="30"/>
      <c r="D49" s="31"/>
      <c r="E49" s="41"/>
      <c r="F49" s="42"/>
      <c r="G49" s="43"/>
      <c r="H49" s="35"/>
      <c r="I49" s="36"/>
      <c r="J49" s="37"/>
      <c r="K49" s="38">
        <f t="shared" si="0"/>
        <v>0</v>
      </c>
      <c r="L49" s="39"/>
    </row>
    <row r="50" spans="1:12" s="55" customFormat="1" ht="19.5" customHeight="1" x14ac:dyDescent="0.3">
      <c r="A50" s="44" t="s">
        <v>2681</v>
      </c>
      <c r="B50" s="45" t="s">
        <v>2682</v>
      </c>
      <c r="C50" s="46">
        <v>22</v>
      </c>
      <c r="D50" s="47" t="s">
        <v>17</v>
      </c>
      <c r="E50" s="48">
        <v>84</v>
      </c>
      <c r="F50" s="49">
        <v>76.16</v>
      </c>
      <c r="G50" s="50" t="s">
        <v>80</v>
      </c>
      <c r="H50" s="51">
        <v>2590</v>
      </c>
      <c r="I50" s="45">
        <v>3353</v>
      </c>
      <c r="J50" s="52">
        <v>10</v>
      </c>
      <c r="K50" s="53">
        <f t="shared" si="0"/>
        <v>86.842699999999979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 t="s">
        <v>2683</v>
      </c>
      <c r="H51" s="51">
        <v>1981</v>
      </c>
      <c r="I51" s="45">
        <v>3048</v>
      </c>
      <c r="J51" s="52">
        <v>14</v>
      </c>
      <c r="K51" s="53">
        <f t="shared" si="0"/>
        <v>84.533232000000012</v>
      </c>
      <c r="L51" s="54"/>
    </row>
    <row r="52" spans="1:12" s="55" customFormat="1" ht="19.5" customHeight="1" x14ac:dyDescent="0.3">
      <c r="A52" s="44"/>
      <c r="B52" s="45"/>
      <c r="C52" s="77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2684</v>
      </c>
      <c r="B53" s="76" t="s">
        <v>2685</v>
      </c>
      <c r="C53" s="77">
        <v>24</v>
      </c>
      <c r="D53" s="78" t="s">
        <v>60</v>
      </c>
      <c r="E53" s="48">
        <v>90</v>
      </c>
      <c r="F53" s="49">
        <v>64.099999999999994</v>
      </c>
      <c r="G53" s="50" t="s">
        <v>2686</v>
      </c>
      <c r="H53" s="51">
        <v>1981</v>
      </c>
      <c r="I53" s="45">
        <v>3353</v>
      </c>
      <c r="J53" s="52">
        <v>12</v>
      </c>
      <c r="K53" s="53">
        <f t="shared" si="0"/>
        <v>79.707515999999998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 t="s">
        <v>2683</v>
      </c>
      <c r="H54" s="51">
        <v>1981</v>
      </c>
      <c r="I54" s="45">
        <v>3353</v>
      </c>
      <c r="J54" s="52">
        <v>12</v>
      </c>
      <c r="K54" s="53">
        <f t="shared" si="0"/>
        <v>79.707515999999998</v>
      </c>
      <c r="L54" s="54"/>
    </row>
    <row r="55" spans="1:12" s="55" customFormat="1" ht="19.5" customHeight="1" x14ac:dyDescent="0.3">
      <c r="A55" s="44"/>
      <c r="B55" s="76"/>
      <c r="C55" s="77"/>
      <c r="D55" s="78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96"/>
      <c r="C56" s="77">
        <v>24</v>
      </c>
      <c r="D56" s="78" t="s">
        <v>17</v>
      </c>
      <c r="E56" s="48">
        <v>100</v>
      </c>
      <c r="F56" s="49">
        <v>95.5</v>
      </c>
      <c r="G56" s="50" t="s">
        <v>2687</v>
      </c>
      <c r="H56" s="51">
        <v>2590</v>
      </c>
      <c r="I56" s="45">
        <v>3353</v>
      </c>
      <c r="J56" s="52">
        <v>11</v>
      </c>
      <c r="K56" s="53">
        <f t="shared" si="0"/>
        <v>95.526969999999977</v>
      </c>
      <c r="L56" s="64"/>
    </row>
    <row r="57" spans="1:12" s="55" customFormat="1" ht="19.5" customHeight="1" x14ac:dyDescent="0.3">
      <c r="A57" s="44"/>
      <c r="B57" s="76"/>
      <c r="C57" s="77"/>
      <c r="D57" s="78"/>
      <c r="E57" s="48"/>
      <c r="F57" s="49"/>
      <c r="G57" s="50" t="s">
        <v>2683</v>
      </c>
      <c r="H57" s="51">
        <v>1981</v>
      </c>
      <c r="I57" s="45">
        <v>3353</v>
      </c>
      <c r="J57" s="52">
        <v>15</v>
      </c>
      <c r="K57" s="53">
        <f t="shared" si="0"/>
        <v>99.634395000000012</v>
      </c>
      <c r="L57" s="54"/>
    </row>
    <row r="58" spans="1:12" s="55" customFormat="1" ht="19.5" customHeight="1" x14ac:dyDescent="0.3">
      <c r="A58" s="44"/>
      <c r="B58" s="96"/>
      <c r="C58" s="77"/>
      <c r="D58" s="78"/>
      <c r="E58" s="48"/>
      <c r="F58" s="49"/>
      <c r="G58" s="50"/>
      <c r="H58" s="51"/>
      <c r="I58" s="45"/>
      <c r="J58" s="52"/>
      <c r="K58" s="53">
        <f t="shared" si="0"/>
        <v>0</v>
      </c>
      <c r="L58" s="64"/>
    </row>
    <row r="59" spans="1:12" s="55" customFormat="1" ht="19.5" customHeight="1" x14ac:dyDescent="0.3">
      <c r="A59" s="44" t="s">
        <v>2674</v>
      </c>
      <c r="B59" s="76" t="s">
        <v>2685</v>
      </c>
      <c r="C59" s="77">
        <v>24</v>
      </c>
      <c r="D59" s="78" t="s">
        <v>17</v>
      </c>
      <c r="E59" s="48">
        <v>90</v>
      </c>
      <c r="F59" s="49">
        <v>114.8</v>
      </c>
      <c r="G59" s="50" t="s">
        <v>2687</v>
      </c>
      <c r="H59" s="51">
        <v>1981</v>
      </c>
      <c r="I59" s="45">
        <v>3353</v>
      </c>
      <c r="J59" s="52">
        <v>18</v>
      </c>
      <c r="K59" s="53">
        <f t="shared" si="0"/>
        <v>119.56127400000001</v>
      </c>
      <c r="L59" s="54"/>
    </row>
    <row r="60" spans="1:12" s="55" customFormat="1" ht="19.5" customHeight="1" x14ac:dyDescent="0.3">
      <c r="A60" s="44"/>
      <c r="B60" s="96"/>
      <c r="C60" s="77"/>
      <c r="D60" s="78"/>
      <c r="E60" s="48"/>
      <c r="F60" s="49"/>
      <c r="G60" s="50" t="s">
        <v>2683</v>
      </c>
      <c r="H60" s="51">
        <v>1981</v>
      </c>
      <c r="I60" s="45">
        <v>3353</v>
      </c>
      <c r="J60" s="52">
        <v>18</v>
      </c>
      <c r="K60" s="53">
        <f t="shared" si="0"/>
        <v>119.56127400000001</v>
      </c>
      <c r="L60" s="54"/>
    </row>
    <row r="61" spans="1:12" s="55" customFormat="1" ht="19.5" customHeight="1" x14ac:dyDescent="0.3">
      <c r="A61" s="44"/>
      <c r="B61" s="96"/>
      <c r="C61" s="77"/>
      <c r="D61" s="78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2659</v>
      </c>
      <c r="B62" s="76" t="s">
        <v>2685</v>
      </c>
      <c r="C62" s="77">
        <v>24</v>
      </c>
      <c r="D62" s="78" t="s">
        <v>60</v>
      </c>
      <c r="E62" s="48">
        <v>3</v>
      </c>
      <c r="F62" s="49">
        <f>2.93+1.17</f>
        <v>4.0999999999999996</v>
      </c>
      <c r="G62" s="50" t="s">
        <v>2686</v>
      </c>
      <c r="H62" s="51">
        <v>1981</v>
      </c>
      <c r="I62" s="45">
        <v>3353</v>
      </c>
      <c r="J62" s="52">
        <v>1</v>
      </c>
      <c r="K62" s="53">
        <f t="shared" si="0"/>
        <v>6.6422930000000004</v>
      </c>
      <c r="L62" s="54" t="s">
        <v>2688</v>
      </c>
    </row>
    <row r="63" spans="1:12" s="55" customFormat="1" ht="19.5" customHeight="1" x14ac:dyDescent="0.3">
      <c r="A63" s="44"/>
      <c r="B63" s="96"/>
      <c r="C63" s="77"/>
      <c r="D63" s="78"/>
      <c r="E63" s="48"/>
      <c r="F63" s="49"/>
      <c r="G63" s="50" t="s">
        <v>2683</v>
      </c>
      <c r="H63" s="51">
        <v>1981</v>
      </c>
      <c r="I63" s="45">
        <v>3353</v>
      </c>
      <c r="J63" s="52">
        <v>1</v>
      </c>
      <c r="K63" s="53">
        <f t="shared" si="0"/>
        <v>6.6422930000000004</v>
      </c>
      <c r="L63" s="54" t="s">
        <v>2688</v>
      </c>
    </row>
    <row r="64" spans="1:12" s="55" customFormat="1" ht="19.5" customHeight="1" x14ac:dyDescent="0.3">
      <c r="A64" s="44"/>
      <c r="B64" s="76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2470</v>
      </c>
      <c r="B65" s="96" t="s">
        <v>2471</v>
      </c>
      <c r="C65" s="77">
        <v>46.76</v>
      </c>
      <c r="D65" s="78" t="s">
        <v>2473</v>
      </c>
      <c r="E65" s="48">
        <v>1</v>
      </c>
      <c r="F65" s="49">
        <v>4.38</v>
      </c>
      <c r="G65" s="50" t="s">
        <v>538</v>
      </c>
      <c r="H65" s="51">
        <v>2134</v>
      </c>
      <c r="I65" s="45">
        <v>3353</v>
      </c>
      <c r="J65" s="52">
        <v>1</v>
      </c>
      <c r="K65" s="53">
        <f t="shared" si="0"/>
        <v>7.1553019999999998</v>
      </c>
      <c r="L65" s="54" t="s">
        <v>2688</v>
      </c>
    </row>
    <row r="66" spans="1:12" s="55" customFormat="1" ht="19.5" customHeight="1" x14ac:dyDescent="0.3">
      <c r="A66" s="44"/>
      <c r="B66" s="76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2440</v>
      </c>
      <c r="B67" s="76" t="s">
        <v>21</v>
      </c>
      <c r="C67" s="46">
        <v>22</v>
      </c>
      <c r="D67" s="47" t="s">
        <v>716</v>
      </c>
      <c r="E67" s="48">
        <v>3</v>
      </c>
      <c r="F67" s="49">
        <f>12.16/16*3</f>
        <v>2.2800000000000002</v>
      </c>
      <c r="G67" s="50" t="s">
        <v>80</v>
      </c>
      <c r="H67" s="51"/>
      <c r="I67" s="45"/>
      <c r="J67" s="52"/>
      <c r="K67" s="53">
        <f t="shared" si="0"/>
        <v>0</v>
      </c>
      <c r="L67" s="54" t="s">
        <v>2689</v>
      </c>
    </row>
    <row r="68" spans="1:12" s="55" customFormat="1" ht="19.5" customHeight="1" x14ac:dyDescent="0.3">
      <c r="A68" s="44"/>
      <c r="B68" s="76"/>
      <c r="C68" s="77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2690</v>
      </c>
      <c r="B69" s="76" t="s">
        <v>21</v>
      </c>
      <c r="C69" s="46">
        <v>22</v>
      </c>
      <c r="D69" s="47" t="s">
        <v>677</v>
      </c>
      <c r="E69" s="48">
        <v>1</v>
      </c>
      <c r="F69" s="49">
        <f>8.94/5</f>
        <v>1.7879999999999998</v>
      </c>
      <c r="G69" s="50" t="s">
        <v>538</v>
      </c>
      <c r="H69" s="51"/>
      <c r="I69" s="45"/>
      <c r="J69" s="52"/>
      <c r="K69" s="53">
        <f t="shared" si="0"/>
        <v>0</v>
      </c>
      <c r="L69" s="54" t="s">
        <v>2689</v>
      </c>
    </row>
    <row r="70" spans="1:12" s="55" customFormat="1" ht="19.5" customHeight="1" x14ac:dyDescent="0.3">
      <c r="A70" s="44"/>
      <c r="B70" s="76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2691</v>
      </c>
      <c r="B71" s="76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 t="s">
        <v>2700</v>
      </c>
      <c r="B72" s="76" t="s">
        <v>2701</v>
      </c>
      <c r="C72" s="77">
        <v>22</v>
      </c>
      <c r="D72" s="78" t="s">
        <v>2694</v>
      </c>
      <c r="E72" s="48">
        <v>208</v>
      </c>
      <c r="F72" s="49">
        <v>170.12</v>
      </c>
      <c r="G72" s="50" t="s">
        <v>2697</v>
      </c>
      <c r="H72" s="51">
        <v>1981</v>
      </c>
      <c r="I72" s="45">
        <v>3048</v>
      </c>
      <c r="J72" s="52">
        <v>31</v>
      </c>
      <c r="K72" s="53">
        <f t="shared" si="0"/>
        <v>187.18072800000004</v>
      </c>
      <c r="L72" s="54"/>
    </row>
    <row r="73" spans="1:12" s="55" customFormat="1" ht="19.5" customHeight="1" x14ac:dyDescent="0.3">
      <c r="A73" s="44"/>
      <c r="B73" s="76"/>
      <c r="C73" s="77"/>
      <c r="D73" s="78"/>
      <c r="E73" s="48"/>
      <c r="F73" s="49"/>
      <c r="G73" s="50" t="s">
        <v>2683</v>
      </c>
      <c r="H73" s="51">
        <v>1981</v>
      </c>
      <c r="I73" s="45">
        <v>3048</v>
      </c>
      <c r="J73" s="52">
        <v>31</v>
      </c>
      <c r="K73" s="53">
        <f t="shared" si="0"/>
        <v>187.18072800000004</v>
      </c>
      <c r="L73" s="54"/>
    </row>
    <row r="74" spans="1:12" s="55" customFormat="1" ht="19.5" customHeight="1" x14ac:dyDescent="0.3">
      <c r="A74" s="44"/>
      <c r="B74" s="76"/>
      <c r="C74" s="77"/>
      <c r="D74" s="78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76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76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76"/>
      <c r="C77" s="77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/>
      <c r="B78" s="76"/>
      <c r="C78" s="77"/>
      <c r="D78" s="78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76"/>
      <c r="C79" s="46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/>
      <c r="B80" s="76"/>
      <c r="C80" s="46"/>
      <c r="D80" s="47"/>
      <c r="E80" s="48"/>
      <c r="F80" s="49"/>
      <c r="G80" s="50"/>
      <c r="H80" s="51"/>
      <c r="I80" s="51"/>
      <c r="J80" s="45"/>
      <c r="K80" s="53">
        <f t="shared" si="0"/>
        <v>0</v>
      </c>
      <c r="L80" s="54"/>
    </row>
    <row r="81" spans="1:12" s="55" customFormat="1" ht="19.5" customHeight="1" x14ac:dyDescent="0.3">
      <c r="A81" s="44"/>
      <c r="B81" s="76"/>
      <c r="C81" s="77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76"/>
      <c r="C82" s="77"/>
      <c r="D82" s="78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5" customFormat="1" ht="19.5" customHeight="1" x14ac:dyDescent="0.3">
      <c r="A83" s="44"/>
      <c r="B83" s="76"/>
      <c r="C83" s="46"/>
      <c r="D83" s="47"/>
      <c r="E83" s="48"/>
      <c r="F83" s="49"/>
      <c r="G83" s="50"/>
      <c r="H83" s="51"/>
      <c r="I83" s="45"/>
      <c r="J83" s="52"/>
      <c r="K83" s="53">
        <f t="shared" si="0"/>
        <v>0</v>
      </c>
      <c r="L83" s="54"/>
    </row>
    <row r="84" spans="1:12" s="55" customFormat="1" ht="19.5" customHeight="1" x14ac:dyDescent="0.3">
      <c r="A84" s="44"/>
      <c r="B84" s="76"/>
      <c r="C84" s="77"/>
      <c r="D84" s="78"/>
      <c r="E84" s="48"/>
      <c r="F84" s="49"/>
      <c r="G84" s="50"/>
      <c r="H84" s="51"/>
      <c r="I84" s="45"/>
      <c r="J84" s="52"/>
      <c r="K84" s="53">
        <f t="shared" si="0"/>
        <v>0</v>
      </c>
      <c r="L84" s="54"/>
    </row>
    <row r="85" spans="1:12" s="55" customFormat="1" ht="19.5" customHeight="1" x14ac:dyDescent="0.3">
      <c r="A85" s="44"/>
      <c r="B85" s="76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5" customFormat="1" ht="19.5" customHeight="1" x14ac:dyDescent="0.3">
      <c r="A86" s="44"/>
      <c r="B86" s="76"/>
      <c r="C86" s="46"/>
      <c r="D86" s="47"/>
      <c r="E86" s="48"/>
      <c r="F86" s="49"/>
      <c r="G86" s="50"/>
      <c r="H86" s="51"/>
      <c r="I86" s="45"/>
      <c r="J86" s="52"/>
      <c r="K86" s="53">
        <f t="shared" si="0"/>
        <v>0</v>
      </c>
      <c r="L86" s="54"/>
    </row>
    <row r="87" spans="1:12" s="55" customFormat="1" ht="19.5" customHeight="1" x14ac:dyDescent="0.3">
      <c r="A87" s="44"/>
      <c r="B87" s="45"/>
      <c r="C87" s="46"/>
      <c r="D87" s="47"/>
      <c r="E87" s="48"/>
      <c r="F87" s="49"/>
      <c r="G87" s="50"/>
      <c r="H87" s="51"/>
      <c r="I87" s="45"/>
      <c r="J87" s="52"/>
      <c r="K87" s="53">
        <f t="shared" si="0"/>
        <v>0</v>
      </c>
      <c r="L87" s="54"/>
    </row>
    <row r="88" spans="1:12" s="59" customFormat="1" ht="20.100000000000001" customHeight="1" x14ac:dyDescent="0.3">
      <c r="A88" s="44"/>
      <c r="B88" s="45"/>
      <c r="C88" s="46"/>
      <c r="D88" s="47"/>
      <c r="E88" s="56"/>
      <c r="F88" s="57"/>
      <c r="G88" s="50"/>
      <c r="H88" s="51"/>
      <c r="I88" s="45"/>
      <c r="J88" s="52"/>
      <c r="K88" s="53">
        <f t="shared" si="0"/>
        <v>0</v>
      </c>
      <c r="L88" s="58">
        <f>SUM(J50:J89)</f>
        <v>175</v>
      </c>
    </row>
    <row r="89" spans="1:12" s="59" customFormat="1" ht="20.100000000000001" customHeight="1" x14ac:dyDescent="0.3">
      <c r="A89" s="44"/>
      <c r="B89" s="45"/>
      <c r="C89" s="46"/>
      <c r="D89" s="47"/>
      <c r="E89" s="60"/>
      <c r="F89" s="61"/>
      <c r="G89" s="62"/>
      <c r="H89" s="51"/>
      <c r="I89" s="45"/>
      <c r="J89" s="63"/>
      <c r="K89" s="53">
        <f t="shared" si="0"/>
        <v>0</v>
      </c>
      <c r="L89" s="64">
        <f>SUM(K50:K89)</f>
        <v>1159.876221</v>
      </c>
    </row>
    <row r="90" spans="1:12" s="59" customFormat="1" ht="20.100000000000001" customHeight="1" thickBot="1" x14ac:dyDescent="0.35">
      <c r="A90" s="114"/>
      <c r="B90" s="115"/>
      <c r="C90" s="115"/>
      <c r="D90" s="115"/>
      <c r="E90" s="115"/>
      <c r="F90" s="115"/>
      <c r="G90" s="115"/>
      <c r="H90" s="115"/>
      <c r="I90" s="115"/>
      <c r="J90" s="65">
        <f>SUM(J7:J89)</f>
        <v>387</v>
      </c>
      <c r="K90" s="66">
        <f>SUM(K7:K89)</f>
        <v>2569.2943640000003</v>
      </c>
      <c r="L90" s="67"/>
    </row>
    <row r="91" spans="1:12" s="59" customFormat="1" ht="20.100000000000001" customHeight="1" thickTop="1" thickBot="1" x14ac:dyDescent="0.35">
      <c r="A91" s="116" t="s">
        <v>52</v>
      </c>
      <c r="B91" s="117"/>
      <c r="C91" s="68"/>
      <c r="D91" s="118">
        <f>J90</f>
        <v>387</v>
      </c>
      <c r="E91" s="119"/>
      <c r="F91" s="119"/>
      <c r="G91" s="120"/>
      <c r="H91" s="121"/>
      <c r="I91" s="121"/>
      <c r="J91" s="122"/>
      <c r="K91" s="119"/>
      <c r="L91" s="123"/>
    </row>
    <row r="92" spans="1:12" s="59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71"/>
    </row>
    <row r="93" spans="1:12" s="59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72"/>
      <c r="F97" s="5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113"/>
      <c r="B98" s="113"/>
      <c r="C98" s="5"/>
      <c r="D98" s="5"/>
      <c r="E98" s="5"/>
      <c r="F98" s="5"/>
      <c r="G98" s="73"/>
      <c r="H98" s="5"/>
      <c r="I98" s="74"/>
      <c r="J98" s="5"/>
      <c r="K98" s="5"/>
      <c r="L98" s="5"/>
    </row>
    <row r="99" spans="1:12" s="59" customFormat="1" ht="20.100000000000001" customHeight="1" x14ac:dyDescent="0.3">
      <c r="A99" s="113"/>
      <c r="B99" s="113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113"/>
      <c r="B101" s="113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59" customFormat="1" ht="20.100000000000001" customHeight="1" x14ac:dyDescent="0.3">
      <c r="A102" s="113"/>
      <c r="B102" s="113"/>
      <c r="C102" s="5"/>
      <c r="D102" s="5"/>
      <c r="E102" s="5"/>
      <c r="F102" s="70"/>
      <c r="G102" s="5"/>
      <c r="H102" s="72"/>
      <c r="I102" s="72"/>
      <c r="J102" s="5"/>
      <c r="K102" s="5"/>
      <c r="L102" s="5"/>
    </row>
    <row r="103" spans="1:12" ht="20.100000000000001" customHeight="1" x14ac:dyDescent="0.3">
      <c r="A103" s="113"/>
      <c r="B103" s="113"/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H105" s="72"/>
      <c r="I105" s="72"/>
    </row>
    <row r="106" spans="1:12" ht="20.100000000000001" customHeight="1" x14ac:dyDescent="0.3">
      <c r="A106" s="113"/>
      <c r="B106" s="113"/>
      <c r="H106" s="72"/>
      <c r="I106" s="72"/>
    </row>
    <row r="107" spans="1:12" ht="20.100000000000001" customHeight="1" x14ac:dyDescent="0.3">
      <c r="A107" s="113"/>
      <c r="B107" s="113"/>
      <c r="H107" s="72"/>
      <c r="I107" s="72"/>
    </row>
    <row r="108" spans="1:12" ht="20.100000000000001" customHeight="1" x14ac:dyDescent="0.3">
      <c r="H108" s="72"/>
      <c r="I108" s="72"/>
    </row>
    <row r="109" spans="1:12" ht="20.100000000000001" customHeight="1" x14ac:dyDescent="0.3">
      <c r="H109" s="72"/>
      <c r="I109" s="72"/>
    </row>
    <row r="110" spans="1:12" ht="20.100000000000001" customHeight="1" x14ac:dyDescent="0.3">
      <c r="H110" s="72"/>
      <c r="I110" s="72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J111" s="5"/>
      <c r="K111" s="5"/>
      <c r="L111" s="5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75" customFormat="1" ht="20.100000000000001" customHeight="1" x14ac:dyDescent="0.3">
      <c r="A113" s="69"/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75" customFormat="1" ht="20.100000000000001" customHeight="1" x14ac:dyDescent="0.3">
      <c r="A114" s="69"/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1:12" s="75" customFormat="1" ht="19.5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s="72" customFormat="1" ht="20.100000000000001" customHeight="1" x14ac:dyDescent="0.3">
      <c r="A116" s="69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s="72" customFormat="1" ht="20.100000000000001" customHeight="1" x14ac:dyDescent="0.3">
      <c r="A117" s="69"/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ht="19.5" customHeight="1" x14ac:dyDescent="0.3"/>
    <row r="119" spans="1:12" ht="19.5" customHeight="1" x14ac:dyDescent="0.3"/>
    <row r="120" spans="1:12" ht="19.5" customHeight="1" x14ac:dyDescent="0.3"/>
    <row r="121" spans="1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ht="19.5" customHeight="1" x14ac:dyDescent="0.3"/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>
        <v>2</v>
      </c>
      <c r="C181" s="5"/>
      <c r="D181" s="5"/>
      <c r="E181" s="5"/>
      <c r="F181" s="70"/>
      <c r="G181" s="5"/>
      <c r="H181" s="5"/>
      <c r="I181" s="5"/>
      <c r="J181" s="5"/>
      <c r="K181" s="5"/>
      <c r="L181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6:B9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90:I90"/>
    <mergeCell ref="A91:B91"/>
    <mergeCell ref="D91:G91"/>
    <mergeCell ref="H91:J91"/>
    <mergeCell ref="K91:L91"/>
    <mergeCell ref="A106:B106"/>
    <mergeCell ref="A107:B107"/>
    <mergeCell ref="A97:B97"/>
    <mergeCell ref="A98:B98"/>
    <mergeCell ref="A99:B99"/>
    <mergeCell ref="A101:B101"/>
    <mergeCell ref="A102:B102"/>
    <mergeCell ref="A103:B103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L181"/>
  <sheetViews>
    <sheetView view="pageBreakPreview" topLeftCell="C79" zoomScale="85" zoomScaleSheetLayoutView="85" workbookViewId="0">
      <selection activeCell="L88" sqref="L88:L8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46121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9" si="0">(H7/1000*I7/1000)*J7</f>
        <v>0</v>
      </c>
      <c r="L7" s="26">
        <f>SUM(J7:J49)</f>
        <v>171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SUM(K7:K49)</f>
        <v>1144.0164710000001</v>
      </c>
    </row>
    <row r="9" spans="1:12" s="27" customFormat="1" ht="19.5" customHeight="1" x14ac:dyDescent="0.3">
      <c r="A9" s="16" t="s">
        <v>2617</v>
      </c>
      <c r="B9" s="16" t="s">
        <v>1819</v>
      </c>
      <c r="C9" s="17">
        <v>22</v>
      </c>
      <c r="D9" s="18" t="s">
        <v>17</v>
      </c>
      <c r="E9" s="41">
        <v>230</v>
      </c>
      <c r="F9" s="42">
        <v>345.1</v>
      </c>
      <c r="G9" s="34" t="s">
        <v>19</v>
      </c>
      <c r="H9" s="35">
        <v>1981</v>
      </c>
      <c r="I9" s="36">
        <v>3353</v>
      </c>
      <c r="J9" s="37">
        <v>55</v>
      </c>
      <c r="K9" s="38">
        <f t="shared" si="0"/>
        <v>365.32611500000002</v>
      </c>
      <c r="L9" s="39" t="s">
        <v>2639</v>
      </c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2640</v>
      </c>
      <c r="B11" s="16" t="s">
        <v>951</v>
      </c>
      <c r="C11" s="17">
        <v>16</v>
      </c>
      <c r="D11" s="18" t="s">
        <v>2641</v>
      </c>
      <c r="E11" s="81">
        <v>3</v>
      </c>
      <c r="F11" s="82">
        <v>2.23</v>
      </c>
      <c r="G11" s="34" t="s">
        <v>18</v>
      </c>
      <c r="H11" s="35">
        <v>1981</v>
      </c>
      <c r="I11" s="36">
        <v>3353</v>
      </c>
      <c r="J11" s="37">
        <v>1</v>
      </c>
      <c r="K11" s="38">
        <f t="shared" si="0"/>
        <v>6.6422930000000004</v>
      </c>
      <c r="L11" s="39" t="s">
        <v>2761</v>
      </c>
    </row>
    <row r="12" spans="1:12" s="27" customFormat="1" ht="19.5" customHeight="1" x14ac:dyDescent="0.3">
      <c r="A12" s="28"/>
      <c r="B12" s="93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2642</v>
      </c>
      <c r="B14" s="16" t="s">
        <v>1943</v>
      </c>
      <c r="C14" s="17">
        <v>22</v>
      </c>
      <c r="D14" s="18" t="s">
        <v>17</v>
      </c>
      <c r="E14" s="81">
        <v>5</v>
      </c>
      <c r="F14" s="82">
        <v>5.91</v>
      </c>
      <c r="G14" s="34" t="s">
        <v>18</v>
      </c>
      <c r="H14" s="35">
        <v>1981</v>
      </c>
      <c r="I14" s="36">
        <v>3353</v>
      </c>
      <c r="J14" s="37">
        <v>1</v>
      </c>
      <c r="K14" s="38">
        <f t="shared" si="0"/>
        <v>6.6422930000000004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17</v>
      </c>
      <c r="E15" s="81">
        <v>2</v>
      </c>
      <c r="F15" s="82">
        <v>0.56000000000000005</v>
      </c>
      <c r="G15" s="34" t="s">
        <v>62</v>
      </c>
      <c r="H15" s="35">
        <v>1981</v>
      </c>
      <c r="I15" s="36">
        <v>3353</v>
      </c>
      <c r="J15" s="37">
        <v>1</v>
      </c>
      <c r="K15" s="38">
        <f t="shared" si="0"/>
        <v>6.6422930000000004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2580</v>
      </c>
      <c r="B17" s="16" t="s">
        <v>1684</v>
      </c>
      <c r="C17" s="17">
        <v>8</v>
      </c>
      <c r="D17" s="18" t="s">
        <v>276</v>
      </c>
      <c r="E17" s="41">
        <v>1</v>
      </c>
      <c r="F17" s="42">
        <v>1.28</v>
      </c>
      <c r="G17" s="34"/>
      <c r="H17" s="35"/>
      <c r="I17" s="36"/>
      <c r="J17" s="37"/>
      <c r="K17" s="38">
        <f t="shared" si="0"/>
        <v>0</v>
      </c>
      <c r="L17" s="39" t="s">
        <v>31</v>
      </c>
    </row>
    <row r="18" spans="1:12" s="27" customFormat="1" ht="19.5" customHeight="1" x14ac:dyDescent="0.3">
      <c r="A18" s="28"/>
      <c r="B18" s="16"/>
      <c r="C18" s="17">
        <v>12</v>
      </c>
      <c r="D18" s="18" t="s">
        <v>570</v>
      </c>
      <c r="E18" s="81">
        <v>52</v>
      </c>
      <c r="F18" s="82">
        <v>41.71</v>
      </c>
      <c r="G18" s="34" t="s">
        <v>571</v>
      </c>
      <c r="H18" s="35">
        <v>2134</v>
      </c>
      <c r="I18" s="36">
        <v>3048</v>
      </c>
      <c r="J18" s="37">
        <v>4</v>
      </c>
      <c r="K18" s="38">
        <f t="shared" si="0"/>
        <v>26.017727999999998</v>
      </c>
      <c r="L18" s="39"/>
    </row>
    <row r="19" spans="1:12" s="27" customFormat="1" ht="19.5" customHeight="1" x14ac:dyDescent="0.3">
      <c r="A19" s="16"/>
      <c r="B19" s="16"/>
      <c r="C19" s="17"/>
      <c r="D19" s="18"/>
      <c r="E19" s="41"/>
      <c r="F19" s="42"/>
      <c r="G19" s="34" t="s">
        <v>571</v>
      </c>
      <c r="H19" s="35">
        <v>2743</v>
      </c>
      <c r="I19" s="36">
        <v>3353</v>
      </c>
      <c r="J19" s="37">
        <v>2</v>
      </c>
      <c r="K19" s="38">
        <f t="shared" si="0"/>
        <v>18.394558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2581</v>
      </c>
      <c r="B21" s="16" t="s">
        <v>2643</v>
      </c>
      <c r="C21" s="17">
        <v>12</v>
      </c>
      <c r="D21" s="18" t="s">
        <v>570</v>
      </c>
      <c r="E21" s="81">
        <v>24</v>
      </c>
      <c r="F21" s="82">
        <v>24.75</v>
      </c>
      <c r="G21" s="34" t="s">
        <v>571</v>
      </c>
      <c r="H21" s="35">
        <v>2134</v>
      </c>
      <c r="I21" s="36">
        <v>3048</v>
      </c>
      <c r="J21" s="37">
        <v>2</v>
      </c>
      <c r="K21" s="38">
        <f t="shared" si="0"/>
        <v>13.008863999999999</v>
      </c>
      <c r="L21" s="39"/>
    </row>
    <row r="22" spans="1:12" s="27" customFormat="1" ht="19.5" customHeight="1" x14ac:dyDescent="0.3">
      <c r="A22" s="28"/>
      <c r="B22" s="16"/>
      <c r="C22" s="17">
        <v>12</v>
      </c>
      <c r="D22" s="18" t="s">
        <v>2644</v>
      </c>
      <c r="E22" s="81">
        <v>2</v>
      </c>
      <c r="F22" s="82">
        <v>3.3</v>
      </c>
      <c r="G22" s="34" t="s">
        <v>571</v>
      </c>
      <c r="H22" s="35">
        <v>2743</v>
      </c>
      <c r="I22" s="36">
        <v>3353</v>
      </c>
      <c r="J22" s="37">
        <v>2</v>
      </c>
      <c r="K22" s="38">
        <f t="shared" si="0"/>
        <v>18.394558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81"/>
      <c r="F23" s="8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 t="s">
        <v>2645</v>
      </c>
      <c r="B24" s="93" t="s">
        <v>2646</v>
      </c>
      <c r="C24" s="17">
        <v>24</v>
      </c>
      <c r="D24" s="18" t="s">
        <v>2647</v>
      </c>
      <c r="E24" s="41">
        <v>26</v>
      </c>
      <c r="F24" s="42">
        <v>15.08</v>
      </c>
      <c r="G24" s="34" t="s">
        <v>336</v>
      </c>
      <c r="H24" s="35">
        <v>1981</v>
      </c>
      <c r="I24" s="36">
        <v>3353</v>
      </c>
      <c r="J24" s="37">
        <v>30</v>
      </c>
      <c r="K24" s="38">
        <f t="shared" si="0"/>
        <v>199.26879000000002</v>
      </c>
      <c r="L24" s="39" t="s">
        <v>2649</v>
      </c>
    </row>
    <row r="25" spans="1:12" s="27" customFormat="1" ht="19.5" customHeight="1" x14ac:dyDescent="0.3">
      <c r="A25" s="28"/>
      <c r="B25" s="16"/>
      <c r="C25" s="17">
        <v>24</v>
      </c>
      <c r="D25" s="18" t="s">
        <v>2648</v>
      </c>
      <c r="E25" s="41">
        <v>52</v>
      </c>
      <c r="F25" s="42">
        <v>82.94</v>
      </c>
      <c r="G25" s="34"/>
      <c r="H25" s="35"/>
      <c r="I25" s="36"/>
      <c r="J25" s="37"/>
      <c r="K25" s="38">
        <f t="shared" si="0"/>
        <v>0</v>
      </c>
      <c r="L25" s="39" t="s">
        <v>2649</v>
      </c>
    </row>
    <row r="26" spans="1:12" s="27" customFormat="1" ht="19.5" customHeight="1" x14ac:dyDescent="0.3">
      <c r="A26" s="28"/>
      <c r="B26" s="16"/>
      <c r="C26" s="17">
        <v>24</v>
      </c>
      <c r="D26" s="18" t="s">
        <v>2647</v>
      </c>
      <c r="E26" s="41">
        <v>15</v>
      </c>
      <c r="F26" s="42">
        <v>8.6999999999999993</v>
      </c>
      <c r="G26" s="34"/>
      <c r="H26" s="35"/>
      <c r="I26" s="36"/>
      <c r="J26" s="37"/>
      <c r="K26" s="38">
        <f t="shared" si="0"/>
        <v>0</v>
      </c>
      <c r="L26" s="39" t="s">
        <v>2649</v>
      </c>
    </row>
    <row r="27" spans="1:12" s="27" customFormat="1" ht="19.5" customHeight="1" x14ac:dyDescent="0.3">
      <c r="A27" s="28"/>
      <c r="B27" s="93"/>
      <c r="C27" s="17">
        <v>24</v>
      </c>
      <c r="D27" s="18" t="s">
        <v>2648</v>
      </c>
      <c r="E27" s="41">
        <v>30</v>
      </c>
      <c r="F27" s="42">
        <v>47.85</v>
      </c>
      <c r="G27" s="43"/>
      <c r="H27" s="35"/>
      <c r="I27" s="36"/>
      <c r="J27" s="37"/>
      <c r="K27" s="38">
        <f t="shared" si="0"/>
        <v>0</v>
      </c>
      <c r="L27" s="39" t="s">
        <v>2649</v>
      </c>
    </row>
    <row r="28" spans="1:12" s="27" customFormat="1" ht="19.5" customHeight="1" x14ac:dyDescent="0.3">
      <c r="A28" s="28"/>
      <c r="B28" s="93"/>
      <c r="C28" s="17">
        <v>24</v>
      </c>
      <c r="D28" s="18" t="s">
        <v>2647</v>
      </c>
      <c r="E28" s="41">
        <v>26</v>
      </c>
      <c r="F28" s="42">
        <v>15.08</v>
      </c>
      <c r="G28" s="34"/>
      <c r="H28" s="35"/>
      <c r="I28" s="36"/>
      <c r="J28" s="37"/>
      <c r="K28" s="38">
        <f t="shared" si="0"/>
        <v>0</v>
      </c>
      <c r="L28" s="39" t="s">
        <v>2649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 t="s">
        <v>57</v>
      </c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ref="K30:K44" si="1">(H30/1000*I30/1000)*J30</f>
        <v>0</v>
      </c>
      <c r="L30" s="39"/>
    </row>
    <row r="31" spans="1:12" s="27" customFormat="1" ht="19.5" customHeight="1" x14ac:dyDescent="0.3">
      <c r="A31" s="28" t="s">
        <v>2660</v>
      </c>
      <c r="B31" s="93" t="s">
        <v>2646</v>
      </c>
      <c r="C31" s="17">
        <v>24</v>
      </c>
      <c r="D31" s="18" t="s">
        <v>2648</v>
      </c>
      <c r="E31" s="41">
        <v>138</v>
      </c>
      <c r="F31" s="42">
        <v>186.45</v>
      </c>
      <c r="G31" s="34" t="s">
        <v>336</v>
      </c>
      <c r="H31" s="35">
        <v>1981</v>
      </c>
      <c r="I31" s="36">
        <v>3353</v>
      </c>
      <c r="J31" s="37">
        <v>27</v>
      </c>
      <c r="K31" s="38">
        <f t="shared" si="1"/>
        <v>179.34191100000001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 t="s">
        <v>62</v>
      </c>
      <c r="H32" s="35">
        <v>1981</v>
      </c>
      <c r="I32" s="36">
        <v>3353</v>
      </c>
      <c r="J32" s="37">
        <v>35</v>
      </c>
      <c r="K32" s="38">
        <f t="shared" si="1"/>
        <v>232.48025500000003</v>
      </c>
      <c r="L32" s="39"/>
    </row>
    <row r="33" spans="1:12" s="27" customFormat="1" ht="19.5" customHeight="1" x14ac:dyDescent="0.3">
      <c r="A33" s="28"/>
      <c r="B33" s="93"/>
      <c r="C33" s="17"/>
      <c r="D33" s="18"/>
      <c r="E33" s="41"/>
      <c r="F33" s="42"/>
      <c r="G33" s="34"/>
      <c r="H33" s="35"/>
      <c r="I33" s="36"/>
      <c r="J33" s="37"/>
      <c r="K33" s="38">
        <f t="shared" si="1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1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1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1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1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si="1"/>
        <v>0</v>
      </c>
      <c r="L38" s="39"/>
    </row>
    <row r="39" spans="1:12" s="27" customFormat="1" ht="19.5" customHeight="1" x14ac:dyDescent="0.3">
      <c r="A39" s="28" t="s">
        <v>2661</v>
      </c>
      <c r="B39" s="16" t="s">
        <v>2662</v>
      </c>
      <c r="C39" s="17">
        <v>22</v>
      </c>
      <c r="D39" s="18" t="s">
        <v>2663</v>
      </c>
      <c r="E39" s="41">
        <v>1</v>
      </c>
      <c r="F39" s="42">
        <v>3.23</v>
      </c>
      <c r="G39" s="34" t="s">
        <v>2664</v>
      </c>
      <c r="H39" s="35">
        <v>1981</v>
      </c>
      <c r="I39" s="36">
        <v>3353</v>
      </c>
      <c r="J39" s="37">
        <v>9</v>
      </c>
      <c r="K39" s="38">
        <f t="shared" si="1"/>
        <v>59.780637000000006</v>
      </c>
      <c r="L39" s="39" t="s">
        <v>2671</v>
      </c>
    </row>
    <row r="40" spans="1:12" s="27" customFormat="1" ht="19.5" customHeight="1" x14ac:dyDescent="0.3">
      <c r="A40" s="28" t="s">
        <v>2665</v>
      </c>
      <c r="B40" s="16" t="s">
        <v>2662</v>
      </c>
      <c r="C40" s="17">
        <v>22</v>
      </c>
      <c r="D40" s="18" t="s">
        <v>2663</v>
      </c>
      <c r="E40" s="41">
        <v>6</v>
      </c>
      <c r="F40" s="42">
        <v>14.16</v>
      </c>
      <c r="G40" s="34" t="s">
        <v>2664</v>
      </c>
      <c r="H40" s="35">
        <v>1981</v>
      </c>
      <c r="I40" s="36">
        <v>3048</v>
      </c>
      <c r="J40" s="37">
        <v>2</v>
      </c>
      <c r="K40" s="38">
        <f t="shared" si="1"/>
        <v>12.076176000000002</v>
      </c>
      <c r="L40" s="39" t="s">
        <v>2671</v>
      </c>
    </row>
    <row r="41" spans="1:12" s="27" customFormat="1" ht="19.5" customHeight="1" x14ac:dyDescent="0.3">
      <c r="A41" s="28" t="s">
        <v>2666</v>
      </c>
      <c r="B41" s="16" t="s">
        <v>2662</v>
      </c>
      <c r="C41" s="17">
        <v>22</v>
      </c>
      <c r="D41" s="18" t="s">
        <v>2663</v>
      </c>
      <c r="E41" s="41">
        <v>2</v>
      </c>
      <c r="F41" s="42">
        <v>6.46</v>
      </c>
      <c r="G41" s="34"/>
      <c r="H41" s="35"/>
      <c r="I41" s="36"/>
      <c r="J41" s="37"/>
      <c r="K41" s="38">
        <f t="shared" si="1"/>
        <v>0</v>
      </c>
      <c r="L41" s="39" t="s">
        <v>2671</v>
      </c>
    </row>
    <row r="42" spans="1:12" s="27" customFormat="1" ht="19.5" customHeight="1" x14ac:dyDescent="0.3">
      <c r="A42" s="28" t="s">
        <v>2667</v>
      </c>
      <c r="B42" s="16" t="s">
        <v>2662</v>
      </c>
      <c r="C42" s="17">
        <v>22</v>
      </c>
      <c r="D42" s="18" t="s">
        <v>2663</v>
      </c>
      <c r="E42" s="41">
        <v>6</v>
      </c>
      <c r="F42" s="42">
        <v>14.16</v>
      </c>
      <c r="G42" s="34"/>
      <c r="H42" s="35"/>
      <c r="I42" s="36"/>
      <c r="J42" s="37"/>
      <c r="K42" s="38">
        <f t="shared" si="1"/>
        <v>0</v>
      </c>
      <c r="L42" s="39" t="s">
        <v>2671</v>
      </c>
    </row>
    <row r="43" spans="1:12" s="27" customFormat="1" ht="19.5" customHeight="1" x14ac:dyDescent="0.3">
      <c r="A43" s="28" t="s">
        <v>2668</v>
      </c>
      <c r="B43" s="16" t="s">
        <v>2662</v>
      </c>
      <c r="C43" s="17">
        <v>22</v>
      </c>
      <c r="D43" s="18" t="s">
        <v>2663</v>
      </c>
      <c r="E43" s="41">
        <v>3</v>
      </c>
      <c r="F43" s="42">
        <v>9.69</v>
      </c>
      <c r="G43" s="34"/>
      <c r="H43" s="35"/>
      <c r="I43" s="36"/>
      <c r="J43" s="37"/>
      <c r="K43" s="38">
        <f t="shared" si="1"/>
        <v>0</v>
      </c>
      <c r="L43" s="39" t="s">
        <v>2671</v>
      </c>
    </row>
    <row r="44" spans="1:12" s="27" customFormat="1" ht="19.5" customHeight="1" x14ac:dyDescent="0.3">
      <c r="A44" s="28" t="s">
        <v>2669</v>
      </c>
      <c r="B44" s="16" t="s">
        <v>2662</v>
      </c>
      <c r="C44" s="17">
        <v>22</v>
      </c>
      <c r="D44" s="18" t="s">
        <v>2663</v>
      </c>
      <c r="E44" s="41">
        <v>6</v>
      </c>
      <c r="F44" s="42">
        <v>14.16</v>
      </c>
      <c r="G44" s="34"/>
      <c r="H44" s="35"/>
      <c r="I44" s="36"/>
      <c r="J44" s="37"/>
      <c r="K44" s="38">
        <f t="shared" si="1"/>
        <v>0</v>
      </c>
      <c r="L44" s="39" t="s">
        <v>2671</v>
      </c>
    </row>
    <row r="45" spans="1:12" s="27" customFormat="1" ht="19.5" customHeight="1" x14ac:dyDescent="0.3">
      <c r="A45" s="28" t="s">
        <v>2670</v>
      </c>
      <c r="B45" s="16" t="s">
        <v>2662</v>
      </c>
      <c r="C45" s="17">
        <v>22</v>
      </c>
      <c r="D45" s="18" t="s">
        <v>2663</v>
      </c>
      <c r="E45" s="41">
        <v>2</v>
      </c>
      <c r="F45" s="42">
        <v>6.46</v>
      </c>
      <c r="G45" s="34"/>
      <c r="H45" s="35"/>
      <c r="I45" s="36"/>
      <c r="J45" s="37"/>
      <c r="K45" s="38">
        <f t="shared" ref="K45:K49" si="2">(H45/1000*I45/1000)*J45</f>
        <v>0</v>
      </c>
      <c r="L45" s="39" t="s">
        <v>2671</v>
      </c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/>
      <c r="H46" s="35"/>
      <c r="I46" s="36"/>
      <c r="J46" s="37"/>
      <c r="K46" s="38">
        <f t="shared" si="2"/>
        <v>0</v>
      </c>
      <c r="L46" s="39"/>
    </row>
    <row r="47" spans="1:12" s="27" customFormat="1" ht="19.5" customHeight="1" x14ac:dyDescent="0.3">
      <c r="A47" s="28"/>
      <c r="B47" s="16"/>
      <c r="C47" s="17"/>
      <c r="D47" s="18"/>
      <c r="E47" s="41"/>
      <c r="F47" s="42"/>
      <c r="G47" s="34"/>
      <c r="H47" s="35"/>
      <c r="I47" s="36"/>
      <c r="J47" s="37"/>
      <c r="K47" s="38">
        <f t="shared" si="2"/>
        <v>0</v>
      </c>
      <c r="L47" s="39"/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38">
        <f t="shared" si="2"/>
        <v>0</v>
      </c>
      <c r="L48" s="39"/>
    </row>
    <row r="49" spans="1:12" s="27" customFormat="1" ht="19.5" customHeight="1" x14ac:dyDescent="0.3">
      <c r="A49" s="28"/>
      <c r="B49" s="29"/>
      <c r="C49" s="30"/>
      <c r="D49" s="31"/>
      <c r="E49" s="41"/>
      <c r="F49" s="42"/>
      <c r="G49" s="43"/>
      <c r="H49" s="35"/>
      <c r="I49" s="36"/>
      <c r="J49" s="37"/>
      <c r="K49" s="38">
        <f t="shared" si="2"/>
        <v>0</v>
      </c>
      <c r="L49" s="39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2739</v>
      </c>
      <c r="B51" s="45" t="s">
        <v>1684</v>
      </c>
      <c r="C51" s="46">
        <v>5</v>
      </c>
      <c r="D51" s="47" t="s">
        <v>2014</v>
      </c>
      <c r="E51" s="48">
        <v>13</v>
      </c>
      <c r="F51" s="49">
        <v>5.54</v>
      </c>
      <c r="G51" s="50" t="s">
        <v>18</v>
      </c>
      <c r="H51" s="51">
        <v>1981</v>
      </c>
      <c r="I51" s="45">
        <v>3353</v>
      </c>
      <c r="J51" s="52">
        <v>1</v>
      </c>
      <c r="K51" s="53">
        <f t="shared" si="0"/>
        <v>6.6422930000000004</v>
      </c>
      <c r="L51" s="54"/>
    </row>
    <row r="52" spans="1:12" s="55" customFormat="1" ht="19.5" customHeight="1" x14ac:dyDescent="0.3">
      <c r="A52" s="44"/>
      <c r="B52" s="45"/>
      <c r="C52" s="77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2651</v>
      </c>
      <c r="B53" s="76" t="s">
        <v>25</v>
      </c>
      <c r="C53" s="77">
        <v>24</v>
      </c>
      <c r="D53" s="78" t="s">
        <v>26</v>
      </c>
      <c r="E53" s="48">
        <v>1</v>
      </c>
      <c r="F53" s="49">
        <v>2.1800000000000002</v>
      </c>
      <c r="G53" s="50"/>
      <c r="H53" s="51"/>
      <c r="I53" s="45"/>
      <c r="J53" s="52"/>
      <c r="K53" s="53">
        <f t="shared" si="0"/>
        <v>0</v>
      </c>
      <c r="L53" s="54" t="s">
        <v>31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2491</v>
      </c>
      <c r="B55" s="76" t="s">
        <v>2456</v>
      </c>
      <c r="C55" s="77">
        <v>43</v>
      </c>
      <c r="D55" s="78" t="s">
        <v>791</v>
      </c>
      <c r="E55" s="48">
        <v>7</v>
      </c>
      <c r="F55" s="49">
        <v>3.12</v>
      </c>
      <c r="G55" s="50"/>
      <c r="H55" s="51"/>
      <c r="I55" s="45"/>
      <c r="J55" s="52"/>
      <c r="K55" s="53">
        <f t="shared" si="0"/>
        <v>0</v>
      </c>
      <c r="L55" s="54" t="s">
        <v>2652</v>
      </c>
    </row>
    <row r="56" spans="1:12" s="55" customFormat="1" ht="19.5" customHeight="1" x14ac:dyDescent="0.3">
      <c r="A56" s="44"/>
      <c r="B56" s="96"/>
      <c r="C56" s="77"/>
      <c r="D56" s="78"/>
      <c r="E56" s="48"/>
      <c r="F56" s="49"/>
      <c r="G56" s="50"/>
      <c r="H56" s="51"/>
      <c r="I56" s="45"/>
      <c r="J56" s="52"/>
      <c r="K56" s="53">
        <f t="shared" si="0"/>
        <v>0</v>
      </c>
      <c r="L56" s="64"/>
    </row>
    <row r="57" spans="1:12" s="55" customFormat="1" ht="19.5" customHeight="1" x14ac:dyDescent="0.3">
      <c r="A57" s="44" t="s">
        <v>2491</v>
      </c>
      <c r="B57" s="76" t="s">
        <v>2456</v>
      </c>
      <c r="C57" s="77">
        <v>43</v>
      </c>
      <c r="D57" s="78" t="s">
        <v>791</v>
      </c>
      <c r="E57" s="48">
        <v>3</v>
      </c>
      <c r="F57" s="49">
        <f>26.88/96*3</f>
        <v>0.83999999999999986</v>
      </c>
      <c r="G57" s="50"/>
      <c r="H57" s="51"/>
      <c r="I57" s="45"/>
      <c r="J57" s="52"/>
      <c r="K57" s="53">
        <f t="shared" si="0"/>
        <v>0</v>
      </c>
      <c r="L57" s="54" t="s">
        <v>2653</v>
      </c>
    </row>
    <row r="58" spans="1:12" s="55" customFormat="1" ht="19.5" customHeight="1" x14ac:dyDescent="0.3">
      <c r="A58" s="44"/>
      <c r="B58" s="96"/>
      <c r="C58" s="77"/>
      <c r="D58" s="78"/>
      <c r="E58" s="48"/>
      <c r="F58" s="49"/>
      <c r="G58" s="50"/>
      <c r="H58" s="51"/>
      <c r="I58" s="45"/>
      <c r="J58" s="52"/>
      <c r="K58" s="53">
        <f t="shared" si="0"/>
        <v>0</v>
      </c>
      <c r="L58" s="64"/>
    </row>
    <row r="59" spans="1:12" s="55" customFormat="1" ht="19.5" customHeight="1" x14ac:dyDescent="0.3">
      <c r="A59" s="44" t="s">
        <v>2570</v>
      </c>
      <c r="B59" s="96" t="s">
        <v>187</v>
      </c>
      <c r="C59" s="77">
        <v>28</v>
      </c>
      <c r="D59" s="78" t="s">
        <v>188</v>
      </c>
      <c r="E59" s="48">
        <v>1</v>
      </c>
      <c r="F59" s="49">
        <v>1.45</v>
      </c>
      <c r="G59" s="50" t="s">
        <v>209</v>
      </c>
      <c r="H59" s="51">
        <v>2438</v>
      </c>
      <c r="I59" s="45">
        <v>3353</v>
      </c>
      <c r="J59" s="52">
        <v>4</v>
      </c>
      <c r="K59" s="53">
        <f t="shared" si="0"/>
        <v>32.698456</v>
      </c>
      <c r="L59" s="54" t="s">
        <v>2656</v>
      </c>
    </row>
    <row r="60" spans="1:12" s="55" customFormat="1" ht="19.5" customHeight="1" x14ac:dyDescent="0.3">
      <c r="A60" s="44"/>
      <c r="B60" s="96"/>
      <c r="C60" s="77">
        <v>44</v>
      </c>
      <c r="D60" s="78" t="s">
        <v>2654</v>
      </c>
      <c r="E60" s="48">
        <v>2</v>
      </c>
      <c r="F60" s="49">
        <v>3.38</v>
      </c>
      <c r="G60" s="50"/>
      <c r="H60" s="51"/>
      <c r="I60" s="45"/>
      <c r="J60" s="52"/>
      <c r="K60" s="53">
        <f t="shared" si="0"/>
        <v>0</v>
      </c>
      <c r="L60" s="54" t="s">
        <v>2657</v>
      </c>
    </row>
    <row r="61" spans="1:12" s="55" customFormat="1" ht="19.5" customHeight="1" x14ac:dyDescent="0.3">
      <c r="A61" s="44" t="s">
        <v>2655</v>
      </c>
      <c r="B61" s="96" t="s">
        <v>187</v>
      </c>
      <c r="C61" s="77">
        <v>28</v>
      </c>
      <c r="D61" s="78" t="s">
        <v>188</v>
      </c>
      <c r="E61" s="48">
        <v>12</v>
      </c>
      <c r="F61" s="49">
        <v>18.12</v>
      </c>
      <c r="G61" s="50"/>
      <c r="H61" s="51"/>
      <c r="I61" s="45"/>
      <c r="J61" s="52"/>
      <c r="K61" s="53">
        <f t="shared" si="0"/>
        <v>0</v>
      </c>
      <c r="L61" s="54" t="s">
        <v>2656</v>
      </c>
    </row>
    <row r="62" spans="1:12" s="55" customFormat="1" ht="19.5" customHeight="1" x14ac:dyDescent="0.3">
      <c r="A62" s="44"/>
      <c r="B62" s="76"/>
      <c r="C62" s="46"/>
      <c r="D62" s="78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2655</v>
      </c>
      <c r="B63" s="96" t="s">
        <v>187</v>
      </c>
      <c r="C63" s="77">
        <v>28</v>
      </c>
      <c r="D63" s="78" t="s">
        <v>188</v>
      </c>
      <c r="E63" s="48">
        <v>12</v>
      </c>
      <c r="F63" s="49">
        <v>18.12</v>
      </c>
      <c r="G63" s="50" t="s">
        <v>189</v>
      </c>
      <c r="H63" s="51">
        <v>2134</v>
      </c>
      <c r="I63" s="45">
        <v>3353</v>
      </c>
      <c r="J63" s="52">
        <v>3</v>
      </c>
      <c r="K63" s="53">
        <f t="shared" si="0"/>
        <v>21.465906</v>
      </c>
      <c r="L63" s="54" t="s">
        <v>100</v>
      </c>
    </row>
    <row r="64" spans="1:12" s="55" customFormat="1" ht="19.5" customHeight="1" x14ac:dyDescent="0.3">
      <c r="A64" s="44"/>
      <c r="B64" s="76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2658</v>
      </c>
      <c r="B65" s="76" t="s">
        <v>145</v>
      </c>
      <c r="C65" s="46">
        <v>24</v>
      </c>
      <c r="D65" s="47" t="s">
        <v>146</v>
      </c>
      <c r="E65" s="48">
        <v>10</v>
      </c>
      <c r="F65" s="49">
        <v>33.299999999999997</v>
      </c>
      <c r="G65" s="50" t="s">
        <v>49</v>
      </c>
      <c r="H65" s="51">
        <v>1981</v>
      </c>
      <c r="I65" s="45">
        <v>3353</v>
      </c>
      <c r="J65" s="52">
        <v>21</v>
      </c>
      <c r="K65" s="53">
        <f t="shared" si="0"/>
        <v>139.48815300000001</v>
      </c>
      <c r="L65" s="54"/>
    </row>
    <row r="66" spans="1:12" s="55" customFormat="1" ht="19.5" customHeight="1" x14ac:dyDescent="0.3">
      <c r="A66" s="44"/>
      <c r="B66" s="76"/>
      <c r="C66" s="46">
        <v>24</v>
      </c>
      <c r="D66" s="47" t="s">
        <v>45</v>
      </c>
      <c r="E66" s="48">
        <v>80</v>
      </c>
      <c r="F66" s="49">
        <v>81.5</v>
      </c>
      <c r="G66" s="50" t="s">
        <v>18</v>
      </c>
      <c r="H66" s="51">
        <v>1981</v>
      </c>
      <c r="I66" s="45">
        <v>3353</v>
      </c>
      <c r="J66" s="52">
        <v>18</v>
      </c>
      <c r="K66" s="53">
        <f t="shared" si="0"/>
        <v>119.56127400000001</v>
      </c>
      <c r="L66" s="54"/>
    </row>
    <row r="67" spans="1:12" s="55" customFormat="1" ht="19.5" customHeight="1" x14ac:dyDescent="0.3">
      <c r="A67" s="44"/>
      <c r="B67" s="76"/>
      <c r="C67" s="46">
        <v>24</v>
      </c>
      <c r="D67" s="47" t="s">
        <v>17</v>
      </c>
      <c r="E67" s="48">
        <v>90</v>
      </c>
      <c r="F67" s="49">
        <v>114.8</v>
      </c>
      <c r="G67" s="50" t="s">
        <v>19</v>
      </c>
      <c r="H67" s="51">
        <v>1981</v>
      </c>
      <c r="I67" s="45">
        <v>3353</v>
      </c>
      <c r="J67" s="52">
        <v>10</v>
      </c>
      <c r="K67" s="53">
        <f t="shared" si="0"/>
        <v>66.422930000000008</v>
      </c>
      <c r="L67" s="54"/>
    </row>
    <row r="68" spans="1:12" s="55" customFormat="1" ht="19.5" customHeight="1" x14ac:dyDescent="0.3">
      <c r="A68" s="44"/>
      <c r="B68" s="76"/>
      <c r="C68" s="77">
        <v>22</v>
      </c>
      <c r="D68" s="47" t="s">
        <v>45</v>
      </c>
      <c r="E68" s="48">
        <v>10</v>
      </c>
      <c r="F68" s="49">
        <v>11.7</v>
      </c>
      <c r="G68" s="50" t="s">
        <v>62</v>
      </c>
      <c r="H68" s="51">
        <v>1981</v>
      </c>
      <c r="I68" s="45">
        <v>3353</v>
      </c>
      <c r="J68" s="52">
        <v>10</v>
      </c>
      <c r="K68" s="53">
        <f t="shared" si="0"/>
        <v>66.422930000000008</v>
      </c>
      <c r="L68" s="54"/>
    </row>
    <row r="69" spans="1:12" s="55" customFormat="1" ht="19.5" customHeight="1" x14ac:dyDescent="0.3">
      <c r="A69" s="44"/>
      <c r="B69" s="76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 t="s">
        <v>2659</v>
      </c>
      <c r="B70" s="76" t="s">
        <v>145</v>
      </c>
      <c r="C70" s="46">
        <v>24</v>
      </c>
      <c r="D70" s="47" t="s">
        <v>146</v>
      </c>
      <c r="E70" s="48">
        <v>10</v>
      </c>
      <c r="F70" s="49">
        <v>31.4</v>
      </c>
      <c r="G70" s="50" t="s">
        <v>49</v>
      </c>
      <c r="H70" s="51">
        <v>1981</v>
      </c>
      <c r="I70" s="45">
        <v>3353</v>
      </c>
      <c r="J70" s="52">
        <v>5</v>
      </c>
      <c r="K70" s="53">
        <f t="shared" si="0"/>
        <v>33.211465000000004</v>
      </c>
      <c r="L70" s="54"/>
    </row>
    <row r="71" spans="1:12" s="55" customFormat="1" ht="19.5" customHeight="1" x14ac:dyDescent="0.3">
      <c r="A71" s="44"/>
      <c r="B71" s="76"/>
      <c r="C71" s="46">
        <v>24</v>
      </c>
      <c r="D71" s="47" t="s">
        <v>17</v>
      </c>
      <c r="E71" s="48">
        <v>110</v>
      </c>
      <c r="F71" s="49">
        <v>107.2</v>
      </c>
      <c r="G71" s="50" t="s">
        <v>18</v>
      </c>
      <c r="H71" s="51">
        <v>1981</v>
      </c>
      <c r="I71" s="45">
        <v>3353</v>
      </c>
      <c r="J71" s="52">
        <v>17</v>
      </c>
      <c r="K71" s="53">
        <f t="shared" si="0"/>
        <v>112.918981</v>
      </c>
      <c r="L71" s="54"/>
    </row>
    <row r="72" spans="1:12" s="55" customFormat="1" ht="19.5" customHeight="1" x14ac:dyDescent="0.3">
      <c r="A72" s="44"/>
      <c r="B72" s="76"/>
      <c r="C72" s="77"/>
      <c r="D72" s="78"/>
      <c r="E72" s="48"/>
      <c r="F72" s="49"/>
      <c r="G72" s="50" t="s">
        <v>19</v>
      </c>
      <c r="H72" s="51">
        <v>1981</v>
      </c>
      <c r="I72" s="45">
        <v>3353</v>
      </c>
      <c r="J72" s="52">
        <v>17</v>
      </c>
      <c r="K72" s="53">
        <f t="shared" si="0"/>
        <v>112.918981</v>
      </c>
      <c r="L72" s="54"/>
    </row>
    <row r="73" spans="1:12" s="55" customFormat="1" ht="19.5" customHeight="1" x14ac:dyDescent="0.3">
      <c r="A73" s="44"/>
      <c r="B73" s="76"/>
      <c r="C73" s="77"/>
      <c r="D73" s="78"/>
      <c r="E73" s="48"/>
      <c r="F73" s="49"/>
      <c r="G73" s="50" t="s">
        <v>62</v>
      </c>
      <c r="H73" s="51">
        <v>1981</v>
      </c>
      <c r="I73" s="45">
        <v>3353</v>
      </c>
      <c r="J73" s="52">
        <v>5</v>
      </c>
      <c r="K73" s="53">
        <f t="shared" si="0"/>
        <v>33.211465000000004</v>
      </c>
      <c r="L73" s="54"/>
    </row>
    <row r="74" spans="1:12" s="55" customFormat="1" ht="19.5" customHeight="1" x14ac:dyDescent="0.3">
      <c r="A74" s="44"/>
      <c r="B74" s="76"/>
      <c r="C74" s="77"/>
      <c r="D74" s="78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 t="s">
        <v>57</v>
      </c>
      <c r="B75" s="76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 t="s">
        <v>2672</v>
      </c>
      <c r="B76" s="76" t="s">
        <v>145</v>
      </c>
      <c r="C76" s="46">
        <v>24</v>
      </c>
      <c r="D76" s="47" t="s">
        <v>45</v>
      </c>
      <c r="E76" s="48">
        <v>100</v>
      </c>
      <c r="F76" s="49">
        <v>75.8</v>
      </c>
      <c r="G76" s="50" t="s">
        <v>2673</v>
      </c>
      <c r="H76" s="51">
        <v>1981</v>
      </c>
      <c r="I76" s="45">
        <v>3353</v>
      </c>
      <c r="J76" s="52">
        <v>14</v>
      </c>
      <c r="K76" s="53">
        <f t="shared" si="0"/>
        <v>92.992102000000003</v>
      </c>
      <c r="L76" s="54"/>
    </row>
    <row r="77" spans="1:12" s="55" customFormat="1" ht="19.5" customHeight="1" x14ac:dyDescent="0.3">
      <c r="A77" s="44"/>
      <c r="B77" s="76"/>
      <c r="C77" s="77">
        <v>22</v>
      </c>
      <c r="D77" s="47" t="s">
        <v>45</v>
      </c>
      <c r="E77" s="48">
        <v>10</v>
      </c>
      <c r="F77" s="49">
        <v>11.7</v>
      </c>
      <c r="G77" s="50" t="s">
        <v>19</v>
      </c>
      <c r="H77" s="51">
        <v>1981</v>
      </c>
      <c r="I77" s="45">
        <v>3353</v>
      </c>
      <c r="J77" s="52">
        <v>14</v>
      </c>
      <c r="K77" s="53">
        <f t="shared" ref="K77:K82" si="3">(H77/1000*I77/1000)*J77</f>
        <v>92.992102000000003</v>
      </c>
      <c r="L77" s="54"/>
    </row>
    <row r="78" spans="1:12" s="55" customFormat="1" ht="19.5" customHeight="1" x14ac:dyDescent="0.3">
      <c r="A78" s="44"/>
      <c r="B78" s="76"/>
      <c r="C78" s="77"/>
      <c r="D78" s="78"/>
      <c r="E78" s="48"/>
      <c r="F78" s="49"/>
      <c r="G78" s="50"/>
      <c r="H78" s="51"/>
      <c r="I78" s="45"/>
      <c r="J78" s="52"/>
      <c r="K78" s="53">
        <f t="shared" si="3"/>
        <v>0</v>
      </c>
      <c r="L78" s="54"/>
    </row>
    <row r="79" spans="1:12" s="55" customFormat="1" ht="19.5" customHeight="1" x14ac:dyDescent="0.3">
      <c r="A79" s="44" t="s">
        <v>2674</v>
      </c>
      <c r="B79" s="76" t="s">
        <v>145</v>
      </c>
      <c r="C79" s="46">
        <v>24</v>
      </c>
      <c r="D79" s="47" t="s">
        <v>146</v>
      </c>
      <c r="E79" s="48">
        <v>10</v>
      </c>
      <c r="F79" s="49">
        <v>33.299999999999997</v>
      </c>
      <c r="G79" s="50" t="s">
        <v>49</v>
      </c>
      <c r="H79" s="51">
        <v>1981</v>
      </c>
      <c r="I79" s="45">
        <v>3353</v>
      </c>
      <c r="J79" s="52">
        <v>23</v>
      </c>
      <c r="K79" s="53">
        <f t="shared" si="3"/>
        <v>152.772739</v>
      </c>
      <c r="L79" s="54"/>
    </row>
    <row r="80" spans="1:12" s="55" customFormat="1" ht="19.5" customHeight="1" x14ac:dyDescent="0.3">
      <c r="A80" s="44"/>
      <c r="B80" s="76"/>
      <c r="C80" s="46">
        <v>24</v>
      </c>
      <c r="D80" s="47" t="s">
        <v>45</v>
      </c>
      <c r="E80" s="48">
        <v>80</v>
      </c>
      <c r="F80" s="49">
        <v>81.5</v>
      </c>
      <c r="G80" s="50" t="s">
        <v>19</v>
      </c>
      <c r="H80" s="51">
        <v>1981</v>
      </c>
      <c r="I80" s="51">
        <v>3353</v>
      </c>
      <c r="J80" s="45">
        <v>12</v>
      </c>
      <c r="K80" s="53">
        <f t="shared" si="3"/>
        <v>79.707515999999998</v>
      </c>
      <c r="L80" s="54"/>
    </row>
    <row r="81" spans="1:12" s="55" customFormat="1" ht="19.5" customHeight="1" x14ac:dyDescent="0.3">
      <c r="A81" s="44"/>
      <c r="B81" s="76"/>
      <c r="C81" s="77">
        <v>22</v>
      </c>
      <c r="D81" s="47" t="s">
        <v>45</v>
      </c>
      <c r="E81" s="48">
        <v>20</v>
      </c>
      <c r="F81" s="49">
        <v>23</v>
      </c>
      <c r="G81" s="50" t="s">
        <v>62</v>
      </c>
      <c r="H81" s="51">
        <v>1981</v>
      </c>
      <c r="I81" s="45">
        <v>3353</v>
      </c>
      <c r="J81" s="52">
        <v>10</v>
      </c>
      <c r="K81" s="53">
        <f t="shared" si="3"/>
        <v>66.422930000000008</v>
      </c>
      <c r="L81" s="54"/>
    </row>
    <row r="82" spans="1:12" s="55" customFormat="1" ht="19.5" customHeight="1" x14ac:dyDescent="0.3">
      <c r="A82" s="44"/>
      <c r="B82" s="76"/>
      <c r="C82" s="77"/>
      <c r="D82" s="78"/>
      <c r="E82" s="48"/>
      <c r="F82" s="49"/>
      <c r="G82" s="50"/>
      <c r="H82" s="51"/>
      <c r="I82" s="45"/>
      <c r="J82" s="52"/>
      <c r="K82" s="53">
        <f t="shared" si="3"/>
        <v>0</v>
      </c>
      <c r="L82" s="54"/>
    </row>
    <row r="83" spans="1:12" s="55" customFormat="1" ht="19.5" customHeight="1" x14ac:dyDescent="0.3">
      <c r="A83" s="44" t="s">
        <v>2675</v>
      </c>
      <c r="B83" s="76" t="s">
        <v>145</v>
      </c>
      <c r="C83" s="46">
        <v>24</v>
      </c>
      <c r="D83" s="47" t="s">
        <v>146</v>
      </c>
      <c r="E83" s="48">
        <v>10</v>
      </c>
      <c r="F83" s="49">
        <v>31.4</v>
      </c>
      <c r="G83" s="50" t="s">
        <v>49</v>
      </c>
      <c r="H83" s="51">
        <v>1981</v>
      </c>
      <c r="I83" s="45">
        <v>3353</v>
      </c>
      <c r="J83" s="52">
        <v>5</v>
      </c>
      <c r="K83" s="53">
        <f t="shared" si="0"/>
        <v>33.211465000000004</v>
      </c>
      <c r="L83" s="54"/>
    </row>
    <row r="84" spans="1:12" s="55" customFormat="1" ht="19.5" customHeight="1" x14ac:dyDescent="0.3">
      <c r="A84" s="44"/>
      <c r="B84" s="76"/>
      <c r="C84" s="77"/>
      <c r="D84" s="78"/>
      <c r="E84" s="48"/>
      <c r="F84" s="49"/>
      <c r="G84" s="50" t="s">
        <v>62</v>
      </c>
      <c r="H84" s="51">
        <v>1981</v>
      </c>
      <c r="I84" s="45">
        <v>3353</v>
      </c>
      <c r="J84" s="52">
        <v>5</v>
      </c>
      <c r="K84" s="53">
        <f t="shared" si="0"/>
        <v>33.211465000000004</v>
      </c>
      <c r="L84" s="54"/>
    </row>
    <row r="85" spans="1:12" s="55" customFormat="1" ht="19.5" customHeight="1" x14ac:dyDescent="0.3">
      <c r="A85" s="44"/>
      <c r="B85" s="76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5" customFormat="1" ht="19.5" customHeight="1" x14ac:dyDescent="0.3">
      <c r="A86" s="44"/>
      <c r="B86" s="76"/>
      <c r="C86" s="46"/>
      <c r="D86" s="47"/>
      <c r="E86" s="48"/>
      <c r="F86" s="49"/>
      <c r="G86" s="50"/>
      <c r="H86" s="51"/>
      <c r="I86" s="45"/>
      <c r="J86" s="52"/>
      <c r="K86" s="53">
        <f t="shared" si="0"/>
        <v>0</v>
      </c>
      <c r="L86" s="54"/>
    </row>
    <row r="87" spans="1:12" s="55" customFormat="1" ht="19.5" customHeight="1" x14ac:dyDescent="0.3">
      <c r="A87" s="44"/>
      <c r="B87" s="45"/>
      <c r="C87" s="46"/>
      <c r="D87" s="47"/>
      <c r="E87" s="48"/>
      <c r="F87" s="49"/>
      <c r="G87" s="50"/>
      <c r="H87" s="51"/>
      <c r="I87" s="45"/>
      <c r="J87" s="52"/>
      <c r="K87" s="53">
        <f t="shared" si="0"/>
        <v>0</v>
      </c>
      <c r="L87" s="54"/>
    </row>
    <row r="88" spans="1:12" s="59" customFormat="1" ht="20.100000000000001" customHeight="1" x14ac:dyDescent="0.3">
      <c r="A88" s="44"/>
      <c r="B88" s="45"/>
      <c r="C88" s="46"/>
      <c r="D88" s="47"/>
      <c r="E88" s="56"/>
      <c r="F88" s="57"/>
      <c r="G88" s="50"/>
      <c r="H88" s="51"/>
      <c r="I88" s="45"/>
      <c r="J88" s="52"/>
      <c r="K88" s="53">
        <f t="shared" si="0"/>
        <v>0</v>
      </c>
      <c r="L88" s="58">
        <f>SUM(J50:J89)</f>
        <v>194</v>
      </c>
    </row>
    <row r="89" spans="1:12" s="59" customFormat="1" ht="20.100000000000001" customHeight="1" x14ac:dyDescent="0.3">
      <c r="A89" s="44"/>
      <c r="B89" s="45"/>
      <c r="C89" s="46"/>
      <c r="D89" s="47"/>
      <c r="E89" s="60"/>
      <c r="F89" s="61"/>
      <c r="G89" s="62"/>
      <c r="H89" s="51"/>
      <c r="I89" s="45"/>
      <c r="J89" s="63"/>
      <c r="K89" s="53">
        <f t="shared" si="0"/>
        <v>0</v>
      </c>
      <c r="L89" s="64">
        <f>SUM(K50:K89)</f>
        <v>1296.2731530000003</v>
      </c>
    </row>
    <row r="90" spans="1:12" s="59" customFormat="1" ht="20.100000000000001" customHeight="1" thickBot="1" x14ac:dyDescent="0.35">
      <c r="A90" s="114"/>
      <c r="B90" s="115"/>
      <c r="C90" s="115"/>
      <c r="D90" s="115"/>
      <c r="E90" s="115"/>
      <c r="F90" s="115"/>
      <c r="G90" s="115"/>
      <c r="H90" s="115"/>
      <c r="I90" s="115"/>
      <c r="J90" s="65">
        <f>SUM(J7:J89)</f>
        <v>365</v>
      </c>
      <c r="K90" s="66">
        <f>SUM(K7:K89)</f>
        <v>2440.289624</v>
      </c>
      <c r="L90" s="67"/>
    </row>
    <row r="91" spans="1:12" s="59" customFormat="1" ht="20.100000000000001" customHeight="1" thickTop="1" thickBot="1" x14ac:dyDescent="0.35">
      <c r="A91" s="116" t="s">
        <v>52</v>
      </c>
      <c r="B91" s="117"/>
      <c r="C91" s="68"/>
      <c r="D91" s="118">
        <f>J90</f>
        <v>365</v>
      </c>
      <c r="E91" s="119"/>
      <c r="F91" s="119"/>
      <c r="G91" s="120"/>
      <c r="H91" s="121"/>
      <c r="I91" s="121"/>
      <c r="J91" s="122"/>
      <c r="K91" s="119"/>
      <c r="L91" s="123"/>
    </row>
    <row r="92" spans="1:12" s="59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71"/>
    </row>
    <row r="93" spans="1:12" s="59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72"/>
      <c r="F97" s="5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113"/>
      <c r="B98" s="113"/>
      <c r="C98" s="5"/>
      <c r="D98" s="5"/>
      <c r="E98" s="5"/>
      <c r="F98" s="5"/>
      <c r="G98" s="73"/>
      <c r="H98" s="5"/>
      <c r="I98" s="74"/>
      <c r="J98" s="5"/>
      <c r="K98" s="5"/>
      <c r="L98" s="5"/>
    </row>
    <row r="99" spans="1:12" s="59" customFormat="1" ht="20.100000000000001" customHeight="1" x14ac:dyDescent="0.3">
      <c r="A99" s="113"/>
      <c r="B99" s="113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113"/>
      <c r="B101" s="113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59" customFormat="1" ht="20.100000000000001" customHeight="1" x14ac:dyDescent="0.3">
      <c r="A102" s="113"/>
      <c r="B102" s="113"/>
      <c r="C102" s="5"/>
      <c r="D102" s="5"/>
      <c r="E102" s="5"/>
      <c r="F102" s="70"/>
      <c r="G102" s="5"/>
      <c r="H102" s="72"/>
      <c r="I102" s="72"/>
      <c r="J102" s="5"/>
      <c r="K102" s="5"/>
      <c r="L102" s="5"/>
    </row>
    <row r="103" spans="1:12" ht="20.100000000000001" customHeight="1" x14ac:dyDescent="0.3">
      <c r="A103" s="113"/>
      <c r="B103" s="113"/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H105" s="72"/>
      <c r="I105" s="72"/>
    </row>
    <row r="106" spans="1:12" ht="20.100000000000001" customHeight="1" x14ac:dyDescent="0.3">
      <c r="A106" s="113"/>
      <c r="B106" s="113"/>
      <c r="H106" s="72"/>
      <c r="I106" s="72"/>
    </row>
    <row r="107" spans="1:12" ht="20.100000000000001" customHeight="1" x14ac:dyDescent="0.3">
      <c r="A107" s="113"/>
      <c r="B107" s="113"/>
      <c r="H107" s="72"/>
      <c r="I107" s="72"/>
    </row>
    <row r="108" spans="1:12" ht="20.100000000000001" customHeight="1" x14ac:dyDescent="0.3">
      <c r="H108" s="72"/>
      <c r="I108" s="72"/>
    </row>
    <row r="109" spans="1:12" ht="20.100000000000001" customHeight="1" x14ac:dyDescent="0.3">
      <c r="H109" s="72"/>
      <c r="I109" s="72"/>
    </row>
    <row r="110" spans="1:12" ht="20.100000000000001" customHeight="1" x14ac:dyDescent="0.3">
      <c r="H110" s="72"/>
      <c r="I110" s="72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J111" s="5"/>
      <c r="K111" s="5"/>
      <c r="L111" s="5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75" customFormat="1" ht="20.100000000000001" customHeight="1" x14ac:dyDescent="0.3">
      <c r="A113" s="69"/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s="75" customFormat="1" ht="20.100000000000001" customHeight="1" x14ac:dyDescent="0.3">
      <c r="A114" s="69"/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1:12" s="75" customFormat="1" ht="19.5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s="72" customFormat="1" ht="20.100000000000001" customHeight="1" x14ac:dyDescent="0.3">
      <c r="A116" s="69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s="72" customFormat="1" ht="20.100000000000001" customHeight="1" x14ac:dyDescent="0.3">
      <c r="A117" s="69"/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ht="19.5" customHeight="1" x14ac:dyDescent="0.3"/>
    <row r="119" spans="1:12" ht="19.5" customHeight="1" x14ac:dyDescent="0.3"/>
    <row r="120" spans="1:12" ht="19.5" customHeight="1" x14ac:dyDescent="0.3"/>
    <row r="121" spans="1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ht="19.5" customHeight="1" x14ac:dyDescent="0.3"/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>
        <v>2</v>
      </c>
      <c r="C181" s="5"/>
      <c r="D181" s="5"/>
      <c r="E181" s="5"/>
      <c r="F181" s="70"/>
      <c r="G181" s="5"/>
      <c r="H181" s="5"/>
      <c r="I181" s="5"/>
      <c r="J181" s="5"/>
      <c r="K181" s="5"/>
      <c r="L181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6:B9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90:I90"/>
    <mergeCell ref="A91:B91"/>
    <mergeCell ref="D91:G91"/>
    <mergeCell ref="H91:J91"/>
    <mergeCell ref="K91:L91"/>
    <mergeCell ref="A106:B106"/>
    <mergeCell ref="A107:B107"/>
    <mergeCell ref="A97:B97"/>
    <mergeCell ref="A98:B98"/>
    <mergeCell ref="A99:B99"/>
    <mergeCell ref="A101:B101"/>
    <mergeCell ref="A102:B102"/>
    <mergeCell ref="A103:B103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L158"/>
  <sheetViews>
    <sheetView view="pageBreakPreview" topLeftCell="F43" zoomScale="85" zoomScaleSheetLayoutView="85" workbookViewId="0">
      <selection activeCell="L65" sqref="L65:L66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46120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6" si="0">(H7/1000*I7/1000)*J7</f>
        <v>0</v>
      </c>
      <c r="L7" s="26">
        <f>SUM(J7:J31)</f>
        <v>321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SUM(K7:K31)</f>
        <v>2041.5453030000003</v>
      </c>
    </row>
    <row r="9" spans="1:12" s="27" customFormat="1" ht="19.5" customHeight="1" x14ac:dyDescent="0.3">
      <c r="A9" s="28" t="s">
        <v>2574</v>
      </c>
      <c r="B9" s="16" t="s">
        <v>2614</v>
      </c>
      <c r="C9" s="17">
        <v>22</v>
      </c>
      <c r="D9" s="18" t="s">
        <v>2615</v>
      </c>
      <c r="E9" s="81">
        <f>528-200-140</f>
        <v>188</v>
      </c>
      <c r="F9" s="82">
        <f>976.08-486.4-212.8</f>
        <v>276.88000000000005</v>
      </c>
      <c r="G9" s="34" t="s">
        <v>2616</v>
      </c>
      <c r="H9" s="35">
        <v>1981</v>
      </c>
      <c r="I9" s="36">
        <v>3353</v>
      </c>
      <c r="J9" s="37">
        <v>6</v>
      </c>
      <c r="K9" s="38">
        <f t="shared" ref="K9:K12" si="1">(H9/1000*I9/1000)*J9</f>
        <v>39.853757999999999</v>
      </c>
      <c r="L9" s="39" t="s">
        <v>106</v>
      </c>
    </row>
    <row r="10" spans="1:12" s="27" customFormat="1" ht="19.5" customHeight="1" x14ac:dyDescent="0.3">
      <c r="A10" s="28"/>
      <c r="B10" s="93"/>
      <c r="C10" s="17"/>
      <c r="D10" s="18"/>
      <c r="E10" s="41"/>
      <c r="F10" s="42"/>
      <c r="G10" s="34" t="s">
        <v>2616</v>
      </c>
      <c r="H10" s="35">
        <v>1981</v>
      </c>
      <c r="I10" s="36">
        <v>3048</v>
      </c>
      <c r="J10" s="37">
        <v>43</v>
      </c>
      <c r="K10" s="38">
        <f t="shared" si="1"/>
        <v>259.63778400000007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81"/>
      <c r="F11" s="82"/>
      <c r="G11" s="34"/>
      <c r="H11" s="35"/>
      <c r="I11" s="36"/>
      <c r="J11" s="37"/>
      <c r="K11" s="38">
        <f t="shared" si="1"/>
        <v>0</v>
      </c>
      <c r="L11" s="39"/>
    </row>
    <row r="12" spans="1:12" s="27" customFormat="1" ht="19.5" customHeight="1" x14ac:dyDescent="0.3">
      <c r="A12" s="28"/>
      <c r="B12" s="93"/>
      <c r="C12" s="17">
        <v>22</v>
      </c>
      <c r="D12" s="18" t="s">
        <v>2615</v>
      </c>
      <c r="E12" s="41">
        <f>528-120-252</f>
        <v>156</v>
      </c>
      <c r="F12" s="42">
        <f>976.08-366-378</f>
        <v>232.08000000000004</v>
      </c>
      <c r="G12" s="34" t="s">
        <v>18</v>
      </c>
      <c r="H12" s="35">
        <v>1981</v>
      </c>
      <c r="I12" s="36">
        <v>3048</v>
      </c>
      <c r="J12" s="37">
        <v>42</v>
      </c>
      <c r="K12" s="38">
        <f t="shared" si="1"/>
        <v>253.59969600000005</v>
      </c>
      <c r="L12" s="39" t="s">
        <v>100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81"/>
      <c r="F14" s="8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2617</v>
      </c>
      <c r="B15" s="16" t="s">
        <v>2614</v>
      </c>
      <c r="C15" s="17">
        <v>22</v>
      </c>
      <c r="D15" s="18" t="s">
        <v>2615</v>
      </c>
      <c r="E15" s="81">
        <v>460</v>
      </c>
      <c r="F15" s="82">
        <v>860.6</v>
      </c>
      <c r="G15" s="34" t="s">
        <v>18</v>
      </c>
      <c r="H15" s="35">
        <v>1981</v>
      </c>
      <c r="I15" s="36">
        <v>3353</v>
      </c>
      <c r="J15" s="37">
        <v>110</v>
      </c>
      <c r="K15" s="38">
        <f t="shared" ref="K15:K17" si="2">(H15/1000*I15/1000)*J15</f>
        <v>730.65223000000003</v>
      </c>
      <c r="L15" s="39" t="s">
        <v>100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18</v>
      </c>
      <c r="H16" s="35">
        <v>1981</v>
      </c>
      <c r="I16" s="36">
        <v>3048</v>
      </c>
      <c r="J16" s="37">
        <v>33</v>
      </c>
      <c r="K16" s="38">
        <f t="shared" si="2"/>
        <v>199.25690400000002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38">
        <f t="shared" si="2"/>
        <v>0</v>
      </c>
      <c r="L17" s="39"/>
    </row>
    <row r="18" spans="1:12" s="27" customFormat="1" ht="19.5" customHeight="1" x14ac:dyDescent="0.3">
      <c r="A18" s="28" t="s">
        <v>2625</v>
      </c>
      <c r="B18" s="16"/>
      <c r="C18" s="17"/>
      <c r="D18" s="18"/>
      <c r="E18" s="81"/>
      <c r="F18" s="8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16" t="s">
        <v>2626</v>
      </c>
      <c r="B19" s="16" t="s">
        <v>1819</v>
      </c>
      <c r="C19" s="17">
        <v>22</v>
      </c>
      <c r="D19" s="18" t="s">
        <v>17</v>
      </c>
      <c r="E19" s="41">
        <v>230</v>
      </c>
      <c r="F19" s="42">
        <f>335.5+180</f>
        <v>515.5</v>
      </c>
      <c r="G19" s="34" t="s">
        <v>2627</v>
      </c>
      <c r="H19" s="35">
        <v>1981</v>
      </c>
      <c r="I19" s="36">
        <v>3048</v>
      </c>
      <c r="J19" s="37">
        <v>32</v>
      </c>
      <c r="K19" s="38">
        <f t="shared" si="0"/>
        <v>193.21881600000003</v>
      </c>
      <c r="L19" s="39" t="s">
        <v>2628</v>
      </c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 t="s">
        <v>2627</v>
      </c>
      <c r="H20" s="35">
        <v>1981</v>
      </c>
      <c r="I20" s="36">
        <v>3353</v>
      </c>
      <c r="J20" s="37">
        <v>55</v>
      </c>
      <c r="K20" s="38">
        <f t="shared" si="0"/>
        <v>365.32611500000002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81"/>
      <c r="F21" s="82"/>
      <c r="G21" s="34"/>
      <c r="H21" s="35"/>
      <c r="I21" s="36"/>
      <c r="J21" s="37"/>
      <c r="K21" s="38">
        <f t="shared" ref="K21:K23" si="3">(H21/1000*I21/1000)*J21</f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81"/>
      <c r="F22" s="82"/>
      <c r="G22" s="34"/>
      <c r="H22" s="35"/>
      <c r="I22" s="36"/>
      <c r="J22" s="37"/>
      <c r="K22" s="38">
        <f t="shared" si="3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81"/>
      <c r="F23" s="82"/>
      <c r="G23" s="34"/>
      <c r="H23" s="35"/>
      <c r="I23" s="36"/>
      <c r="J23" s="37"/>
      <c r="K23" s="38">
        <f t="shared" si="3"/>
        <v>0</v>
      </c>
      <c r="L23" s="39"/>
    </row>
    <row r="24" spans="1:12" s="27" customFormat="1" ht="19.5" customHeight="1" x14ac:dyDescent="0.3">
      <c r="A24" s="28"/>
      <c r="B24" s="93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93"/>
      <c r="C27" s="17"/>
      <c r="D27" s="18"/>
      <c r="E27" s="41"/>
      <c r="F27" s="42"/>
      <c r="G27" s="43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93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29"/>
      <c r="C31" s="30"/>
      <c r="D31" s="31"/>
      <c r="E31" s="41"/>
      <c r="F31" s="42"/>
      <c r="G31" s="43"/>
      <c r="H31" s="35"/>
      <c r="I31" s="36"/>
      <c r="J31" s="37"/>
      <c r="K31" s="38">
        <f t="shared" si="0"/>
        <v>0</v>
      </c>
      <c r="L31" s="39"/>
    </row>
    <row r="32" spans="1:12" s="55" customFormat="1" ht="19.5" customHeight="1" x14ac:dyDescent="0.3">
      <c r="A32" s="44" t="s">
        <v>2567</v>
      </c>
      <c r="B32" s="45" t="s">
        <v>2568</v>
      </c>
      <c r="C32" s="46">
        <v>43</v>
      </c>
      <c r="D32" s="47" t="s">
        <v>2569</v>
      </c>
      <c r="E32" s="48">
        <v>126</v>
      </c>
      <c r="F32" s="49">
        <v>362.25</v>
      </c>
      <c r="G32" s="50" t="s">
        <v>18</v>
      </c>
      <c r="H32" s="51">
        <v>2134</v>
      </c>
      <c r="I32" s="45">
        <v>3048</v>
      </c>
      <c r="J32" s="52">
        <v>63</v>
      </c>
      <c r="K32" s="53">
        <f t="shared" si="0"/>
        <v>409.77921599999996</v>
      </c>
      <c r="L32" s="54" t="s">
        <v>2618</v>
      </c>
    </row>
    <row r="33" spans="1:12" s="55" customFormat="1" ht="19.5" customHeight="1" x14ac:dyDescent="0.3">
      <c r="A33" s="44"/>
      <c r="B33" s="45"/>
      <c r="C33" s="46">
        <v>43</v>
      </c>
      <c r="D33" s="47" t="s">
        <v>2569</v>
      </c>
      <c r="E33" s="48">
        <v>2</v>
      </c>
      <c r="F33" s="49">
        <f>(257.67/63)*2</f>
        <v>8.18</v>
      </c>
      <c r="G33" s="50" t="s">
        <v>18</v>
      </c>
      <c r="H33" s="51">
        <v>1981</v>
      </c>
      <c r="I33" s="45">
        <v>3048</v>
      </c>
      <c r="J33" s="52">
        <v>2</v>
      </c>
      <c r="K33" s="53">
        <f t="shared" si="0"/>
        <v>12.076176000000002</v>
      </c>
      <c r="L33" s="54" t="s">
        <v>2619</v>
      </c>
    </row>
    <row r="34" spans="1:12" s="55" customFormat="1" ht="19.5" customHeight="1" x14ac:dyDescent="0.3">
      <c r="A34" s="44"/>
      <c r="B34" s="45"/>
      <c r="C34" s="77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2435</v>
      </c>
      <c r="B35" s="76" t="s">
        <v>21</v>
      </c>
      <c r="C35" s="77">
        <v>25.76</v>
      </c>
      <c r="D35" s="78" t="s">
        <v>2620</v>
      </c>
      <c r="E35" s="48">
        <v>36</v>
      </c>
      <c r="F35" s="49">
        <v>18.48</v>
      </c>
      <c r="G35" s="50" t="s">
        <v>2616</v>
      </c>
      <c r="H35" s="51">
        <v>1981</v>
      </c>
      <c r="I35" s="45">
        <v>3353</v>
      </c>
      <c r="J35" s="52">
        <v>3</v>
      </c>
      <c r="K35" s="53">
        <f t="shared" si="0"/>
        <v>19.926879</v>
      </c>
      <c r="L35" s="54" t="s">
        <v>106</v>
      </c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2436</v>
      </c>
      <c r="B37" s="76" t="s">
        <v>21</v>
      </c>
      <c r="C37" s="77">
        <v>25.76</v>
      </c>
      <c r="D37" s="78" t="s">
        <v>2620</v>
      </c>
      <c r="E37" s="48">
        <v>28</v>
      </c>
      <c r="F37" s="49">
        <v>13.36</v>
      </c>
      <c r="G37" s="50" t="s">
        <v>2616</v>
      </c>
      <c r="H37" s="51">
        <v>1981</v>
      </c>
      <c r="I37" s="45">
        <v>3353</v>
      </c>
      <c r="J37" s="52">
        <v>3</v>
      </c>
      <c r="K37" s="53">
        <f t="shared" si="0"/>
        <v>19.926879</v>
      </c>
      <c r="L37" s="54" t="s">
        <v>106</v>
      </c>
    </row>
    <row r="38" spans="1:12" s="55" customFormat="1" ht="19.5" customHeight="1" x14ac:dyDescent="0.3">
      <c r="A38" s="44"/>
      <c r="B38" s="96"/>
      <c r="C38" s="77"/>
      <c r="D38" s="78"/>
      <c r="E38" s="48"/>
      <c r="F38" s="49"/>
      <c r="G38" s="50"/>
      <c r="H38" s="51"/>
      <c r="I38" s="45"/>
      <c r="J38" s="52"/>
      <c r="K38" s="53">
        <f t="shared" si="0"/>
        <v>0</v>
      </c>
      <c r="L38" s="64"/>
    </row>
    <row r="39" spans="1:12" s="55" customFormat="1" ht="19.5" customHeight="1" x14ac:dyDescent="0.3">
      <c r="A39" s="44" t="s">
        <v>2440</v>
      </c>
      <c r="B39" s="76" t="s">
        <v>21</v>
      </c>
      <c r="C39" s="77">
        <v>25.76</v>
      </c>
      <c r="D39" s="78" t="s">
        <v>2620</v>
      </c>
      <c r="E39" s="48">
        <v>56</v>
      </c>
      <c r="F39" s="49">
        <v>33.28</v>
      </c>
      <c r="G39" s="50" t="s">
        <v>2616</v>
      </c>
      <c r="H39" s="51">
        <v>1981</v>
      </c>
      <c r="I39" s="45">
        <v>3353</v>
      </c>
      <c r="J39" s="52">
        <v>2</v>
      </c>
      <c r="K39" s="53">
        <f t="shared" si="0"/>
        <v>13.284586000000001</v>
      </c>
      <c r="L39" s="54" t="s">
        <v>106</v>
      </c>
    </row>
    <row r="40" spans="1:12" s="55" customFormat="1" ht="19.5" customHeight="1" x14ac:dyDescent="0.3">
      <c r="A40" s="44"/>
      <c r="B40" s="96"/>
      <c r="C40" s="77"/>
      <c r="D40" s="78"/>
      <c r="E40" s="48"/>
      <c r="F40" s="49"/>
      <c r="G40" s="50" t="s">
        <v>538</v>
      </c>
      <c r="H40" s="51">
        <v>1829</v>
      </c>
      <c r="I40" s="45">
        <v>3353</v>
      </c>
      <c r="J40" s="52">
        <v>5</v>
      </c>
      <c r="K40" s="53">
        <f t="shared" si="0"/>
        <v>30.663184999999999</v>
      </c>
      <c r="L40" s="64"/>
    </row>
    <row r="41" spans="1:12" s="55" customFormat="1" ht="19.5" customHeight="1" x14ac:dyDescent="0.3">
      <c r="A41" s="44"/>
      <c r="B41" s="96"/>
      <c r="C41" s="77"/>
      <c r="D41" s="78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2621</v>
      </c>
      <c r="B42" s="96" t="s">
        <v>1213</v>
      </c>
      <c r="C42" s="77">
        <v>24</v>
      </c>
      <c r="D42" s="78" t="s">
        <v>2622</v>
      </c>
      <c r="E42" s="48">
        <v>5</v>
      </c>
      <c r="F42" s="49">
        <v>16.649999999999999</v>
      </c>
      <c r="G42" s="50" t="s">
        <v>49</v>
      </c>
      <c r="H42" s="51">
        <v>1981</v>
      </c>
      <c r="I42" s="45">
        <v>3353</v>
      </c>
      <c r="J42" s="52">
        <v>20</v>
      </c>
      <c r="K42" s="53">
        <f t="shared" si="0"/>
        <v>132.84586000000002</v>
      </c>
      <c r="L42" s="64"/>
    </row>
    <row r="43" spans="1:12" s="55" customFormat="1" ht="19.5" customHeight="1" x14ac:dyDescent="0.3">
      <c r="A43" s="44"/>
      <c r="B43" s="76"/>
      <c r="C43" s="46">
        <v>24</v>
      </c>
      <c r="D43" s="78" t="s">
        <v>60</v>
      </c>
      <c r="E43" s="48">
        <v>100</v>
      </c>
      <c r="F43" s="49">
        <v>101.1</v>
      </c>
      <c r="G43" s="50" t="s">
        <v>62</v>
      </c>
      <c r="H43" s="51">
        <v>1981</v>
      </c>
      <c r="I43" s="45">
        <v>3353</v>
      </c>
      <c r="J43" s="52">
        <v>5</v>
      </c>
      <c r="K43" s="53">
        <f t="shared" si="0"/>
        <v>33.211465000000004</v>
      </c>
      <c r="L43" s="64"/>
    </row>
    <row r="44" spans="1:12" s="55" customFormat="1" ht="19.5" customHeight="1" x14ac:dyDescent="0.3">
      <c r="A44" s="44"/>
      <c r="B44" s="76"/>
      <c r="C44" s="46">
        <v>22</v>
      </c>
      <c r="D44" s="78" t="s">
        <v>60</v>
      </c>
      <c r="E44" s="48">
        <v>10</v>
      </c>
      <c r="F44" s="49">
        <v>11.3</v>
      </c>
      <c r="G44" s="50" t="s">
        <v>62</v>
      </c>
      <c r="H44" s="51">
        <v>2134</v>
      </c>
      <c r="I44" s="45">
        <v>3048</v>
      </c>
      <c r="J44" s="52">
        <v>1</v>
      </c>
      <c r="K44" s="53">
        <f t="shared" si="0"/>
        <v>6.5044319999999995</v>
      </c>
      <c r="L44" s="54"/>
    </row>
    <row r="45" spans="1:12" s="55" customFormat="1" ht="19.5" customHeight="1" x14ac:dyDescent="0.3">
      <c r="A45" s="44"/>
      <c r="B45" s="76"/>
      <c r="C45" s="46"/>
      <c r="D45" s="47"/>
      <c r="E45" s="48"/>
      <c r="F45" s="49"/>
      <c r="G45" s="50" t="s">
        <v>2616</v>
      </c>
      <c r="H45" s="51">
        <v>1981</v>
      </c>
      <c r="I45" s="45">
        <v>3353</v>
      </c>
      <c r="J45" s="52">
        <v>15</v>
      </c>
      <c r="K45" s="53">
        <f t="shared" si="0"/>
        <v>99.634395000000012</v>
      </c>
      <c r="L45" s="54"/>
    </row>
    <row r="46" spans="1:12" s="55" customFormat="1" ht="19.5" customHeight="1" x14ac:dyDescent="0.3">
      <c r="A46" s="44"/>
      <c r="B46" s="76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2623</v>
      </c>
      <c r="B47" s="76" t="s">
        <v>2624</v>
      </c>
      <c r="C47" s="46">
        <v>24</v>
      </c>
      <c r="D47" s="47" t="s">
        <v>2582</v>
      </c>
      <c r="E47" s="48">
        <v>197</v>
      </c>
      <c r="F47" s="49">
        <v>168.95</v>
      </c>
      <c r="G47" s="50" t="s">
        <v>822</v>
      </c>
      <c r="H47" s="51">
        <v>2438</v>
      </c>
      <c r="I47" s="45">
        <v>3353</v>
      </c>
      <c r="J47" s="52">
        <v>24</v>
      </c>
      <c r="K47" s="53">
        <f t="shared" si="0"/>
        <v>196.19073600000002</v>
      </c>
      <c r="L47" s="54" t="s">
        <v>2637</v>
      </c>
    </row>
    <row r="48" spans="1:12" s="55" customFormat="1" ht="19.5" customHeight="1" x14ac:dyDescent="0.3">
      <c r="A48" s="44"/>
      <c r="B48" s="76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2625</v>
      </c>
      <c r="B49" s="76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2629</v>
      </c>
      <c r="B50" s="76" t="s">
        <v>2630</v>
      </c>
      <c r="C50" s="46">
        <v>24</v>
      </c>
      <c r="D50" s="47" t="s">
        <v>2631</v>
      </c>
      <c r="E50" s="48">
        <v>5</v>
      </c>
      <c r="F50" s="49">
        <v>16.649999999999999</v>
      </c>
      <c r="G50" s="50" t="s">
        <v>2634</v>
      </c>
      <c r="H50" s="51">
        <v>1981</v>
      </c>
      <c r="I50" s="45">
        <v>3353</v>
      </c>
      <c r="J50" s="52">
        <v>20</v>
      </c>
      <c r="K50" s="53">
        <f t="shared" si="0"/>
        <v>132.84586000000002</v>
      </c>
      <c r="L50" s="54"/>
    </row>
    <row r="51" spans="1:12" s="55" customFormat="1" ht="19.5" customHeight="1" x14ac:dyDescent="0.3">
      <c r="A51" s="44"/>
      <c r="B51" s="76"/>
      <c r="C51" s="46">
        <v>24</v>
      </c>
      <c r="D51" s="47" t="s">
        <v>2632</v>
      </c>
      <c r="E51" s="48">
        <v>100</v>
      </c>
      <c r="F51" s="49">
        <v>101.1</v>
      </c>
      <c r="G51" s="50" t="s">
        <v>2635</v>
      </c>
      <c r="H51" s="51">
        <v>2590</v>
      </c>
      <c r="I51" s="45">
        <v>3353</v>
      </c>
      <c r="J51" s="52">
        <v>14</v>
      </c>
      <c r="K51" s="53">
        <f t="shared" si="0"/>
        <v>121.57977999999997</v>
      </c>
      <c r="L51" s="54"/>
    </row>
    <row r="52" spans="1:12" s="55" customFormat="1" ht="19.5" customHeight="1" x14ac:dyDescent="0.3">
      <c r="A52" s="44"/>
      <c r="B52" s="76"/>
      <c r="C52" s="46">
        <v>24</v>
      </c>
      <c r="D52" s="47" t="s">
        <v>2633</v>
      </c>
      <c r="E52" s="48">
        <v>105</v>
      </c>
      <c r="F52" s="49">
        <v>117.75</v>
      </c>
      <c r="G52" s="50" t="s">
        <v>2635</v>
      </c>
      <c r="H52" s="51">
        <v>1981</v>
      </c>
      <c r="I52" s="45">
        <v>3048</v>
      </c>
      <c r="J52" s="52">
        <v>1</v>
      </c>
      <c r="K52" s="53">
        <f t="shared" si="0"/>
        <v>6.038088000000001</v>
      </c>
      <c r="L52" s="54"/>
    </row>
    <row r="53" spans="1:12" s="55" customFormat="1" ht="19.5" customHeight="1" x14ac:dyDescent="0.3">
      <c r="A53" s="44"/>
      <c r="B53" s="76"/>
      <c r="C53" s="77">
        <v>22</v>
      </c>
      <c r="D53" s="47" t="s">
        <v>2632</v>
      </c>
      <c r="E53" s="48">
        <v>10</v>
      </c>
      <c r="F53" s="49">
        <v>11.3</v>
      </c>
      <c r="G53" s="50" t="s">
        <v>2636</v>
      </c>
      <c r="H53" s="51">
        <v>1981</v>
      </c>
      <c r="I53" s="45">
        <v>3353</v>
      </c>
      <c r="J53" s="52">
        <v>5</v>
      </c>
      <c r="K53" s="53">
        <f t="shared" si="0"/>
        <v>33.211465000000004</v>
      </c>
      <c r="L53" s="54"/>
    </row>
    <row r="54" spans="1:12" s="55" customFormat="1" ht="19.5" customHeight="1" x14ac:dyDescent="0.3">
      <c r="A54" s="44"/>
      <c r="B54" s="76"/>
      <c r="C54" s="77"/>
      <c r="D54" s="78"/>
      <c r="E54" s="48"/>
      <c r="F54" s="49"/>
      <c r="G54" s="50" t="s">
        <v>2636</v>
      </c>
      <c r="H54" s="51">
        <v>2134</v>
      </c>
      <c r="I54" s="45">
        <v>3048</v>
      </c>
      <c r="J54" s="52">
        <v>1</v>
      </c>
      <c r="K54" s="53">
        <f t="shared" si="0"/>
        <v>6.5044319999999995</v>
      </c>
      <c r="L54" s="54"/>
    </row>
    <row r="55" spans="1:12" s="55" customFormat="1" ht="19.5" customHeight="1" x14ac:dyDescent="0.3">
      <c r="A55" s="44"/>
      <c r="B55" s="76"/>
      <c r="C55" s="77"/>
      <c r="D55" s="78"/>
      <c r="E55" s="48"/>
      <c r="F55" s="49"/>
      <c r="G55" s="50" t="s">
        <v>2616</v>
      </c>
      <c r="H55" s="51">
        <v>1981</v>
      </c>
      <c r="I55" s="45">
        <v>3353</v>
      </c>
      <c r="J55" s="52">
        <v>34</v>
      </c>
      <c r="K55" s="53">
        <f t="shared" si="0"/>
        <v>225.837962</v>
      </c>
      <c r="L55" s="54"/>
    </row>
    <row r="56" spans="1:12" s="55" customFormat="1" ht="19.5" customHeight="1" x14ac:dyDescent="0.3">
      <c r="A56" s="44"/>
      <c r="B56" s="76"/>
      <c r="C56" s="77"/>
      <c r="D56" s="78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2623</v>
      </c>
      <c r="B57" s="76" t="s">
        <v>2624</v>
      </c>
      <c r="C57" s="46">
        <v>24</v>
      </c>
      <c r="D57" s="47" t="s">
        <v>2582</v>
      </c>
      <c r="E57" s="48">
        <v>161</v>
      </c>
      <c r="F57" s="49">
        <v>136.72</v>
      </c>
      <c r="G57" s="50" t="s">
        <v>2583</v>
      </c>
      <c r="H57" s="51">
        <v>1830</v>
      </c>
      <c r="I57" s="45">
        <v>3353</v>
      </c>
      <c r="J57" s="52">
        <v>25</v>
      </c>
      <c r="K57" s="53">
        <f t="shared" si="0"/>
        <v>153.39975000000001</v>
      </c>
      <c r="L57" s="54" t="s">
        <v>2638</v>
      </c>
    </row>
    <row r="58" spans="1:12" s="55" customFormat="1" ht="19.5" customHeight="1" x14ac:dyDescent="0.3">
      <c r="A58" s="44"/>
      <c r="B58" s="76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76"/>
      <c r="C59" s="77"/>
      <c r="D59" s="78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76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76"/>
      <c r="C61" s="77"/>
      <c r="D61" s="78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76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76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9" customFormat="1" ht="20.100000000000001" customHeight="1" x14ac:dyDescent="0.3">
      <c r="A65" s="44"/>
      <c r="B65" s="45"/>
      <c r="C65" s="46"/>
      <c r="D65" s="47"/>
      <c r="E65" s="56"/>
      <c r="F65" s="57"/>
      <c r="G65" s="50"/>
      <c r="H65" s="51"/>
      <c r="I65" s="45"/>
      <c r="J65" s="52"/>
      <c r="K65" s="53">
        <f t="shared" si="0"/>
        <v>0</v>
      </c>
      <c r="L65" s="58">
        <f>SUM(J32:J66)</f>
        <v>243</v>
      </c>
    </row>
    <row r="66" spans="1:12" s="59" customFormat="1" ht="20.100000000000001" customHeight="1" x14ac:dyDescent="0.3">
      <c r="A66" s="44"/>
      <c r="B66" s="45"/>
      <c r="C66" s="46"/>
      <c r="D66" s="47"/>
      <c r="E66" s="60"/>
      <c r="F66" s="61"/>
      <c r="G66" s="62"/>
      <c r="H66" s="51"/>
      <c r="I66" s="45"/>
      <c r="J66" s="63"/>
      <c r="K66" s="53">
        <f t="shared" si="0"/>
        <v>0</v>
      </c>
      <c r="L66" s="64">
        <f>SUM(K32:K66)</f>
        <v>1653.4611460000001</v>
      </c>
    </row>
    <row r="67" spans="1:12" s="59" customFormat="1" ht="20.100000000000001" customHeight="1" thickBot="1" x14ac:dyDescent="0.35">
      <c r="A67" s="114"/>
      <c r="B67" s="115"/>
      <c r="C67" s="115"/>
      <c r="D67" s="115"/>
      <c r="E67" s="115"/>
      <c r="F67" s="115"/>
      <c r="G67" s="115"/>
      <c r="H67" s="115"/>
      <c r="I67" s="115"/>
      <c r="J67" s="65">
        <f>SUM(J7:J66)</f>
        <v>564</v>
      </c>
      <c r="K67" s="66">
        <f>SUM(K7:K66)</f>
        <v>3695.0064490000004</v>
      </c>
      <c r="L67" s="67"/>
    </row>
    <row r="68" spans="1:12" s="59" customFormat="1" ht="20.100000000000001" customHeight="1" thickTop="1" thickBot="1" x14ac:dyDescent="0.35">
      <c r="A68" s="116" t="s">
        <v>52</v>
      </c>
      <c r="B68" s="117"/>
      <c r="C68" s="68"/>
      <c r="D68" s="118">
        <f>J67</f>
        <v>564</v>
      </c>
      <c r="E68" s="119"/>
      <c r="F68" s="119"/>
      <c r="G68" s="120"/>
      <c r="H68" s="121"/>
      <c r="I68" s="121"/>
      <c r="J68" s="122"/>
      <c r="K68" s="119"/>
      <c r="L68" s="123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71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72"/>
      <c r="F74" s="5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5"/>
      <c r="G75" s="73"/>
      <c r="H75" s="5"/>
      <c r="I75" s="74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72"/>
      <c r="I79" s="72"/>
      <c r="J79" s="5"/>
      <c r="K79" s="5"/>
      <c r="L79" s="5"/>
    </row>
    <row r="80" spans="1:12" ht="20.100000000000001" customHeight="1" x14ac:dyDescent="0.3">
      <c r="A80" s="113"/>
      <c r="B80" s="113"/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A83" s="113"/>
      <c r="B83" s="113"/>
      <c r="H83" s="72"/>
      <c r="I83" s="72"/>
    </row>
    <row r="84" spans="1:12" ht="20.100000000000001" customHeight="1" x14ac:dyDescent="0.3">
      <c r="A84" s="113"/>
      <c r="B84" s="113"/>
      <c r="H84" s="72"/>
      <c r="I84" s="72"/>
    </row>
    <row r="85" spans="1:12" ht="20.100000000000001" customHeight="1" x14ac:dyDescent="0.3"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s="72" customFormat="1" ht="20.100000000000001" customHeight="1" x14ac:dyDescent="0.3">
      <c r="A88" s="69"/>
      <c r="B88" s="5"/>
      <c r="C88" s="5"/>
      <c r="D88" s="5"/>
      <c r="E88" s="5"/>
      <c r="F88" s="70"/>
      <c r="G88" s="5"/>
      <c r="J88" s="5"/>
      <c r="K88" s="5"/>
      <c r="L88" s="5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5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5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19.5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ht="19.5" customHeight="1" x14ac:dyDescent="0.3"/>
    <row r="96" spans="1:12" ht="19.5" customHeight="1" x14ac:dyDescent="0.3"/>
    <row r="97" spans="2:12" ht="19.5" customHeight="1" x14ac:dyDescent="0.3"/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>
        <v>2</v>
      </c>
      <c r="C158" s="5"/>
      <c r="D158" s="5"/>
      <c r="E158" s="5"/>
      <c r="F158" s="70"/>
      <c r="G158" s="5"/>
      <c r="H158" s="5"/>
      <c r="I158" s="5"/>
      <c r="J158" s="5"/>
      <c r="K158" s="5"/>
      <c r="L158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3:B73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7:I67"/>
    <mergeCell ref="A68:B68"/>
    <mergeCell ref="D68:G68"/>
    <mergeCell ref="H68:J68"/>
    <mergeCell ref="K68:L68"/>
    <mergeCell ref="A83:B83"/>
    <mergeCell ref="A84:B84"/>
    <mergeCell ref="A74:B74"/>
    <mergeCell ref="A75:B75"/>
    <mergeCell ref="A76:B76"/>
    <mergeCell ref="A78:B78"/>
    <mergeCell ref="A79:B79"/>
    <mergeCell ref="A80:B80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L165"/>
  <sheetViews>
    <sheetView view="pageBreakPreview" topLeftCell="F49" zoomScale="85" zoomScaleSheetLayoutView="85" workbookViewId="0">
      <selection activeCell="L72" sqref="L72:L7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46119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3" si="0">(H7/1000*I7/1000)*J7</f>
        <v>0</v>
      </c>
      <c r="L7" s="26">
        <f>SUM(J7:J38)</f>
        <v>286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SUM(K7:K38)</f>
        <v>1876.5228070000003</v>
      </c>
    </row>
    <row r="9" spans="1:12" s="27" customFormat="1" ht="19.5" customHeight="1" x14ac:dyDescent="0.3">
      <c r="A9" s="28" t="s">
        <v>2572</v>
      </c>
      <c r="B9" s="16" t="s">
        <v>2404</v>
      </c>
      <c r="C9" s="17">
        <v>24</v>
      </c>
      <c r="D9" s="18" t="s">
        <v>245</v>
      </c>
      <c r="E9" s="81">
        <v>3</v>
      </c>
      <c r="F9" s="82">
        <v>3.13</v>
      </c>
      <c r="G9" s="34" t="s">
        <v>560</v>
      </c>
      <c r="H9" s="35">
        <v>2440</v>
      </c>
      <c r="I9" s="36">
        <v>3050</v>
      </c>
      <c r="J9" s="37">
        <v>1</v>
      </c>
      <c r="K9" s="38">
        <f t="shared" si="0"/>
        <v>7.4420000000000002</v>
      </c>
      <c r="L9" s="39"/>
    </row>
    <row r="10" spans="1:12" s="27" customFormat="1" ht="19.5" customHeight="1" x14ac:dyDescent="0.3">
      <c r="A10" s="28"/>
      <c r="B10" s="93"/>
      <c r="C10" s="17"/>
      <c r="D10" s="18"/>
      <c r="E10" s="41"/>
      <c r="F10" s="42"/>
      <c r="G10" s="34" t="s">
        <v>246</v>
      </c>
      <c r="H10" s="35">
        <v>2440</v>
      </c>
      <c r="I10" s="36">
        <v>3050</v>
      </c>
      <c r="J10" s="37">
        <v>1</v>
      </c>
      <c r="K10" s="38">
        <f t="shared" si="0"/>
        <v>7.4420000000000002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81"/>
      <c r="F11" s="8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2558</v>
      </c>
      <c r="B12" s="93" t="s">
        <v>145</v>
      </c>
      <c r="C12" s="17">
        <v>24</v>
      </c>
      <c r="D12" s="18" t="s">
        <v>45</v>
      </c>
      <c r="E12" s="41">
        <v>80</v>
      </c>
      <c r="F12" s="42">
        <v>81.5</v>
      </c>
      <c r="G12" s="34" t="s">
        <v>19</v>
      </c>
      <c r="H12" s="35">
        <v>1981</v>
      </c>
      <c r="I12" s="36">
        <v>3048</v>
      </c>
      <c r="J12" s="37">
        <v>5</v>
      </c>
      <c r="K12" s="38">
        <f t="shared" si="0"/>
        <v>30.190440000000006</v>
      </c>
      <c r="L12" s="39" t="s">
        <v>2573</v>
      </c>
    </row>
    <row r="13" spans="1:12" s="27" customFormat="1" ht="19.5" customHeight="1" x14ac:dyDescent="0.3">
      <c r="A13" s="28"/>
      <c r="B13" s="16"/>
      <c r="C13" s="17">
        <v>22</v>
      </c>
      <c r="D13" s="18" t="s">
        <v>45</v>
      </c>
      <c r="E13" s="41">
        <v>10</v>
      </c>
      <c r="F13" s="42">
        <v>11.7</v>
      </c>
      <c r="G13" s="34" t="s">
        <v>19</v>
      </c>
      <c r="H13" s="35">
        <v>1981</v>
      </c>
      <c r="I13" s="36">
        <v>3353</v>
      </c>
      <c r="J13" s="37">
        <v>5</v>
      </c>
      <c r="K13" s="38">
        <f t="shared" si="0"/>
        <v>33.211465000000004</v>
      </c>
      <c r="L13" s="39" t="s">
        <v>106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2558</v>
      </c>
      <c r="B15" s="93" t="s">
        <v>145</v>
      </c>
      <c r="C15" s="17">
        <v>24</v>
      </c>
      <c r="D15" s="18" t="s">
        <v>17</v>
      </c>
      <c r="E15" s="41">
        <v>90</v>
      </c>
      <c r="F15" s="42">
        <v>114.8</v>
      </c>
      <c r="G15" s="43" t="s">
        <v>18</v>
      </c>
      <c r="H15" s="35">
        <v>1981</v>
      </c>
      <c r="I15" s="36">
        <v>3048</v>
      </c>
      <c r="J15" s="37">
        <v>18</v>
      </c>
      <c r="K15" s="38">
        <f t="shared" si="0"/>
        <v>108.68558400000002</v>
      </c>
      <c r="L15" s="39"/>
    </row>
    <row r="16" spans="1:12" s="27" customFormat="1" ht="19.5" customHeight="1" x14ac:dyDescent="0.3">
      <c r="A16" s="28"/>
      <c r="B16" s="93"/>
      <c r="C16" s="17"/>
      <c r="D16" s="18"/>
      <c r="E16" s="41"/>
      <c r="F16" s="42"/>
      <c r="G16" s="43" t="s">
        <v>18</v>
      </c>
      <c r="H16" s="35">
        <v>1981</v>
      </c>
      <c r="I16" s="36">
        <v>3353</v>
      </c>
      <c r="J16" s="37">
        <v>2</v>
      </c>
      <c r="K16" s="38">
        <f t="shared" si="0"/>
        <v>13.284586000000001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 t="s">
        <v>19</v>
      </c>
      <c r="H17" s="35">
        <v>1981</v>
      </c>
      <c r="I17" s="36">
        <v>3048</v>
      </c>
      <c r="J17" s="37">
        <v>18</v>
      </c>
      <c r="K17" s="38">
        <f t="shared" si="0"/>
        <v>108.68558400000002</v>
      </c>
      <c r="L17" s="39"/>
    </row>
    <row r="18" spans="1:12" s="27" customFormat="1" ht="19.5" customHeight="1" x14ac:dyDescent="0.3">
      <c r="A18" s="28"/>
      <c r="B18" s="93"/>
      <c r="C18" s="17"/>
      <c r="D18" s="18"/>
      <c r="E18" s="41"/>
      <c r="F18" s="42"/>
      <c r="G18" s="34" t="s">
        <v>19</v>
      </c>
      <c r="H18" s="35">
        <v>1981</v>
      </c>
      <c r="I18" s="36">
        <v>3353</v>
      </c>
      <c r="J18" s="37">
        <v>2</v>
      </c>
      <c r="K18" s="38">
        <f t="shared" si="0"/>
        <v>13.284586000000001</v>
      </c>
      <c r="L18" s="39"/>
    </row>
    <row r="19" spans="1:12" s="27" customFormat="1" ht="19.5" customHeight="1" x14ac:dyDescent="0.3">
      <c r="A19" s="28"/>
      <c r="B19" s="93"/>
      <c r="C19" s="17"/>
      <c r="D19" s="18"/>
      <c r="E19" s="81"/>
      <c r="F19" s="8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2574</v>
      </c>
      <c r="B20" s="16" t="s">
        <v>1819</v>
      </c>
      <c r="C20" s="17">
        <v>22</v>
      </c>
      <c r="D20" s="18" t="s">
        <v>17</v>
      </c>
      <c r="E20" s="81">
        <v>200</v>
      </c>
      <c r="F20" s="82">
        <v>486.4</v>
      </c>
      <c r="G20" s="34" t="s">
        <v>19</v>
      </c>
      <c r="H20" s="35">
        <v>1981</v>
      </c>
      <c r="I20" s="36">
        <v>3353</v>
      </c>
      <c r="J20" s="37">
        <v>80</v>
      </c>
      <c r="K20" s="38">
        <f t="shared" si="0"/>
        <v>531.38344000000006</v>
      </c>
      <c r="L20" s="39" t="s">
        <v>2575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 t="s">
        <v>2574</v>
      </c>
      <c r="B22" s="16" t="s">
        <v>1819</v>
      </c>
      <c r="C22" s="17">
        <v>22</v>
      </c>
      <c r="D22" s="18" t="s">
        <v>17</v>
      </c>
      <c r="E22" s="41">
        <v>120</v>
      </c>
      <c r="F22" s="42">
        <v>366</v>
      </c>
      <c r="G22" s="43" t="s">
        <v>18</v>
      </c>
      <c r="H22" s="35">
        <v>1981</v>
      </c>
      <c r="I22" s="36">
        <v>3353</v>
      </c>
      <c r="J22" s="37">
        <v>60</v>
      </c>
      <c r="K22" s="38">
        <f t="shared" si="0"/>
        <v>398.53758000000005</v>
      </c>
      <c r="L22" s="39" t="s">
        <v>2406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 t="s">
        <v>57</v>
      </c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2574</v>
      </c>
      <c r="B25" s="16" t="s">
        <v>1819</v>
      </c>
      <c r="C25" s="17">
        <v>22</v>
      </c>
      <c r="D25" s="18" t="s">
        <v>17</v>
      </c>
      <c r="E25" s="81">
        <v>140</v>
      </c>
      <c r="F25" s="82">
        <v>212.8</v>
      </c>
      <c r="G25" s="34" t="s">
        <v>19</v>
      </c>
      <c r="H25" s="35">
        <v>1981</v>
      </c>
      <c r="I25" s="36">
        <v>3353</v>
      </c>
      <c r="J25" s="37">
        <v>34</v>
      </c>
      <c r="K25" s="38">
        <f t="shared" si="0"/>
        <v>225.837962</v>
      </c>
      <c r="L25" s="39" t="s">
        <v>2584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 t="s">
        <v>2574</v>
      </c>
      <c r="B27" s="16" t="s">
        <v>1819</v>
      </c>
      <c r="C27" s="17">
        <v>22</v>
      </c>
      <c r="D27" s="18" t="s">
        <v>17</v>
      </c>
      <c r="E27" s="41">
        <v>252</v>
      </c>
      <c r="F27" s="42">
        <v>378</v>
      </c>
      <c r="G27" s="43" t="s">
        <v>18</v>
      </c>
      <c r="H27" s="35">
        <v>1981</v>
      </c>
      <c r="I27" s="36">
        <v>3353</v>
      </c>
      <c r="J27" s="37">
        <v>60</v>
      </c>
      <c r="K27" s="38">
        <f t="shared" si="0"/>
        <v>398.53758000000005</v>
      </c>
      <c r="L27" s="39" t="s">
        <v>2585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93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93"/>
      <c r="C34" s="17"/>
      <c r="D34" s="18"/>
      <c r="E34" s="41"/>
      <c r="F34" s="42"/>
      <c r="G34" s="43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93"/>
      <c r="C35" s="17"/>
      <c r="D35" s="18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38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2576</v>
      </c>
      <c r="B40" s="45" t="s">
        <v>204</v>
      </c>
      <c r="C40" s="46">
        <v>28</v>
      </c>
      <c r="D40" s="47" t="s">
        <v>205</v>
      </c>
      <c r="E40" s="48">
        <v>11</v>
      </c>
      <c r="F40" s="49">
        <v>47.48</v>
      </c>
      <c r="G40" s="50" t="s">
        <v>206</v>
      </c>
      <c r="H40" s="51">
        <v>2438</v>
      </c>
      <c r="I40" s="45">
        <v>3353</v>
      </c>
      <c r="J40" s="52">
        <v>8</v>
      </c>
      <c r="K40" s="53">
        <f t="shared" si="0"/>
        <v>65.396912</v>
      </c>
      <c r="L40" s="54"/>
    </row>
    <row r="41" spans="1:12" s="55" customFormat="1" ht="19.5" customHeight="1" x14ac:dyDescent="0.3">
      <c r="A41" s="44"/>
      <c r="B41" s="45"/>
      <c r="C41" s="77"/>
      <c r="D41" s="47"/>
      <c r="E41" s="48"/>
      <c r="F41" s="49"/>
      <c r="G41" s="50" t="s">
        <v>189</v>
      </c>
      <c r="H41" s="51">
        <v>2438</v>
      </c>
      <c r="I41" s="45">
        <v>3353</v>
      </c>
      <c r="J41" s="52">
        <v>8</v>
      </c>
      <c r="K41" s="53">
        <f t="shared" si="0"/>
        <v>65.396912</v>
      </c>
      <c r="L41" s="54"/>
    </row>
    <row r="42" spans="1:12" s="55" customFormat="1" ht="19.5" customHeight="1" x14ac:dyDescent="0.3">
      <c r="A42" s="44"/>
      <c r="B42" s="76"/>
      <c r="C42" s="77"/>
      <c r="D42" s="78"/>
      <c r="E42" s="48"/>
      <c r="F42" s="49"/>
      <c r="G42" s="50" t="s">
        <v>189</v>
      </c>
      <c r="H42" s="51">
        <v>2134</v>
      </c>
      <c r="I42" s="45">
        <v>3353</v>
      </c>
      <c r="J42" s="52">
        <v>1</v>
      </c>
      <c r="K42" s="53">
        <f t="shared" si="0"/>
        <v>7.1553019999999998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2577</v>
      </c>
      <c r="B44" s="45" t="s">
        <v>1984</v>
      </c>
      <c r="C44" s="46">
        <v>22</v>
      </c>
      <c r="D44" s="47" t="s">
        <v>45</v>
      </c>
      <c r="E44" s="48">
        <v>3</v>
      </c>
      <c r="F44" s="49">
        <v>4.1500000000000004</v>
      </c>
      <c r="G44" s="50" t="s">
        <v>49</v>
      </c>
      <c r="H44" s="51">
        <v>1981</v>
      </c>
      <c r="I44" s="45">
        <v>3353</v>
      </c>
      <c r="J44" s="52">
        <v>1</v>
      </c>
      <c r="K44" s="53">
        <f t="shared" si="0"/>
        <v>6.6422930000000004</v>
      </c>
      <c r="L44" s="54"/>
    </row>
    <row r="45" spans="1:12" s="55" customFormat="1" ht="19.5" customHeight="1" x14ac:dyDescent="0.3">
      <c r="A45" s="44"/>
      <c r="B45" s="96"/>
      <c r="C45" s="77">
        <v>22</v>
      </c>
      <c r="D45" s="78" t="s">
        <v>17</v>
      </c>
      <c r="E45" s="48">
        <v>6</v>
      </c>
      <c r="F45" s="49">
        <v>6.85</v>
      </c>
      <c r="G45" s="50" t="s">
        <v>18</v>
      </c>
      <c r="H45" s="51">
        <v>1981</v>
      </c>
      <c r="I45" s="45">
        <v>3353</v>
      </c>
      <c r="J45" s="52">
        <v>1</v>
      </c>
      <c r="K45" s="53">
        <f t="shared" si="0"/>
        <v>6.6422930000000004</v>
      </c>
      <c r="L45" s="64"/>
    </row>
    <row r="46" spans="1:12" s="55" customFormat="1" ht="19.5" customHeight="1" x14ac:dyDescent="0.3">
      <c r="A46" s="44"/>
      <c r="B46" s="96"/>
      <c r="C46" s="77"/>
      <c r="D46" s="78"/>
      <c r="E46" s="48"/>
      <c r="F46" s="49"/>
      <c r="G46" s="50" t="s">
        <v>62</v>
      </c>
      <c r="H46" s="51">
        <v>1981</v>
      </c>
      <c r="I46" s="45">
        <v>3353</v>
      </c>
      <c r="J46" s="52">
        <v>1</v>
      </c>
      <c r="K46" s="53">
        <f t="shared" si="0"/>
        <v>6.6422930000000004</v>
      </c>
      <c r="L46" s="54"/>
    </row>
    <row r="47" spans="1:12" s="55" customFormat="1" ht="19.5" customHeight="1" x14ac:dyDescent="0.3">
      <c r="A47" s="44"/>
      <c r="B47" s="96"/>
      <c r="C47" s="77"/>
      <c r="D47" s="78"/>
      <c r="E47" s="48"/>
      <c r="F47" s="49"/>
      <c r="G47" s="50"/>
      <c r="H47" s="51"/>
      <c r="I47" s="45"/>
      <c r="J47" s="52"/>
      <c r="K47" s="53">
        <f t="shared" si="0"/>
        <v>0</v>
      </c>
      <c r="L47" s="64"/>
    </row>
    <row r="48" spans="1:12" s="55" customFormat="1" ht="19.5" customHeight="1" x14ac:dyDescent="0.3">
      <c r="A48" s="44" t="s">
        <v>2578</v>
      </c>
      <c r="B48" s="96" t="s">
        <v>2579</v>
      </c>
      <c r="C48" s="77">
        <v>22</v>
      </c>
      <c r="D48" s="78" t="s">
        <v>78</v>
      </c>
      <c r="E48" s="48">
        <v>5</v>
      </c>
      <c r="F48" s="49">
        <v>4.8</v>
      </c>
      <c r="G48" s="50" t="s">
        <v>18</v>
      </c>
      <c r="H48" s="51">
        <v>1981</v>
      </c>
      <c r="I48" s="45">
        <v>3353</v>
      </c>
      <c r="J48" s="52">
        <v>2</v>
      </c>
      <c r="K48" s="53">
        <f t="shared" si="0"/>
        <v>13.284586000000001</v>
      </c>
      <c r="L48" s="54"/>
    </row>
    <row r="49" spans="1:12" s="55" customFormat="1" ht="19.5" customHeight="1" x14ac:dyDescent="0.3">
      <c r="A49" s="44"/>
      <c r="B49" s="96"/>
      <c r="C49" s="77">
        <v>22</v>
      </c>
      <c r="D49" s="78" t="s">
        <v>2474</v>
      </c>
      <c r="E49" s="48">
        <v>10</v>
      </c>
      <c r="F49" s="49">
        <v>7.56</v>
      </c>
      <c r="G49" s="50" t="s">
        <v>18</v>
      </c>
      <c r="H49" s="51">
        <v>1981</v>
      </c>
      <c r="I49" s="45">
        <v>3048</v>
      </c>
      <c r="J49" s="52">
        <v>2</v>
      </c>
      <c r="K49" s="53">
        <f t="shared" si="0"/>
        <v>12.076176000000002</v>
      </c>
      <c r="L49" s="64"/>
    </row>
    <row r="50" spans="1:12" s="55" customFormat="1" ht="19.5" customHeight="1" x14ac:dyDescent="0.3">
      <c r="A50" s="44"/>
      <c r="B50" s="76"/>
      <c r="C50" s="46">
        <v>22</v>
      </c>
      <c r="D50" s="78" t="s">
        <v>2474</v>
      </c>
      <c r="E50" s="48">
        <v>2</v>
      </c>
      <c r="F50" s="49">
        <v>2.94</v>
      </c>
      <c r="G50" s="50" t="s">
        <v>19</v>
      </c>
      <c r="H50" s="51">
        <v>1981</v>
      </c>
      <c r="I50" s="45">
        <v>3048</v>
      </c>
      <c r="J50" s="52">
        <v>2</v>
      </c>
      <c r="K50" s="53">
        <f t="shared" si="0"/>
        <v>12.076176000000002</v>
      </c>
      <c r="L50" s="64"/>
    </row>
    <row r="51" spans="1:12" s="55" customFormat="1" ht="19.5" customHeight="1" x14ac:dyDescent="0.3">
      <c r="A51" s="44"/>
      <c r="B51" s="76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2580</v>
      </c>
      <c r="B52" s="76" t="s">
        <v>1684</v>
      </c>
      <c r="C52" s="46">
        <v>26</v>
      </c>
      <c r="D52" s="47" t="s">
        <v>289</v>
      </c>
      <c r="E52" s="48">
        <v>14</v>
      </c>
      <c r="F52" s="49">
        <v>14.11</v>
      </c>
      <c r="G52" s="50" t="s">
        <v>18</v>
      </c>
      <c r="H52" s="51">
        <v>2438</v>
      </c>
      <c r="I52" s="45">
        <v>3353</v>
      </c>
      <c r="J52" s="52">
        <v>11</v>
      </c>
      <c r="K52" s="53">
        <f t="shared" si="0"/>
        <v>89.920754000000002</v>
      </c>
      <c r="L52" s="54"/>
    </row>
    <row r="53" spans="1:12" s="55" customFormat="1" ht="19.5" customHeight="1" x14ac:dyDescent="0.3">
      <c r="A53" s="44"/>
      <c r="B53" s="76"/>
      <c r="C53" s="46">
        <v>5</v>
      </c>
      <c r="D53" s="47" t="s">
        <v>2014</v>
      </c>
      <c r="E53" s="48">
        <v>81</v>
      </c>
      <c r="F53" s="49">
        <v>64.099999999999994</v>
      </c>
      <c r="G53" s="50" t="s">
        <v>291</v>
      </c>
      <c r="H53" s="51">
        <v>2438</v>
      </c>
      <c r="I53" s="45">
        <v>3353</v>
      </c>
      <c r="J53" s="52">
        <v>2</v>
      </c>
      <c r="K53" s="53">
        <f t="shared" si="0"/>
        <v>16.349228</v>
      </c>
      <c r="L53" s="54"/>
    </row>
    <row r="54" spans="1:12" s="55" customFormat="1" ht="19.5" customHeight="1" x14ac:dyDescent="0.3">
      <c r="A54" s="44"/>
      <c r="B54" s="76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2581</v>
      </c>
      <c r="B55" s="76" t="s">
        <v>1997</v>
      </c>
      <c r="C55" s="46">
        <v>24</v>
      </c>
      <c r="D55" s="47" t="s">
        <v>2582</v>
      </c>
      <c r="E55" s="48">
        <v>33</v>
      </c>
      <c r="F55" s="49">
        <v>22.76</v>
      </c>
      <c r="G55" s="50" t="s">
        <v>2583</v>
      </c>
      <c r="H55" s="51">
        <v>1829</v>
      </c>
      <c r="I55" s="45">
        <v>3353</v>
      </c>
      <c r="J55" s="52">
        <v>4</v>
      </c>
      <c r="K55" s="53">
        <f t="shared" si="0"/>
        <v>24.530548</v>
      </c>
      <c r="L55" s="54"/>
    </row>
    <row r="56" spans="1:12" s="55" customFormat="1" ht="19.5" customHeight="1" x14ac:dyDescent="0.3">
      <c r="A56" s="44"/>
      <c r="B56" s="76"/>
      <c r="C56" s="46">
        <v>24</v>
      </c>
      <c r="D56" s="47" t="s">
        <v>539</v>
      </c>
      <c r="E56" s="48">
        <v>30</v>
      </c>
      <c r="F56" s="49">
        <v>18.32</v>
      </c>
      <c r="G56" s="50" t="s">
        <v>822</v>
      </c>
      <c r="H56" s="51">
        <v>2134</v>
      </c>
      <c r="I56" s="45">
        <v>3353</v>
      </c>
      <c r="J56" s="52">
        <v>6</v>
      </c>
      <c r="K56" s="53">
        <f t="shared" si="0"/>
        <v>42.931812000000001</v>
      </c>
      <c r="L56" s="54"/>
    </row>
    <row r="57" spans="1:12" s="55" customFormat="1" ht="19.5" customHeight="1" x14ac:dyDescent="0.3">
      <c r="A57" s="44"/>
      <c r="B57" s="76"/>
      <c r="C57" s="46"/>
      <c r="D57" s="47"/>
      <c r="E57" s="48"/>
      <c r="F57" s="49"/>
      <c r="G57" s="50" t="s">
        <v>189</v>
      </c>
      <c r="H57" s="51">
        <v>2134</v>
      </c>
      <c r="I57" s="45">
        <v>3353</v>
      </c>
      <c r="J57" s="52">
        <v>2</v>
      </c>
      <c r="K57" s="53">
        <f t="shared" si="0"/>
        <v>14.310604</v>
      </c>
      <c r="L57" s="54"/>
    </row>
    <row r="58" spans="1:12" s="55" customFormat="1" ht="19.5" customHeight="1" x14ac:dyDescent="0.3">
      <c r="A58" s="44"/>
      <c r="B58" s="76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2586</v>
      </c>
      <c r="B59" s="76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2587</v>
      </c>
      <c r="B60" s="76" t="s">
        <v>2588</v>
      </c>
      <c r="C60" s="77">
        <v>18</v>
      </c>
      <c r="D60" s="78" t="s">
        <v>2589</v>
      </c>
      <c r="E60" s="48">
        <v>2</v>
      </c>
      <c r="F60" s="49">
        <v>2.17</v>
      </c>
      <c r="G60" s="50" t="s">
        <v>2590</v>
      </c>
      <c r="H60" s="51">
        <v>2134</v>
      </c>
      <c r="I60" s="45">
        <v>3353</v>
      </c>
      <c r="J60" s="52">
        <v>1</v>
      </c>
      <c r="K60" s="53">
        <f t="shared" si="0"/>
        <v>7.1553019999999998</v>
      </c>
      <c r="L60" s="54" t="s">
        <v>2591</v>
      </c>
    </row>
    <row r="61" spans="1:12" s="55" customFormat="1" ht="19.5" customHeight="1" x14ac:dyDescent="0.3">
      <c r="A61" s="44"/>
      <c r="B61" s="76"/>
      <c r="C61" s="77"/>
      <c r="D61" s="78"/>
      <c r="E61" s="48"/>
      <c r="F61" s="49"/>
      <c r="G61" s="50"/>
      <c r="H61" s="51"/>
      <c r="I61" s="45"/>
      <c r="J61" s="52"/>
      <c r="K61" s="53">
        <f t="shared" ref="K61:K65" si="1">(H61/1000*I61/1000)*J61</f>
        <v>0</v>
      </c>
      <c r="L61" s="54"/>
    </row>
    <row r="62" spans="1:12" s="55" customFormat="1" ht="19.5" customHeight="1" x14ac:dyDescent="0.3">
      <c r="A62" s="44" t="s">
        <v>2592</v>
      </c>
      <c r="B62" s="76" t="s">
        <v>2593</v>
      </c>
      <c r="C62" s="77">
        <v>24</v>
      </c>
      <c r="D62" s="78" t="s">
        <v>2594</v>
      </c>
      <c r="E62" s="48">
        <v>2</v>
      </c>
      <c r="F62" s="49">
        <v>2.54</v>
      </c>
      <c r="G62" s="50" t="s">
        <v>2603</v>
      </c>
      <c r="H62" s="51">
        <v>2438</v>
      </c>
      <c r="I62" s="45">
        <v>3353</v>
      </c>
      <c r="J62" s="52">
        <v>1</v>
      </c>
      <c r="K62" s="53">
        <f t="shared" si="1"/>
        <v>8.174614</v>
      </c>
      <c r="L62" s="54" t="s">
        <v>2606</v>
      </c>
    </row>
    <row r="63" spans="1:12" s="55" customFormat="1" ht="19.5" customHeight="1" x14ac:dyDescent="0.3">
      <c r="A63" s="44"/>
      <c r="B63" s="76"/>
      <c r="C63" s="77">
        <v>24</v>
      </c>
      <c r="D63" s="78" t="s">
        <v>2595</v>
      </c>
      <c r="E63" s="48">
        <v>1</v>
      </c>
      <c r="F63" s="49">
        <v>0.97</v>
      </c>
      <c r="G63" s="50" t="s">
        <v>2604</v>
      </c>
      <c r="H63" s="51">
        <v>2438</v>
      </c>
      <c r="I63" s="45">
        <v>3353</v>
      </c>
      <c r="J63" s="52">
        <v>1</v>
      </c>
      <c r="K63" s="53">
        <f t="shared" si="1"/>
        <v>8.174614</v>
      </c>
      <c r="L63" s="54" t="s">
        <v>2606</v>
      </c>
    </row>
    <row r="64" spans="1:12" s="55" customFormat="1" ht="19.5" customHeight="1" x14ac:dyDescent="0.3">
      <c r="A64" s="44" t="s">
        <v>2596</v>
      </c>
      <c r="B64" s="76" t="s">
        <v>2597</v>
      </c>
      <c r="C64" s="77">
        <v>24</v>
      </c>
      <c r="D64" s="78" t="s">
        <v>2598</v>
      </c>
      <c r="E64" s="48">
        <v>1</v>
      </c>
      <c r="F64" s="49">
        <v>1.95</v>
      </c>
      <c r="G64" s="50" t="s">
        <v>2605</v>
      </c>
      <c r="H64" s="51">
        <v>1981</v>
      </c>
      <c r="I64" s="45">
        <v>3353</v>
      </c>
      <c r="J64" s="52">
        <v>1</v>
      </c>
      <c r="K64" s="53">
        <f t="shared" si="1"/>
        <v>6.6422930000000004</v>
      </c>
      <c r="L64" s="54" t="s">
        <v>2606</v>
      </c>
    </row>
    <row r="65" spans="1:12" s="55" customFormat="1" ht="19.5" customHeight="1" x14ac:dyDescent="0.3">
      <c r="A65" s="44" t="s">
        <v>2599</v>
      </c>
      <c r="B65" s="76" t="s">
        <v>2600</v>
      </c>
      <c r="C65" s="46">
        <v>42</v>
      </c>
      <c r="D65" s="47" t="s">
        <v>2601</v>
      </c>
      <c r="E65" s="48">
        <v>8</v>
      </c>
      <c r="F65" s="49">
        <v>2.2400000000000002</v>
      </c>
      <c r="G65" s="50" t="s">
        <v>2607</v>
      </c>
      <c r="H65" s="51">
        <v>2438</v>
      </c>
      <c r="I65" s="45">
        <v>3353</v>
      </c>
      <c r="J65" s="52">
        <v>1</v>
      </c>
      <c r="K65" s="53">
        <f t="shared" si="1"/>
        <v>8.174614</v>
      </c>
      <c r="L65" s="54" t="s">
        <v>2608</v>
      </c>
    </row>
    <row r="66" spans="1:12" s="55" customFormat="1" ht="19.5" customHeight="1" x14ac:dyDescent="0.3">
      <c r="A66" s="44"/>
      <c r="B66" s="76"/>
      <c r="C66" s="77">
        <v>24</v>
      </c>
      <c r="D66" s="78" t="s">
        <v>2602</v>
      </c>
      <c r="E66" s="48">
        <v>6</v>
      </c>
      <c r="F66" s="49">
        <v>2.25</v>
      </c>
      <c r="G66" s="50"/>
      <c r="H66" s="51"/>
      <c r="I66" s="45"/>
      <c r="J66" s="52"/>
      <c r="K66" s="53">
        <f t="shared" si="0"/>
        <v>0</v>
      </c>
      <c r="L66" s="54" t="s">
        <v>2606</v>
      </c>
    </row>
    <row r="67" spans="1:12" s="55" customFormat="1" ht="19.5" customHeight="1" x14ac:dyDescent="0.3">
      <c r="A67" s="44"/>
      <c r="B67" s="76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 t="s">
        <v>2609</v>
      </c>
      <c r="B68" s="76" t="s">
        <v>2610</v>
      </c>
      <c r="C68" s="77">
        <v>43</v>
      </c>
      <c r="D68" s="78" t="s">
        <v>2611</v>
      </c>
      <c r="E68" s="48">
        <v>126</v>
      </c>
      <c r="F68" s="49">
        <v>362.25</v>
      </c>
      <c r="G68" s="50" t="s">
        <v>2612</v>
      </c>
      <c r="H68" s="51">
        <v>2134</v>
      </c>
      <c r="I68" s="45">
        <v>3048</v>
      </c>
      <c r="J68" s="52">
        <v>63</v>
      </c>
      <c r="K68" s="53">
        <f t="shared" si="0"/>
        <v>409.77921599999996</v>
      </c>
      <c r="L68" s="54" t="s">
        <v>2613</v>
      </c>
    </row>
    <row r="69" spans="1:12" s="55" customFormat="1" ht="19.5" customHeight="1" x14ac:dyDescent="0.3">
      <c r="A69" s="44"/>
      <c r="B69" s="76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76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9" customFormat="1" ht="20.100000000000001" customHeight="1" x14ac:dyDescent="0.3">
      <c r="A72" s="44"/>
      <c r="B72" s="45"/>
      <c r="C72" s="46"/>
      <c r="D72" s="47"/>
      <c r="E72" s="56"/>
      <c r="F72" s="57"/>
      <c r="G72" s="50"/>
      <c r="H72" s="51"/>
      <c r="I72" s="45"/>
      <c r="J72" s="52"/>
      <c r="K72" s="53">
        <f t="shared" si="0"/>
        <v>0</v>
      </c>
      <c r="L72" s="58">
        <f>SUM(J39:J73)</f>
        <v>119</v>
      </c>
    </row>
    <row r="73" spans="1:12" s="59" customFormat="1" ht="20.100000000000001" customHeight="1" x14ac:dyDescent="0.3">
      <c r="A73" s="44"/>
      <c r="B73" s="45"/>
      <c r="C73" s="46"/>
      <c r="D73" s="47"/>
      <c r="E73" s="60"/>
      <c r="F73" s="61"/>
      <c r="G73" s="62"/>
      <c r="H73" s="51"/>
      <c r="I73" s="45"/>
      <c r="J73" s="63"/>
      <c r="K73" s="53">
        <f t="shared" si="0"/>
        <v>0</v>
      </c>
      <c r="L73" s="64">
        <f>SUM(K39:K73)</f>
        <v>831.45654200000001</v>
      </c>
    </row>
    <row r="74" spans="1:12" s="59" customFormat="1" ht="20.100000000000001" customHeight="1" thickBot="1" x14ac:dyDescent="0.35">
      <c r="A74" s="114"/>
      <c r="B74" s="115"/>
      <c r="C74" s="115"/>
      <c r="D74" s="115"/>
      <c r="E74" s="115"/>
      <c r="F74" s="115"/>
      <c r="G74" s="115"/>
      <c r="H74" s="115"/>
      <c r="I74" s="115"/>
      <c r="J74" s="65">
        <f>SUM(J7:J73)</f>
        <v>405</v>
      </c>
      <c r="K74" s="66">
        <f>SUM(K7:K73)</f>
        <v>2707.9793490000002</v>
      </c>
      <c r="L74" s="67"/>
    </row>
    <row r="75" spans="1:12" s="59" customFormat="1" ht="20.100000000000001" customHeight="1" thickTop="1" thickBot="1" x14ac:dyDescent="0.35">
      <c r="A75" s="116" t="s">
        <v>52</v>
      </c>
      <c r="B75" s="117"/>
      <c r="C75" s="68"/>
      <c r="D75" s="118">
        <f>J74</f>
        <v>405</v>
      </c>
      <c r="E75" s="119"/>
      <c r="F75" s="119"/>
      <c r="G75" s="120"/>
      <c r="H75" s="121"/>
      <c r="I75" s="121"/>
      <c r="J75" s="122"/>
      <c r="K75" s="119"/>
      <c r="L75" s="123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71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72"/>
      <c r="F81" s="5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5"/>
      <c r="G82" s="73"/>
      <c r="H82" s="5"/>
      <c r="I82" s="74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72"/>
      <c r="I86" s="72"/>
      <c r="J86" s="5"/>
      <c r="K86" s="5"/>
      <c r="L86" s="5"/>
    </row>
    <row r="87" spans="1:12" ht="20.100000000000001" customHeight="1" x14ac:dyDescent="0.3">
      <c r="A87" s="113"/>
      <c r="B87" s="113"/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H89" s="72"/>
      <c r="I89" s="72"/>
    </row>
    <row r="90" spans="1:12" ht="20.100000000000001" customHeight="1" x14ac:dyDescent="0.3">
      <c r="A90" s="113"/>
      <c r="B90" s="113"/>
      <c r="H90" s="72"/>
      <c r="I90" s="72"/>
    </row>
    <row r="91" spans="1:12" ht="20.100000000000001" customHeight="1" x14ac:dyDescent="0.3">
      <c r="A91" s="113"/>
      <c r="B91" s="113"/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H94" s="72"/>
      <c r="I94" s="72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J95" s="5"/>
      <c r="K95" s="5"/>
      <c r="L95" s="5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5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5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5" customFormat="1" ht="19.5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2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2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ht="19.5" customHeight="1" x14ac:dyDescent="0.3"/>
    <row r="103" spans="1:12" ht="19.5" customHeight="1" x14ac:dyDescent="0.3"/>
    <row r="104" spans="1:12" ht="19.5" customHeight="1" x14ac:dyDescent="0.3"/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>
        <v>2</v>
      </c>
      <c r="C165" s="5"/>
      <c r="D165" s="5"/>
      <c r="E165" s="5"/>
      <c r="F165" s="70"/>
      <c r="G165" s="5"/>
      <c r="H165" s="5"/>
      <c r="I165" s="5"/>
      <c r="J165" s="5"/>
      <c r="K165" s="5"/>
      <c r="L165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0:B8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4:I74"/>
    <mergeCell ref="A75:B75"/>
    <mergeCell ref="D75:G75"/>
    <mergeCell ref="H75:J75"/>
    <mergeCell ref="K75:L75"/>
    <mergeCell ref="A90:B90"/>
    <mergeCell ref="A91:B91"/>
    <mergeCell ref="A81:B81"/>
    <mergeCell ref="A82:B82"/>
    <mergeCell ref="A83:B83"/>
    <mergeCell ref="A85:B85"/>
    <mergeCell ref="A86:B86"/>
    <mergeCell ref="A87:B87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L161"/>
  <sheetViews>
    <sheetView view="pageBreakPreview" topLeftCell="F55" zoomScale="85" zoomScaleSheetLayoutView="85" workbookViewId="0">
      <selection activeCell="L68" sqref="L68:L6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46118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9" si="0">(H7/1000*I7/1000)*J7</f>
        <v>0</v>
      </c>
      <c r="L7" s="26">
        <f>SUM(J7:J38)</f>
        <v>119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SUM(K7:K38)</f>
        <v>751.10151199999996</v>
      </c>
    </row>
    <row r="9" spans="1:12" s="27" customFormat="1" ht="19.5" customHeight="1" x14ac:dyDescent="0.3">
      <c r="A9" s="28" t="s">
        <v>2546</v>
      </c>
      <c r="B9" s="16" t="s">
        <v>353</v>
      </c>
      <c r="C9" s="17">
        <v>22</v>
      </c>
      <c r="D9" s="18" t="s">
        <v>307</v>
      </c>
      <c r="E9" s="81">
        <v>96</v>
      </c>
      <c r="F9" s="82">
        <v>73.08</v>
      </c>
      <c r="G9" s="34" t="s">
        <v>49</v>
      </c>
      <c r="H9" s="35">
        <v>1829</v>
      </c>
      <c r="I9" s="36">
        <v>3353</v>
      </c>
      <c r="J9" s="37">
        <v>13</v>
      </c>
      <c r="K9" s="38">
        <f t="shared" si="0"/>
        <v>79.724281000000005</v>
      </c>
      <c r="L9" s="39" t="s">
        <v>321</v>
      </c>
    </row>
    <row r="10" spans="1:12" s="27" customFormat="1" ht="19.5" customHeight="1" x14ac:dyDescent="0.3">
      <c r="A10" s="28"/>
      <c r="B10" s="93"/>
      <c r="C10" s="17">
        <v>22</v>
      </c>
      <c r="D10" s="18" t="s">
        <v>320</v>
      </c>
      <c r="E10" s="41">
        <v>96</v>
      </c>
      <c r="F10" s="42">
        <v>73.08</v>
      </c>
      <c r="G10" s="34" t="s">
        <v>18</v>
      </c>
      <c r="H10" s="35">
        <v>1829</v>
      </c>
      <c r="I10" s="36">
        <v>3353</v>
      </c>
      <c r="J10" s="37">
        <v>12</v>
      </c>
      <c r="K10" s="38">
        <f t="shared" si="0"/>
        <v>73.591644000000002</v>
      </c>
      <c r="L10" s="39" t="s">
        <v>321</v>
      </c>
    </row>
    <row r="11" spans="1:12" s="27" customFormat="1" ht="19.5" customHeight="1" x14ac:dyDescent="0.3">
      <c r="A11" s="28"/>
      <c r="B11" s="16"/>
      <c r="C11" s="17"/>
      <c r="D11" s="18"/>
      <c r="E11" s="81"/>
      <c r="F11" s="82"/>
      <c r="G11" s="34" t="s">
        <v>18</v>
      </c>
      <c r="H11" s="35">
        <v>1981</v>
      </c>
      <c r="I11" s="36">
        <v>3353</v>
      </c>
      <c r="J11" s="37">
        <v>1</v>
      </c>
      <c r="K11" s="38">
        <f t="shared" si="0"/>
        <v>6.6422930000000004</v>
      </c>
      <c r="L11" s="39" t="s">
        <v>321</v>
      </c>
    </row>
    <row r="12" spans="1:12" s="27" customFormat="1" ht="19.5" customHeight="1" x14ac:dyDescent="0.3">
      <c r="A12" s="28"/>
      <c r="B12" s="93"/>
      <c r="C12" s="17"/>
      <c r="D12" s="18"/>
      <c r="E12" s="41"/>
      <c r="F12" s="42"/>
      <c r="G12" s="34" t="s">
        <v>39</v>
      </c>
      <c r="H12" s="35">
        <v>1829</v>
      </c>
      <c r="I12" s="36">
        <v>3353</v>
      </c>
      <c r="J12" s="37">
        <v>26</v>
      </c>
      <c r="K12" s="38">
        <f t="shared" si="0"/>
        <v>159.44856200000001</v>
      </c>
      <c r="L12" s="39" t="s">
        <v>321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2529</v>
      </c>
      <c r="B14" s="16" t="s">
        <v>353</v>
      </c>
      <c r="C14" s="17">
        <v>22</v>
      </c>
      <c r="D14" s="18" t="s">
        <v>307</v>
      </c>
      <c r="E14" s="41">
        <v>108</v>
      </c>
      <c r="F14" s="42">
        <v>84.48</v>
      </c>
      <c r="G14" s="34" t="s">
        <v>49</v>
      </c>
      <c r="H14" s="35">
        <v>1829</v>
      </c>
      <c r="I14" s="36">
        <v>3353</v>
      </c>
      <c r="J14" s="37">
        <v>15</v>
      </c>
      <c r="K14" s="38">
        <f t="shared" si="0"/>
        <v>91.989554999999996</v>
      </c>
      <c r="L14" s="39" t="s">
        <v>465</v>
      </c>
    </row>
    <row r="15" spans="1:12" s="27" customFormat="1" ht="19.5" customHeight="1" x14ac:dyDescent="0.3">
      <c r="A15" s="28"/>
      <c r="B15" s="93"/>
      <c r="C15" s="17">
        <v>22</v>
      </c>
      <c r="D15" s="18" t="s">
        <v>320</v>
      </c>
      <c r="E15" s="41">
        <v>108</v>
      </c>
      <c r="F15" s="42">
        <v>84.48</v>
      </c>
      <c r="G15" s="34" t="s">
        <v>49</v>
      </c>
      <c r="H15" s="35">
        <v>1981</v>
      </c>
      <c r="I15" s="36">
        <v>3353</v>
      </c>
      <c r="J15" s="37">
        <v>1</v>
      </c>
      <c r="K15" s="38">
        <f t="shared" si="0"/>
        <v>6.6422930000000004</v>
      </c>
      <c r="L15" s="39" t="s">
        <v>601</v>
      </c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 t="s">
        <v>18</v>
      </c>
      <c r="H16" s="35">
        <v>1829</v>
      </c>
      <c r="I16" s="36">
        <v>3353</v>
      </c>
      <c r="J16" s="37">
        <v>14</v>
      </c>
      <c r="K16" s="38">
        <f t="shared" si="0"/>
        <v>85.856917999999993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81"/>
      <c r="F17" s="8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2547</v>
      </c>
      <c r="B18" s="93" t="s">
        <v>1387</v>
      </c>
      <c r="C18" s="17">
        <v>25.76</v>
      </c>
      <c r="D18" s="18" t="s">
        <v>1402</v>
      </c>
      <c r="E18" s="41">
        <v>2</v>
      </c>
      <c r="F18" s="42">
        <v>2.8</v>
      </c>
      <c r="G18" s="34"/>
      <c r="H18" s="35"/>
      <c r="I18" s="36"/>
      <c r="J18" s="37"/>
      <c r="K18" s="38">
        <f t="shared" si="0"/>
        <v>0</v>
      </c>
      <c r="L18" s="39" t="s">
        <v>31</v>
      </c>
    </row>
    <row r="19" spans="1:12" s="27" customFormat="1" ht="19.5" customHeight="1" x14ac:dyDescent="0.3">
      <c r="A19" s="28"/>
      <c r="B19" s="93"/>
      <c r="C19" s="17">
        <v>22</v>
      </c>
      <c r="D19" s="18" t="s">
        <v>2548</v>
      </c>
      <c r="E19" s="81">
        <v>1</v>
      </c>
      <c r="F19" s="82">
        <v>0.7</v>
      </c>
      <c r="G19" s="34"/>
      <c r="H19" s="35"/>
      <c r="I19" s="36"/>
      <c r="J19" s="37"/>
      <c r="K19" s="38">
        <f t="shared" si="0"/>
        <v>0</v>
      </c>
      <c r="L19" s="39" t="s">
        <v>31</v>
      </c>
    </row>
    <row r="20" spans="1:12" s="27" customFormat="1" ht="19.5" customHeight="1" x14ac:dyDescent="0.3">
      <c r="A20" s="28"/>
      <c r="B20" s="16"/>
      <c r="C20" s="17">
        <v>22</v>
      </c>
      <c r="D20" s="18" t="s">
        <v>17</v>
      </c>
      <c r="E20" s="81">
        <v>1</v>
      </c>
      <c r="F20" s="82">
        <v>1.17</v>
      </c>
      <c r="G20" s="34"/>
      <c r="H20" s="35"/>
      <c r="I20" s="36"/>
      <c r="J20" s="37"/>
      <c r="K20" s="38">
        <f t="shared" si="0"/>
        <v>0</v>
      </c>
      <c r="L20" s="39" t="s">
        <v>31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 t="s">
        <v>2549</v>
      </c>
      <c r="B22" s="93" t="s">
        <v>2550</v>
      </c>
      <c r="C22" s="17">
        <v>28</v>
      </c>
      <c r="D22" s="18" t="s">
        <v>539</v>
      </c>
      <c r="E22" s="41">
        <v>1</v>
      </c>
      <c r="F22" s="42">
        <v>4.01</v>
      </c>
      <c r="G22" s="43" t="s">
        <v>189</v>
      </c>
      <c r="H22" s="35">
        <v>1981</v>
      </c>
      <c r="I22" s="36">
        <v>3048</v>
      </c>
      <c r="J22" s="37">
        <v>1</v>
      </c>
      <c r="K22" s="38">
        <f t="shared" si="0"/>
        <v>6.038088000000001</v>
      </c>
      <c r="L22" s="39" t="s">
        <v>2553</v>
      </c>
    </row>
    <row r="23" spans="1:12" s="27" customFormat="1" ht="19.5" customHeight="1" x14ac:dyDescent="0.3">
      <c r="A23" s="28"/>
      <c r="B23" s="16"/>
      <c r="C23" s="17">
        <v>29.76</v>
      </c>
      <c r="D23" s="18" t="s">
        <v>227</v>
      </c>
      <c r="E23" s="41">
        <v>1</v>
      </c>
      <c r="F23" s="42">
        <v>1.0900000000000001</v>
      </c>
      <c r="G23" s="34" t="s">
        <v>822</v>
      </c>
      <c r="H23" s="35">
        <v>2438</v>
      </c>
      <c r="I23" s="36">
        <v>3353</v>
      </c>
      <c r="J23" s="37">
        <v>1</v>
      </c>
      <c r="K23" s="38">
        <f t="shared" si="0"/>
        <v>8.174614</v>
      </c>
      <c r="L23" s="39" t="s">
        <v>2553</v>
      </c>
    </row>
    <row r="24" spans="1:12" s="27" customFormat="1" ht="19.5" customHeight="1" x14ac:dyDescent="0.3">
      <c r="A24" s="28" t="s">
        <v>2551</v>
      </c>
      <c r="B24" s="16" t="s">
        <v>1943</v>
      </c>
      <c r="C24" s="17">
        <v>22</v>
      </c>
      <c r="D24" s="18" t="s">
        <v>17</v>
      </c>
      <c r="E24" s="41">
        <v>1</v>
      </c>
      <c r="F24" s="42">
        <v>1.42</v>
      </c>
      <c r="G24" s="34" t="s">
        <v>18</v>
      </c>
      <c r="H24" s="35">
        <v>2134</v>
      </c>
      <c r="I24" s="36">
        <v>3048</v>
      </c>
      <c r="J24" s="37">
        <v>1</v>
      </c>
      <c r="K24" s="38">
        <f t="shared" si="0"/>
        <v>6.5044319999999995</v>
      </c>
      <c r="L24" s="39" t="s">
        <v>2553</v>
      </c>
    </row>
    <row r="25" spans="1:12" s="27" customFormat="1" ht="19.5" customHeight="1" x14ac:dyDescent="0.3">
      <c r="A25" s="28" t="s">
        <v>2552</v>
      </c>
      <c r="B25" s="16" t="s">
        <v>692</v>
      </c>
      <c r="C25" s="17">
        <v>22</v>
      </c>
      <c r="D25" s="18" t="s">
        <v>17</v>
      </c>
      <c r="E25" s="41">
        <v>2</v>
      </c>
      <c r="F25" s="42">
        <v>0.56000000000000005</v>
      </c>
      <c r="G25" s="34" t="s">
        <v>62</v>
      </c>
      <c r="H25" s="35">
        <v>2438</v>
      </c>
      <c r="I25" s="36">
        <v>3048</v>
      </c>
      <c r="J25" s="37">
        <v>1</v>
      </c>
      <c r="K25" s="38">
        <f t="shared" si="0"/>
        <v>7.4310240000000007</v>
      </c>
      <c r="L25" s="39" t="s">
        <v>2553</v>
      </c>
    </row>
    <row r="26" spans="1:12" s="27" customFormat="1" ht="19.5" customHeight="1" x14ac:dyDescent="0.3">
      <c r="A26" s="28"/>
      <c r="B26" s="16"/>
      <c r="C26" s="17">
        <v>26</v>
      </c>
      <c r="D26" s="18" t="s">
        <v>17</v>
      </c>
      <c r="E26" s="41">
        <v>1</v>
      </c>
      <c r="F26" s="42">
        <v>1.43</v>
      </c>
      <c r="G26" s="34"/>
      <c r="H26" s="35"/>
      <c r="I26" s="36"/>
      <c r="J26" s="37"/>
      <c r="K26" s="38">
        <f t="shared" si="0"/>
        <v>0</v>
      </c>
      <c r="L26" s="39" t="s">
        <v>2553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 t="s">
        <v>2554</v>
      </c>
      <c r="B28" s="16" t="s">
        <v>2555</v>
      </c>
      <c r="C28" s="17">
        <v>22</v>
      </c>
      <c r="D28" s="18" t="s">
        <v>17</v>
      </c>
      <c r="E28" s="41">
        <v>1</v>
      </c>
      <c r="F28" s="42">
        <v>1.41</v>
      </c>
      <c r="G28" s="34" t="s">
        <v>18</v>
      </c>
      <c r="H28" s="35">
        <v>2134</v>
      </c>
      <c r="I28" s="36">
        <v>3048</v>
      </c>
      <c r="J28" s="37">
        <v>1</v>
      </c>
      <c r="K28" s="38">
        <f t="shared" si="0"/>
        <v>6.5044319999999995</v>
      </c>
      <c r="L28" s="39" t="s">
        <v>2557</v>
      </c>
    </row>
    <row r="29" spans="1:12" s="27" customFormat="1" ht="19.5" customHeight="1" x14ac:dyDescent="0.3">
      <c r="A29" s="28" t="s">
        <v>2556</v>
      </c>
      <c r="B29" s="16" t="s">
        <v>1819</v>
      </c>
      <c r="C29" s="17">
        <v>22</v>
      </c>
      <c r="D29" s="18" t="s">
        <v>17</v>
      </c>
      <c r="E29" s="41">
        <v>1</v>
      </c>
      <c r="F29" s="42">
        <v>3.05</v>
      </c>
      <c r="G29" s="34" t="s">
        <v>39</v>
      </c>
      <c r="H29" s="35">
        <v>1981</v>
      </c>
      <c r="I29" s="36">
        <v>3353</v>
      </c>
      <c r="J29" s="37">
        <v>1</v>
      </c>
      <c r="K29" s="38">
        <f t="shared" si="0"/>
        <v>6.6422930000000004</v>
      </c>
      <c r="L29" s="39" t="s">
        <v>2557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 t="s">
        <v>2558</v>
      </c>
      <c r="B31" s="93" t="s">
        <v>145</v>
      </c>
      <c r="C31" s="17">
        <v>24</v>
      </c>
      <c r="D31" s="18" t="s">
        <v>146</v>
      </c>
      <c r="E31" s="41">
        <v>10</v>
      </c>
      <c r="F31" s="42">
        <v>33.299999999999997</v>
      </c>
      <c r="G31" s="34" t="s">
        <v>49</v>
      </c>
      <c r="H31" s="35">
        <v>1981</v>
      </c>
      <c r="I31" s="36">
        <v>3353</v>
      </c>
      <c r="J31" s="37">
        <v>21</v>
      </c>
      <c r="K31" s="38">
        <f t="shared" si="0"/>
        <v>139.48815300000001</v>
      </c>
      <c r="L31" s="39" t="s">
        <v>202</v>
      </c>
    </row>
    <row r="32" spans="1:12" s="27" customFormat="1" ht="19.5" customHeight="1" x14ac:dyDescent="0.3">
      <c r="A32" s="28"/>
      <c r="B32" s="16"/>
      <c r="C32" s="17">
        <v>24</v>
      </c>
      <c r="D32" s="18" t="s">
        <v>45</v>
      </c>
      <c r="E32" s="41">
        <v>80</v>
      </c>
      <c r="F32" s="42">
        <v>81.5</v>
      </c>
      <c r="G32" s="34"/>
      <c r="H32" s="35"/>
      <c r="I32" s="36"/>
      <c r="J32" s="37"/>
      <c r="K32" s="38">
        <f t="shared" si="0"/>
        <v>0</v>
      </c>
      <c r="L32" s="39" t="s">
        <v>202</v>
      </c>
    </row>
    <row r="33" spans="1:12" s="27" customFormat="1" ht="19.5" customHeight="1" x14ac:dyDescent="0.3">
      <c r="A33" s="28"/>
      <c r="B33" s="16"/>
      <c r="C33" s="17">
        <v>22</v>
      </c>
      <c r="D33" s="18" t="s">
        <v>45</v>
      </c>
      <c r="E33" s="41">
        <v>10</v>
      </c>
      <c r="F33" s="42">
        <v>11.7</v>
      </c>
      <c r="G33" s="34"/>
      <c r="H33" s="35"/>
      <c r="I33" s="36"/>
      <c r="J33" s="37"/>
      <c r="K33" s="38">
        <f t="shared" si="0"/>
        <v>0</v>
      </c>
      <c r="L33" s="39" t="s">
        <v>202</v>
      </c>
    </row>
    <row r="34" spans="1:12" s="27" customFormat="1" ht="19.5" customHeight="1" x14ac:dyDescent="0.3">
      <c r="A34" s="28"/>
      <c r="B34" s="93"/>
      <c r="C34" s="17"/>
      <c r="D34" s="18"/>
      <c r="E34" s="41"/>
      <c r="F34" s="42"/>
      <c r="G34" s="43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 t="s">
        <v>2558</v>
      </c>
      <c r="B35" s="93" t="s">
        <v>145</v>
      </c>
      <c r="C35" s="17">
        <v>24</v>
      </c>
      <c r="D35" s="18" t="s">
        <v>146</v>
      </c>
      <c r="E35" s="41">
        <v>10</v>
      </c>
      <c r="F35" s="42">
        <v>33.299999999999997</v>
      </c>
      <c r="G35" s="34" t="s">
        <v>62</v>
      </c>
      <c r="H35" s="35">
        <v>1981</v>
      </c>
      <c r="I35" s="36">
        <v>3353</v>
      </c>
      <c r="J35" s="37">
        <v>10</v>
      </c>
      <c r="K35" s="38">
        <f t="shared" si="0"/>
        <v>66.422930000000008</v>
      </c>
      <c r="L35" s="39" t="s">
        <v>106</v>
      </c>
    </row>
    <row r="36" spans="1:12" s="27" customFormat="1" ht="19.5" customHeight="1" x14ac:dyDescent="0.3">
      <c r="A36" s="28"/>
      <c r="B36" s="16"/>
      <c r="C36" s="17">
        <v>24</v>
      </c>
      <c r="D36" s="18" t="s">
        <v>45</v>
      </c>
      <c r="E36" s="41">
        <v>20</v>
      </c>
      <c r="F36" s="42">
        <v>29.1</v>
      </c>
      <c r="G36" s="34"/>
      <c r="H36" s="35"/>
      <c r="I36" s="36"/>
      <c r="J36" s="37"/>
      <c r="K36" s="38">
        <f t="shared" si="0"/>
        <v>0</v>
      </c>
      <c r="L36" s="39" t="s">
        <v>2559</v>
      </c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38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2560</v>
      </c>
      <c r="B40" s="45" t="s">
        <v>818</v>
      </c>
      <c r="C40" s="46">
        <v>22</v>
      </c>
      <c r="D40" s="47" t="s">
        <v>17</v>
      </c>
      <c r="E40" s="48">
        <v>212</v>
      </c>
      <c r="F40" s="49">
        <v>281.38</v>
      </c>
      <c r="G40" s="50" t="s">
        <v>18</v>
      </c>
      <c r="H40" s="51">
        <v>1981</v>
      </c>
      <c r="I40" s="45">
        <v>3353</v>
      </c>
      <c r="J40" s="52">
        <v>13</v>
      </c>
      <c r="K40" s="53">
        <f t="shared" si="0"/>
        <v>86.349809000000008</v>
      </c>
      <c r="L40" s="54"/>
    </row>
    <row r="41" spans="1:12" s="55" customFormat="1" ht="19.5" customHeight="1" x14ac:dyDescent="0.3">
      <c r="A41" s="44"/>
      <c r="B41" s="45"/>
      <c r="C41" s="77"/>
      <c r="D41" s="47"/>
      <c r="E41" s="48"/>
      <c r="F41" s="49"/>
      <c r="G41" s="50" t="s">
        <v>18</v>
      </c>
      <c r="H41" s="51">
        <v>1981</v>
      </c>
      <c r="I41" s="45">
        <v>3048</v>
      </c>
      <c r="J41" s="52">
        <v>37</v>
      </c>
      <c r="K41" s="53">
        <f t="shared" si="0"/>
        <v>223.40925600000003</v>
      </c>
      <c r="L41" s="54"/>
    </row>
    <row r="42" spans="1:12" s="55" customFormat="1" ht="19.5" customHeight="1" x14ac:dyDescent="0.3">
      <c r="A42" s="44"/>
      <c r="B42" s="76"/>
      <c r="C42" s="77"/>
      <c r="D42" s="78"/>
      <c r="E42" s="48"/>
      <c r="F42" s="49"/>
      <c r="G42" s="50" t="s">
        <v>39</v>
      </c>
      <c r="H42" s="51">
        <v>1981</v>
      </c>
      <c r="I42" s="45">
        <v>3353</v>
      </c>
      <c r="J42" s="52">
        <v>12</v>
      </c>
      <c r="K42" s="53">
        <f t="shared" si="0"/>
        <v>79.707515999999998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 t="s">
        <v>19</v>
      </c>
      <c r="H43" s="51">
        <v>1981</v>
      </c>
      <c r="I43" s="45">
        <v>3048</v>
      </c>
      <c r="J43" s="52">
        <v>38</v>
      </c>
      <c r="K43" s="53">
        <f t="shared" si="0"/>
        <v>229.44734400000004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2525</v>
      </c>
      <c r="B45" s="96" t="s">
        <v>1366</v>
      </c>
      <c r="C45" s="77">
        <v>22</v>
      </c>
      <c r="D45" s="78" t="s">
        <v>2561</v>
      </c>
      <c r="E45" s="48">
        <v>1</v>
      </c>
      <c r="F45" s="49">
        <v>0.81</v>
      </c>
      <c r="G45" s="50"/>
      <c r="H45" s="51"/>
      <c r="I45" s="45"/>
      <c r="J45" s="52"/>
      <c r="K45" s="53">
        <f t="shared" si="0"/>
        <v>0</v>
      </c>
      <c r="L45" s="64" t="s">
        <v>31</v>
      </c>
    </row>
    <row r="46" spans="1:12" s="55" customFormat="1" ht="19.5" customHeight="1" x14ac:dyDescent="0.3">
      <c r="A46" s="44"/>
      <c r="B46" s="96"/>
      <c r="C46" s="77"/>
      <c r="D46" s="78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2562</v>
      </c>
      <c r="B47" s="96" t="s">
        <v>2563</v>
      </c>
      <c r="C47" s="77">
        <v>24</v>
      </c>
      <c r="D47" s="78" t="s">
        <v>2564</v>
      </c>
      <c r="E47" s="48">
        <v>1</v>
      </c>
      <c r="F47" s="49">
        <v>0.28000000000000003</v>
      </c>
      <c r="G47" s="50"/>
      <c r="H47" s="51"/>
      <c r="I47" s="45"/>
      <c r="J47" s="52"/>
      <c r="K47" s="53">
        <f t="shared" si="0"/>
        <v>0</v>
      </c>
      <c r="L47" s="64" t="s">
        <v>31</v>
      </c>
    </row>
    <row r="48" spans="1:12" s="55" customFormat="1" ht="19.5" customHeight="1" x14ac:dyDescent="0.3">
      <c r="A48" s="44"/>
      <c r="B48" s="96"/>
      <c r="C48" s="77"/>
      <c r="D48" s="78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2565</v>
      </c>
      <c r="B49" s="96" t="s">
        <v>187</v>
      </c>
      <c r="C49" s="77">
        <v>35.520000000000003</v>
      </c>
      <c r="D49" s="78" t="s">
        <v>2566</v>
      </c>
      <c r="E49" s="48">
        <v>3</v>
      </c>
      <c r="F49" s="49">
        <v>3.78</v>
      </c>
      <c r="G49" s="50"/>
      <c r="H49" s="51"/>
      <c r="I49" s="45"/>
      <c r="J49" s="52"/>
      <c r="K49" s="53">
        <f t="shared" si="0"/>
        <v>0</v>
      </c>
      <c r="L49" s="64" t="s">
        <v>31</v>
      </c>
    </row>
    <row r="50" spans="1:12" s="55" customFormat="1" ht="19.5" customHeight="1" x14ac:dyDescent="0.3">
      <c r="A50" s="44"/>
      <c r="B50" s="76"/>
      <c r="C50" s="46">
        <v>28</v>
      </c>
      <c r="D50" s="47" t="s">
        <v>2090</v>
      </c>
      <c r="E50" s="48">
        <v>2</v>
      </c>
      <c r="F50" s="49">
        <v>2.82</v>
      </c>
      <c r="G50" s="50"/>
      <c r="H50" s="51"/>
      <c r="I50" s="45"/>
      <c r="J50" s="52"/>
      <c r="K50" s="53">
        <f t="shared" si="0"/>
        <v>0</v>
      </c>
      <c r="L50" s="64" t="s">
        <v>31</v>
      </c>
    </row>
    <row r="51" spans="1:12" s="55" customFormat="1" ht="19.5" customHeight="1" x14ac:dyDescent="0.3">
      <c r="A51" s="44"/>
      <c r="B51" s="76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2567</v>
      </c>
      <c r="B52" s="76" t="s">
        <v>2568</v>
      </c>
      <c r="C52" s="46">
        <v>43</v>
      </c>
      <c r="D52" s="47" t="s">
        <v>2569</v>
      </c>
      <c r="E52" s="48">
        <v>126</v>
      </c>
      <c r="F52" s="49">
        <v>362.25</v>
      </c>
      <c r="G52" s="50" t="s">
        <v>211</v>
      </c>
      <c r="H52" s="51">
        <v>2134</v>
      </c>
      <c r="I52" s="45">
        <v>3048</v>
      </c>
      <c r="J52" s="52">
        <v>63</v>
      </c>
      <c r="K52" s="53">
        <f t="shared" si="0"/>
        <v>409.77921599999996</v>
      </c>
      <c r="L52" s="54" t="s">
        <v>839</v>
      </c>
    </row>
    <row r="53" spans="1:12" s="55" customFormat="1" ht="19.5" customHeight="1" x14ac:dyDescent="0.3">
      <c r="A53" s="44"/>
      <c r="B53" s="76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2570</v>
      </c>
      <c r="B54" s="76" t="s">
        <v>187</v>
      </c>
      <c r="C54" s="46">
        <v>28</v>
      </c>
      <c r="D54" s="47" t="s">
        <v>245</v>
      </c>
      <c r="E54" s="48">
        <v>3</v>
      </c>
      <c r="F54" s="49">
        <v>8.36</v>
      </c>
      <c r="G54" s="50" t="s">
        <v>560</v>
      </c>
      <c r="H54" s="51">
        <v>3050</v>
      </c>
      <c r="I54" s="45">
        <v>4000</v>
      </c>
      <c r="J54" s="52">
        <v>2</v>
      </c>
      <c r="K54" s="53">
        <f t="shared" si="0"/>
        <v>24.4</v>
      </c>
      <c r="L54" s="54"/>
    </row>
    <row r="55" spans="1:12" s="55" customFormat="1" ht="19.5" customHeight="1" x14ac:dyDescent="0.3">
      <c r="A55" s="44"/>
      <c r="B55" s="76"/>
      <c r="C55" s="46">
        <v>28</v>
      </c>
      <c r="D55" s="47" t="s">
        <v>943</v>
      </c>
      <c r="E55" s="48">
        <v>1</v>
      </c>
      <c r="F55" s="49">
        <v>1.26</v>
      </c>
      <c r="G55" s="50" t="s">
        <v>246</v>
      </c>
      <c r="H55" s="51">
        <v>3050</v>
      </c>
      <c r="I55" s="45">
        <v>4000</v>
      </c>
      <c r="J55" s="52">
        <v>1</v>
      </c>
      <c r="K55" s="53">
        <f t="shared" si="0"/>
        <v>12.2</v>
      </c>
      <c r="L55" s="54"/>
    </row>
    <row r="56" spans="1:12" s="55" customFormat="1" ht="19.5" customHeight="1" x14ac:dyDescent="0.3">
      <c r="A56" s="44"/>
      <c r="B56" s="76"/>
      <c r="C56" s="46">
        <v>28</v>
      </c>
      <c r="D56" s="47" t="s">
        <v>188</v>
      </c>
      <c r="E56" s="48">
        <v>8</v>
      </c>
      <c r="F56" s="49">
        <v>12.72</v>
      </c>
      <c r="G56" s="50" t="s">
        <v>209</v>
      </c>
      <c r="H56" s="51">
        <v>2438</v>
      </c>
      <c r="I56" s="45">
        <v>3353</v>
      </c>
      <c r="J56" s="52">
        <v>2</v>
      </c>
      <c r="K56" s="53">
        <f t="shared" si="0"/>
        <v>16.349228</v>
      </c>
      <c r="L56" s="54" t="s">
        <v>2571</v>
      </c>
    </row>
    <row r="57" spans="1:12" s="55" customFormat="1" ht="19.5" customHeight="1" x14ac:dyDescent="0.3">
      <c r="A57" s="44"/>
      <c r="B57" s="76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2570</v>
      </c>
      <c r="B58" s="76" t="s">
        <v>187</v>
      </c>
      <c r="C58" s="46">
        <v>28</v>
      </c>
      <c r="D58" s="47" t="s">
        <v>188</v>
      </c>
      <c r="E58" s="48">
        <v>13</v>
      </c>
      <c r="F58" s="49">
        <v>20.53</v>
      </c>
      <c r="G58" s="50" t="s">
        <v>189</v>
      </c>
      <c r="H58" s="51">
        <v>2134</v>
      </c>
      <c r="I58" s="45">
        <v>3353</v>
      </c>
      <c r="J58" s="52">
        <v>3</v>
      </c>
      <c r="K58" s="53">
        <f t="shared" si="0"/>
        <v>21.465906</v>
      </c>
      <c r="L58" s="54" t="s">
        <v>100</v>
      </c>
    </row>
    <row r="59" spans="1:12" s="55" customFormat="1" ht="19.5" customHeight="1" x14ac:dyDescent="0.3">
      <c r="A59" s="44"/>
      <c r="B59" s="76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76"/>
      <c r="C60" s="77"/>
      <c r="D60" s="78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76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76"/>
      <c r="C62" s="77"/>
      <c r="D62" s="78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76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76"/>
      <c r="C64" s="77"/>
      <c r="D64" s="78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76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76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9" customFormat="1" ht="20.100000000000001" customHeight="1" x14ac:dyDescent="0.3">
      <c r="A68" s="44"/>
      <c r="B68" s="45"/>
      <c r="C68" s="46"/>
      <c r="D68" s="47"/>
      <c r="E68" s="56"/>
      <c r="F68" s="57"/>
      <c r="G68" s="50"/>
      <c r="H68" s="51"/>
      <c r="I68" s="45"/>
      <c r="J68" s="52"/>
      <c r="K68" s="53">
        <f t="shared" si="0"/>
        <v>0</v>
      </c>
      <c r="L68" s="58">
        <f>SUM(J39:J69)</f>
        <v>171</v>
      </c>
    </row>
    <row r="69" spans="1:12" s="59" customFormat="1" ht="20.100000000000001" customHeight="1" x14ac:dyDescent="0.3">
      <c r="A69" s="44"/>
      <c r="B69" s="45"/>
      <c r="C69" s="46"/>
      <c r="D69" s="47"/>
      <c r="E69" s="60"/>
      <c r="F69" s="61"/>
      <c r="G69" s="62"/>
      <c r="H69" s="51"/>
      <c r="I69" s="45"/>
      <c r="J69" s="63"/>
      <c r="K69" s="53">
        <f t="shared" si="0"/>
        <v>0</v>
      </c>
      <c r="L69" s="64">
        <f>SUM(K39:K69)</f>
        <v>1103.108275</v>
      </c>
    </row>
    <row r="70" spans="1:12" s="59" customFormat="1" ht="20.100000000000001" customHeight="1" thickBot="1" x14ac:dyDescent="0.35">
      <c r="A70" s="114"/>
      <c r="B70" s="115"/>
      <c r="C70" s="115"/>
      <c r="D70" s="115"/>
      <c r="E70" s="115"/>
      <c r="F70" s="115"/>
      <c r="G70" s="115"/>
      <c r="H70" s="115"/>
      <c r="I70" s="115"/>
      <c r="J70" s="65">
        <f>SUM(J7:J69)</f>
        <v>290</v>
      </c>
      <c r="K70" s="66">
        <f>SUM(K7:K69)</f>
        <v>1854.209787</v>
      </c>
      <c r="L70" s="67"/>
    </row>
    <row r="71" spans="1:12" s="59" customFormat="1" ht="20.100000000000001" customHeight="1" thickTop="1" thickBot="1" x14ac:dyDescent="0.35">
      <c r="A71" s="116" t="s">
        <v>52</v>
      </c>
      <c r="B71" s="117"/>
      <c r="C71" s="68"/>
      <c r="D71" s="118">
        <f>J70</f>
        <v>290</v>
      </c>
      <c r="E71" s="119"/>
      <c r="F71" s="119"/>
      <c r="G71" s="120"/>
      <c r="H71" s="121"/>
      <c r="I71" s="121"/>
      <c r="J71" s="122"/>
      <c r="K71" s="119"/>
      <c r="L71" s="123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71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72"/>
      <c r="F77" s="5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5"/>
      <c r="G78" s="73"/>
      <c r="H78" s="5"/>
      <c r="I78" s="74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70"/>
      <c r="G82" s="5"/>
      <c r="H82" s="72"/>
      <c r="I82" s="72"/>
      <c r="J82" s="5"/>
      <c r="K82" s="5"/>
      <c r="L82" s="5"/>
    </row>
    <row r="83" spans="1:12" ht="20.100000000000001" customHeight="1" x14ac:dyDescent="0.3">
      <c r="A83" s="113"/>
      <c r="B83" s="113"/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H85" s="72"/>
      <c r="I85" s="72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A87" s="113"/>
      <c r="B87" s="113"/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H89" s="72"/>
      <c r="I89" s="72"/>
    </row>
    <row r="90" spans="1:12" ht="20.100000000000001" customHeight="1" x14ac:dyDescent="0.3">
      <c r="H90" s="72"/>
      <c r="I90" s="72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J91" s="5"/>
      <c r="K91" s="5"/>
      <c r="L91" s="5"/>
    </row>
    <row r="92" spans="1:12" s="72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5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5" customFormat="1" ht="19.5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2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ht="19.5" customHeight="1" x14ac:dyDescent="0.3"/>
    <row r="99" spans="1:12" ht="19.5" customHeight="1" x14ac:dyDescent="0.3"/>
    <row r="100" spans="1:12" ht="19.5" customHeight="1" x14ac:dyDescent="0.3"/>
    <row r="101" spans="1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>
        <v>2</v>
      </c>
      <c r="C161" s="5"/>
      <c r="D161" s="5"/>
      <c r="E161" s="5"/>
      <c r="F161" s="70"/>
      <c r="G161" s="5"/>
      <c r="H161" s="5"/>
      <c r="I161" s="5"/>
      <c r="J161" s="5"/>
      <c r="K161" s="5"/>
      <c r="L161" s="5"/>
    </row>
  </sheetData>
  <mergeCells count="30">
    <mergeCell ref="A86:B86"/>
    <mergeCell ref="A87:B87"/>
    <mergeCell ref="A77:B77"/>
    <mergeCell ref="A78:B78"/>
    <mergeCell ref="A79:B79"/>
    <mergeCell ref="A81:B81"/>
    <mergeCell ref="A82:B82"/>
    <mergeCell ref="A83:B83"/>
    <mergeCell ref="A76:B7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0:I70"/>
    <mergeCell ref="A71:B71"/>
    <mergeCell ref="D71:G71"/>
    <mergeCell ref="H71:J71"/>
    <mergeCell ref="K71:L71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L160"/>
  <sheetViews>
    <sheetView view="pageBreakPreview" topLeftCell="E49" zoomScale="85" zoomScaleSheetLayoutView="85" workbookViewId="0">
      <selection activeCell="L67" sqref="L67:L6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46115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8" si="0">(H7/1000*I7/1000)*J7</f>
        <v>0</v>
      </c>
      <c r="L7" s="26">
        <f>SUM(J7:J37)</f>
        <v>208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SUM(K7:K37)</f>
        <v>1280.9851660000002</v>
      </c>
    </row>
    <row r="9" spans="1:12" s="27" customFormat="1" ht="19.5" customHeight="1" x14ac:dyDescent="0.3">
      <c r="A9" s="28" t="s">
        <v>2511</v>
      </c>
      <c r="B9" s="16" t="s">
        <v>25</v>
      </c>
      <c r="C9" s="17">
        <v>5</v>
      </c>
      <c r="D9" s="18" t="s">
        <v>121</v>
      </c>
      <c r="E9" s="81">
        <v>16</v>
      </c>
      <c r="F9" s="82">
        <v>16.62</v>
      </c>
      <c r="G9" s="34" t="s">
        <v>18</v>
      </c>
      <c r="H9" s="35">
        <v>2134</v>
      </c>
      <c r="I9" s="36">
        <v>3353</v>
      </c>
      <c r="J9" s="37">
        <v>3</v>
      </c>
      <c r="K9" s="38">
        <f t="shared" si="0"/>
        <v>21.465906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2512</v>
      </c>
      <c r="B11" s="16" t="s">
        <v>353</v>
      </c>
      <c r="C11" s="17">
        <v>22</v>
      </c>
      <c r="D11" s="18" t="s">
        <v>307</v>
      </c>
      <c r="E11" s="81">
        <v>102</v>
      </c>
      <c r="F11" s="82">
        <v>85.8</v>
      </c>
      <c r="G11" s="34" t="s">
        <v>49</v>
      </c>
      <c r="H11" s="35">
        <v>1829</v>
      </c>
      <c r="I11" s="36">
        <v>3353</v>
      </c>
      <c r="J11" s="37">
        <v>15</v>
      </c>
      <c r="K11" s="38">
        <f t="shared" si="0"/>
        <v>91.989554999999996</v>
      </c>
      <c r="L11" s="39" t="s">
        <v>321</v>
      </c>
    </row>
    <row r="12" spans="1:12" s="27" customFormat="1" ht="19.5" customHeight="1" x14ac:dyDescent="0.3">
      <c r="A12" s="28"/>
      <c r="B12" s="93"/>
      <c r="C12" s="17">
        <v>22</v>
      </c>
      <c r="D12" s="18" t="s">
        <v>320</v>
      </c>
      <c r="E12" s="41">
        <v>111</v>
      </c>
      <c r="F12" s="42">
        <v>90.63</v>
      </c>
      <c r="G12" s="34" t="s">
        <v>18</v>
      </c>
      <c r="H12" s="35">
        <v>1829</v>
      </c>
      <c r="I12" s="36">
        <v>3353</v>
      </c>
      <c r="J12" s="37">
        <v>16</v>
      </c>
      <c r="K12" s="38">
        <f t="shared" si="0"/>
        <v>98.122191999999998</v>
      </c>
      <c r="L12" s="39" t="s">
        <v>321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39</v>
      </c>
      <c r="H13" s="35">
        <v>1829</v>
      </c>
      <c r="I13" s="36">
        <v>3353</v>
      </c>
      <c r="J13" s="37">
        <v>31</v>
      </c>
      <c r="K13" s="38">
        <f t="shared" si="0"/>
        <v>190.11174700000001</v>
      </c>
      <c r="L13" s="39" t="s">
        <v>321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2503</v>
      </c>
      <c r="B15" s="16" t="s">
        <v>353</v>
      </c>
      <c r="C15" s="17">
        <v>22</v>
      </c>
      <c r="D15" s="18" t="s">
        <v>320</v>
      </c>
      <c r="E15" s="41">
        <v>230</v>
      </c>
      <c r="F15" s="42">
        <v>161.80000000000001</v>
      </c>
      <c r="G15" s="34" t="s">
        <v>18</v>
      </c>
      <c r="H15" s="35">
        <v>1829</v>
      </c>
      <c r="I15" s="36">
        <v>3353</v>
      </c>
      <c r="J15" s="37">
        <v>27</v>
      </c>
      <c r="K15" s="38">
        <f t="shared" si="0"/>
        <v>165.581199</v>
      </c>
      <c r="L15" s="39" t="s">
        <v>2513</v>
      </c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2515</v>
      </c>
      <c r="B17" s="16" t="s">
        <v>353</v>
      </c>
      <c r="C17" s="17">
        <v>22</v>
      </c>
      <c r="D17" s="18" t="s">
        <v>307</v>
      </c>
      <c r="E17" s="81">
        <v>166</v>
      </c>
      <c r="F17" s="82">
        <v>143.37</v>
      </c>
      <c r="G17" s="34" t="s">
        <v>49</v>
      </c>
      <c r="H17" s="35">
        <v>1829</v>
      </c>
      <c r="I17" s="36">
        <v>3353</v>
      </c>
      <c r="J17" s="37">
        <v>21</v>
      </c>
      <c r="K17" s="38">
        <f t="shared" si="0"/>
        <v>128.78537700000001</v>
      </c>
      <c r="L17" s="39" t="s">
        <v>2516</v>
      </c>
    </row>
    <row r="18" spans="1:12" s="27" customFormat="1" ht="19.5" customHeight="1" x14ac:dyDescent="0.3">
      <c r="A18" s="28"/>
      <c r="B18" s="93"/>
      <c r="C18" s="17">
        <v>22</v>
      </c>
      <c r="D18" s="18" t="s">
        <v>320</v>
      </c>
      <c r="E18" s="41">
        <v>167</v>
      </c>
      <c r="F18" s="42">
        <v>144.80000000000001</v>
      </c>
      <c r="G18" s="34" t="s">
        <v>18</v>
      </c>
      <c r="H18" s="35">
        <v>1829</v>
      </c>
      <c r="I18" s="36">
        <v>3353</v>
      </c>
      <c r="J18" s="37">
        <v>21</v>
      </c>
      <c r="K18" s="38">
        <f t="shared" si="0"/>
        <v>128.78537700000001</v>
      </c>
      <c r="L18" s="39" t="s">
        <v>601</v>
      </c>
    </row>
    <row r="19" spans="1:12" s="27" customFormat="1" ht="19.5" customHeight="1" x14ac:dyDescent="0.3">
      <c r="A19" s="28"/>
      <c r="B19" s="93"/>
      <c r="C19" s="17"/>
      <c r="D19" s="18"/>
      <c r="E19" s="81"/>
      <c r="F19" s="82"/>
      <c r="G19" s="34" t="s">
        <v>39</v>
      </c>
      <c r="H19" s="35">
        <v>1829</v>
      </c>
      <c r="I19" s="36">
        <v>3353</v>
      </c>
      <c r="J19" s="37">
        <v>21</v>
      </c>
      <c r="K19" s="38">
        <f t="shared" si="0"/>
        <v>128.78537700000001</v>
      </c>
      <c r="L19" s="39" t="s">
        <v>321</v>
      </c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2403</v>
      </c>
      <c r="B21" s="16" t="s">
        <v>2495</v>
      </c>
      <c r="C21" s="17">
        <v>24</v>
      </c>
      <c r="D21" s="18" t="s">
        <v>245</v>
      </c>
      <c r="E21" s="41">
        <v>4</v>
      </c>
      <c r="F21" s="42">
        <v>9.82</v>
      </c>
      <c r="G21" s="34" t="s">
        <v>560</v>
      </c>
      <c r="H21" s="35">
        <v>2440</v>
      </c>
      <c r="I21" s="36">
        <v>3050</v>
      </c>
      <c r="J21" s="37">
        <v>1</v>
      </c>
      <c r="K21" s="38">
        <f t="shared" si="0"/>
        <v>7.4420000000000002</v>
      </c>
      <c r="L21" s="39" t="s">
        <v>2517</v>
      </c>
    </row>
    <row r="22" spans="1:12" s="27" customFormat="1" ht="19.5" customHeight="1" x14ac:dyDescent="0.3">
      <c r="A22" s="28"/>
      <c r="B22" s="93"/>
      <c r="C22" s="17"/>
      <c r="D22" s="18"/>
      <c r="E22" s="41"/>
      <c r="F22" s="42"/>
      <c r="G22" s="43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57</v>
      </c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 t="s">
        <v>2521</v>
      </c>
      <c r="B24" s="16" t="s">
        <v>2522</v>
      </c>
      <c r="C24" s="17">
        <v>5</v>
      </c>
      <c r="D24" s="18" t="s">
        <v>2523</v>
      </c>
      <c r="E24" s="41">
        <v>1</v>
      </c>
      <c r="F24" s="42">
        <v>1.6</v>
      </c>
      <c r="G24" s="34"/>
      <c r="H24" s="35"/>
      <c r="I24" s="36"/>
      <c r="J24" s="37"/>
      <c r="K24" s="38">
        <f t="shared" si="0"/>
        <v>0</v>
      </c>
      <c r="L24" s="39" t="s">
        <v>2524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 t="s">
        <v>2515</v>
      </c>
      <c r="B26" s="16" t="s">
        <v>353</v>
      </c>
      <c r="C26" s="17">
        <v>22</v>
      </c>
      <c r="D26" s="18" t="s">
        <v>320</v>
      </c>
      <c r="E26" s="41">
        <v>167</v>
      </c>
      <c r="F26" s="42">
        <v>144.80000000000001</v>
      </c>
      <c r="G26" s="34" t="s">
        <v>39</v>
      </c>
      <c r="H26" s="35">
        <v>1829</v>
      </c>
      <c r="I26" s="36">
        <v>3353</v>
      </c>
      <c r="J26" s="37">
        <v>21</v>
      </c>
      <c r="K26" s="38">
        <f t="shared" ref="K26:K31" si="1">(H26/1000*I26/1000)*J26</f>
        <v>128.78537700000001</v>
      </c>
      <c r="L26" s="39" t="s">
        <v>425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1"/>
        <v>0</v>
      </c>
      <c r="L27" s="39"/>
    </row>
    <row r="28" spans="1:12" s="27" customFormat="1" ht="19.5" customHeight="1" x14ac:dyDescent="0.3">
      <c r="A28" s="28" t="s">
        <v>2525</v>
      </c>
      <c r="B28" s="16" t="s">
        <v>2526</v>
      </c>
      <c r="C28" s="17">
        <v>5</v>
      </c>
      <c r="D28" s="18" t="s">
        <v>2527</v>
      </c>
      <c r="E28" s="41">
        <v>34</v>
      </c>
      <c r="F28" s="42">
        <v>12.87</v>
      </c>
      <c r="G28" s="34" t="s">
        <v>2528</v>
      </c>
      <c r="H28" s="35">
        <v>1981</v>
      </c>
      <c r="I28" s="36">
        <v>3353</v>
      </c>
      <c r="J28" s="37">
        <v>2</v>
      </c>
      <c r="K28" s="38">
        <f t="shared" si="1"/>
        <v>13.284586000000001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1"/>
        <v>0</v>
      </c>
      <c r="L29" s="39"/>
    </row>
    <row r="30" spans="1:12" s="27" customFormat="1" ht="19.5" customHeight="1" x14ac:dyDescent="0.3">
      <c r="A30" s="28" t="s">
        <v>2529</v>
      </c>
      <c r="B30" s="16" t="s">
        <v>353</v>
      </c>
      <c r="C30" s="17">
        <v>22</v>
      </c>
      <c r="D30" s="18" t="s">
        <v>307</v>
      </c>
      <c r="E30" s="41">
        <v>108</v>
      </c>
      <c r="F30" s="42">
        <v>84.48</v>
      </c>
      <c r="G30" s="34" t="s">
        <v>39</v>
      </c>
      <c r="H30" s="35">
        <v>1829</v>
      </c>
      <c r="I30" s="36">
        <v>3353</v>
      </c>
      <c r="J30" s="37">
        <v>29</v>
      </c>
      <c r="K30" s="38">
        <f t="shared" si="1"/>
        <v>177.846473</v>
      </c>
      <c r="L30" s="39" t="s">
        <v>425</v>
      </c>
    </row>
    <row r="31" spans="1:12" s="27" customFormat="1" ht="19.5" customHeight="1" x14ac:dyDescent="0.3">
      <c r="A31" s="28"/>
      <c r="B31" s="93"/>
      <c r="C31" s="17">
        <v>22</v>
      </c>
      <c r="D31" s="18" t="s">
        <v>320</v>
      </c>
      <c r="E31" s="41">
        <v>108</v>
      </c>
      <c r="F31" s="42">
        <v>84.48</v>
      </c>
      <c r="G31" s="34"/>
      <c r="H31" s="35"/>
      <c r="I31" s="36"/>
      <c r="J31" s="37"/>
      <c r="K31" s="38">
        <f t="shared" si="1"/>
        <v>0</v>
      </c>
      <c r="L31" s="39" t="s">
        <v>425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93"/>
      <c r="C34" s="17"/>
      <c r="D34" s="18"/>
      <c r="E34" s="41"/>
      <c r="F34" s="42"/>
      <c r="G34" s="43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81"/>
      <c r="F35" s="8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29"/>
      <c r="C37" s="30"/>
      <c r="D37" s="31"/>
      <c r="E37" s="41"/>
      <c r="F37" s="42"/>
      <c r="G37" s="43"/>
      <c r="H37" s="35"/>
      <c r="I37" s="36"/>
      <c r="J37" s="37"/>
      <c r="K37" s="38">
        <f t="shared" si="0"/>
        <v>0</v>
      </c>
      <c r="L37" s="39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2501</v>
      </c>
      <c r="B39" s="45" t="s">
        <v>102</v>
      </c>
      <c r="C39" s="46">
        <v>24</v>
      </c>
      <c r="D39" s="47" t="s">
        <v>55</v>
      </c>
      <c r="E39" s="48">
        <v>9</v>
      </c>
      <c r="F39" s="49">
        <v>13.08</v>
      </c>
      <c r="G39" s="50" t="s">
        <v>56</v>
      </c>
      <c r="H39" s="51">
        <v>1981</v>
      </c>
      <c r="I39" s="45">
        <v>3353</v>
      </c>
      <c r="J39" s="52">
        <v>3</v>
      </c>
      <c r="K39" s="53">
        <f t="shared" si="0"/>
        <v>19.926879</v>
      </c>
      <c r="L39" s="54"/>
    </row>
    <row r="40" spans="1:12" s="55" customFormat="1" ht="19.5" customHeight="1" x14ac:dyDescent="0.3">
      <c r="A40" s="44"/>
      <c r="B40" s="45"/>
      <c r="C40" s="77"/>
      <c r="D40" s="47"/>
      <c r="E40" s="48"/>
      <c r="F40" s="49"/>
      <c r="G40" s="50" t="s">
        <v>18</v>
      </c>
      <c r="H40" s="51">
        <v>1981</v>
      </c>
      <c r="I40" s="45">
        <v>3353</v>
      </c>
      <c r="J40" s="52">
        <v>2</v>
      </c>
      <c r="K40" s="53">
        <f t="shared" si="0"/>
        <v>13.284586000000001</v>
      </c>
      <c r="L40" s="54"/>
    </row>
    <row r="41" spans="1:12" s="55" customFormat="1" ht="19.5" customHeight="1" x14ac:dyDescent="0.3">
      <c r="A41" s="44"/>
      <c r="B41" s="76"/>
      <c r="C41" s="77"/>
      <c r="D41" s="78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2491</v>
      </c>
      <c r="B42" s="45" t="s">
        <v>2456</v>
      </c>
      <c r="C42" s="46">
        <v>43</v>
      </c>
      <c r="D42" s="47" t="s">
        <v>791</v>
      </c>
      <c r="E42" s="48">
        <v>288</v>
      </c>
      <c r="F42" s="49">
        <v>159.36000000000001</v>
      </c>
      <c r="G42" s="50" t="s">
        <v>170</v>
      </c>
      <c r="H42" s="51">
        <v>2438</v>
      </c>
      <c r="I42" s="45">
        <v>3353</v>
      </c>
      <c r="J42" s="52">
        <v>39</v>
      </c>
      <c r="K42" s="53">
        <f t="shared" si="0"/>
        <v>318.80994600000002</v>
      </c>
      <c r="L42" s="54" t="s">
        <v>2518</v>
      </c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2492</v>
      </c>
      <c r="B44" s="96" t="s">
        <v>25</v>
      </c>
      <c r="C44" s="77">
        <v>22</v>
      </c>
      <c r="D44" s="78" t="s">
        <v>17</v>
      </c>
      <c r="E44" s="48">
        <v>352</v>
      </c>
      <c r="F44" s="49">
        <v>520.96</v>
      </c>
      <c r="G44" s="50" t="s">
        <v>18</v>
      </c>
      <c r="H44" s="51">
        <v>2743</v>
      </c>
      <c r="I44" s="45">
        <v>3048</v>
      </c>
      <c r="J44" s="52">
        <v>70</v>
      </c>
      <c r="K44" s="53">
        <f t="shared" si="0"/>
        <v>585.24647999999991</v>
      </c>
      <c r="L44" s="64" t="s">
        <v>2519</v>
      </c>
    </row>
    <row r="45" spans="1:12" s="55" customFormat="1" ht="19.5" customHeight="1" x14ac:dyDescent="0.3">
      <c r="A45" s="44"/>
      <c r="B45" s="96"/>
      <c r="C45" s="77"/>
      <c r="D45" s="78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2492</v>
      </c>
      <c r="B46" s="96" t="s">
        <v>25</v>
      </c>
      <c r="C46" s="77">
        <v>22</v>
      </c>
      <c r="D46" s="78" t="s">
        <v>17</v>
      </c>
      <c r="E46" s="48">
        <v>82</v>
      </c>
      <c r="F46" s="49">
        <v>121.36</v>
      </c>
      <c r="G46" s="50" t="s">
        <v>2493</v>
      </c>
      <c r="H46" s="51">
        <v>2286</v>
      </c>
      <c r="I46" s="45">
        <v>3048</v>
      </c>
      <c r="J46" s="52">
        <v>25</v>
      </c>
      <c r="K46" s="53">
        <f t="shared" si="0"/>
        <v>174.19319999999999</v>
      </c>
      <c r="L46" s="54" t="s">
        <v>2520</v>
      </c>
    </row>
    <row r="47" spans="1:12" s="55" customFormat="1" ht="19.5" customHeight="1" x14ac:dyDescent="0.3">
      <c r="A47" s="44"/>
      <c r="B47" s="96"/>
      <c r="C47" s="77"/>
      <c r="D47" s="78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57</v>
      </c>
      <c r="B48" s="96"/>
      <c r="C48" s="77"/>
      <c r="D48" s="78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2530</v>
      </c>
      <c r="B49" s="76" t="s">
        <v>2531</v>
      </c>
      <c r="C49" s="46">
        <v>5</v>
      </c>
      <c r="D49" s="47" t="s">
        <v>2532</v>
      </c>
      <c r="E49" s="48">
        <v>1</v>
      </c>
      <c r="F49" s="49">
        <v>1.17</v>
      </c>
      <c r="G49" s="50"/>
      <c r="H49" s="51"/>
      <c r="I49" s="45"/>
      <c r="J49" s="52"/>
      <c r="K49" s="53">
        <f t="shared" si="0"/>
        <v>0</v>
      </c>
      <c r="L49" s="54" t="s">
        <v>2524</v>
      </c>
    </row>
    <row r="50" spans="1:12" s="55" customFormat="1" ht="19.5" customHeight="1" x14ac:dyDescent="0.3">
      <c r="A50" s="44"/>
      <c r="B50" s="76"/>
      <c r="C50" s="46"/>
      <c r="D50" s="47"/>
      <c r="E50" s="48"/>
      <c r="F50" s="49"/>
      <c r="G50" s="50"/>
      <c r="H50" s="51"/>
      <c r="I50" s="45"/>
      <c r="J50" s="52"/>
      <c r="K50" s="53">
        <f t="shared" ref="K50:K56" si="2">(H50/1000*I50/1000)*J50</f>
        <v>0</v>
      </c>
      <c r="L50" s="54"/>
    </row>
    <row r="51" spans="1:12" s="55" customFormat="1" ht="19.5" customHeight="1" x14ac:dyDescent="0.3">
      <c r="A51" s="44" t="s">
        <v>2533</v>
      </c>
      <c r="B51" s="76" t="s">
        <v>2534</v>
      </c>
      <c r="C51" s="46">
        <v>22</v>
      </c>
      <c r="D51" s="47" t="s">
        <v>2535</v>
      </c>
      <c r="E51" s="48">
        <v>12</v>
      </c>
      <c r="F51" s="49">
        <v>13.2</v>
      </c>
      <c r="G51" s="50" t="s">
        <v>2528</v>
      </c>
      <c r="H51" s="51">
        <v>1981</v>
      </c>
      <c r="I51" s="45">
        <v>3353</v>
      </c>
      <c r="J51" s="52">
        <v>2</v>
      </c>
      <c r="K51" s="53">
        <f t="shared" si="2"/>
        <v>13.284586000000001</v>
      </c>
      <c r="L51" s="54" t="s">
        <v>2536</v>
      </c>
    </row>
    <row r="52" spans="1:12" s="55" customFormat="1" ht="19.5" customHeight="1" x14ac:dyDescent="0.3">
      <c r="A52" s="44"/>
      <c r="B52" s="76"/>
      <c r="C52" s="46"/>
      <c r="D52" s="47"/>
      <c r="E52" s="48"/>
      <c r="F52" s="49"/>
      <c r="G52" s="50"/>
      <c r="H52" s="51"/>
      <c r="I52" s="45"/>
      <c r="J52" s="52"/>
      <c r="K52" s="53">
        <f t="shared" si="2"/>
        <v>0</v>
      </c>
      <c r="L52" s="54"/>
    </row>
    <row r="53" spans="1:12" s="55" customFormat="1" ht="19.5" customHeight="1" x14ac:dyDescent="0.3">
      <c r="A53" s="44" t="s">
        <v>2537</v>
      </c>
      <c r="B53" s="76" t="s">
        <v>2534</v>
      </c>
      <c r="C53" s="46">
        <v>22</v>
      </c>
      <c r="D53" s="47" t="s">
        <v>2535</v>
      </c>
      <c r="E53" s="48">
        <v>8</v>
      </c>
      <c r="F53" s="49">
        <v>12.8</v>
      </c>
      <c r="G53" s="50" t="s">
        <v>2528</v>
      </c>
      <c r="H53" s="51">
        <v>2590</v>
      </c>
      <c r="I53" s="45">
        <v>3048</v>
      </c>
      <c r="J53" s="52">
        <v>7</v>
      </c>
      <c r="K53" s="53">
        <f t="shared" si="2"/>
        <v>55.260239999999996</v>
      </c>
      <c r="L53" s="54" t="s">
        <v>2536</v>
      </c>
    </row>
    <row r="54" spans="1:12" s="55" customFormat="1" ht="19.5" customHeight="1" x14ac:dyDescent="0.3">
      <c r="A54" s="44" t="s">
        <v>2538</v>
      </c>
      <c r="B54" s="76" t="s">
        <v>2534</v>
      </c>
      <c r="C54" s="46">
        <v>22</v>
      </c>
      <c r="D54" s="47" t="s">
        <v>2535</v>
      </c>
      <c r="E54" s="48">
        <v>8</v>
      </c>
      <c r="F54" s="49">
        <v>11.28</v>
      </c>
      <c r="G54" s="50" t="s">
        <v>2528</v>
      </c>
      <c r="H54" s="51">
        <v>2134</v>
      </c>
      <c r="I54" s="45">
        <v>3353</v>
      </c>
      <c r="J54" s="52">
        <v>1</v>
      </c>
      <c r="K54" s="53">
        <f t="shared" si="2"/>
        <v>7.1553019999999998</v>
      </c>
      <c r="L54" s="54" t="s">
        <v>2536</v>
      </c>
    </row>
    <row r="55" spans="1:12" s="55" customFormat="1" ht="19.5" customHeight="1" x14ac:dyDescent="0.3">
      <c r="A55" s="44" t="s">
        <v>2539</v>
      </c>
      <c r="B55" s="76" t="s">
        <v>2534</v>
      </c>
      <c r="C55" s="46">
        <v>22</v>
      </c>
      <c r="D55" s="47" t="s">
        <v>2535</v>
      </c>
      <c r="E55" s="48">
        <v>24</v>
      </c>
      <c r="F55" s="49">
        <v>26.4</v>
      </c>
      <c r="G55" s="50"/>
      <c r="H55" s="51"/>
      <c r="I55" s="45"/>
      <c r="J55" s="52"/>
      <c r="K55" s="53">
        <f t="shared" si="2"/>
        <v>0</v>
      </c>
      <c r="L55" s="54" t="s">
        <v>2536</v>
      </c>
    </row>
    <row r="56" spans="1:12" s="55" customFormat="1" ht="19.5" customHeight="1" x14ac:dyDescent="0.3">
      <c r="A56" s="44"/>
      <c r="B56" s="76"/>
      <c r="C56" s="46"/>
      <c r="D56" s="47"/>
      <c r="E56" s="48"/>
      <c r="F56" s="49"/>
      <c r="G56" s="50"/>
      <c r="H56" s="51"/>
      <c r="I56" s="45"/>
      <c r="J56" s="52"/>
      <c r="K56" s="53">
        <f t="shared" si="2"/>
        <v>0</v>
      </c>
      <c r="L56" s="54"/>
    </row>
    <row r="57" spans="1:12" s="55" customFormat="1" ht="19.5" customHeight="1" x14ac:dyDescent="0.3">
      <c r="A57" s="44" t="s">
        <v>2533</v>
      </c>
      <c r="B57" s="76" t="s">
        <v>2534</v>
      </c>
      <c r="C57" s="77">
        <v>46.76</v>
      </c>
      <c r="D57" s="78" t="s">
        <v>2540</v>
      </c>
      <c r="E57" s="48">
        <v>4</v>
      </c>
      <c r="F57" s="49">
        <v>1.8</v>
      </c>
      <c r="G57" s="50" t="s">
        <v>2541</v>
      </c>
      <c r="H57" s="51">
        <v>1981</v>
      </c>
      <c r="I57" s="45">
        <v>3353</v>
      </c>
      <c r="J57" s="52">
        <v>10</v>
      </c>
      <c r="K57" s="53">
        <f t="shared" si="0"/>
        <v>66.422930000000008</v>
      </c>
      <c r="L57" s="54" t="s">
        <v>2544</v>
      </c>
    </row>
    <row r="58" spans="1:12" s="55" customFormat="1" ht="19.5" customHeight="1" x14ac:dyDescent="0.3">
      <c r="A58" s="44" t="s">
        <v>2537</v>
      </c>
      <c r="B58" s="76" t="s">
        <v>2534</v>
      </c>
      <c r="C58" s="46">
        <v>22</v>
      </c>
      <c r="D58" s="47" t="s">
        <v>2535</v>
      </c>
      <c r="E58" s="48">
        <v>8</v>
      </c>
      <c r="F58" s="49">
        <v>12.8</v>
      </c>
      <c r="G58" s="50" t="s">
        <v>2542</v>
      </c>
      <c r="H58" s="51">
        <v>2590</v>
      </c>
      <c r="I58" s="45">
        <v>3353</v>
      </c>
      <c r="J58" s="52">
        <v>1</v>
      </c>
      <c r="K58" s="53">
        <f t="shared" si="0"/>
        <v>8.6842699999999979</v>
      </c>
      <c r="L58" s="54" t="s">
        <v>2545</v>
      </c>
    </row>
    <row r="59" spans="1:12" s="55" customFormat="1" ht="19.5" customHeight="1" x14ac:dyDescent="0.3">
      <c r="A59" s="44"/>
      <c r="B59" s="76"/>
      <c r="C59" s="77">
        <v>46.76</v>
      </c>
      <c r="D59" s="78" t="s">
        <v>2540</v>
      </c>
      <c r="E59" s="48">
        <v>4</v>
      </c>
      <c r="F59" s="49">
        <v>1.6</v>
      </c>
      <c r="G59" s="50"/>
      <c r="H59" s="51"/>
      <c r="I59" s="45"/>
      <c r="J59" s="52"/>
      <c r="K59" s="53">
        <f t="shared" ref="K59" si="3">(H59/1000*I59/1000)*J59</f>
        <v>0</v>
      </c>
      <c r="L59" s="54" t="s">
        <v>2543</v>
      </c>
    </row>
    <row r="60" spans="1:12" s="55" customFormat="1" ht="19.5" customHeight="1" x14ac:dyDescent="0.3">
      <c r="A60" s="44" t="s">
        <v>2538</v>
      </c>
      <c r="B60" s="76" t="s">
        <v>2534</v>
      </c>
      <c r="C60" s="46">
        <v>22</v>
      </c>
      <c r="D60" s="47" t="s">
        <v>2535</v>
      </c>
      <c r="E60" s="48">
        <v>8</v>
      </c>
      <c r="F60" s="49">
        <v>11.28</v>
      </c>
      <c r="G60" s="50"/>
      <c r="H60" s="51"/>
      <c r="I60" s="45"/>
      <c r="J60" s="52"/>
      <c r="K60" s="53">
        <f t="shared" si="0"/>
        <v>0</v>
      </c>
      <c r="L60" s="54" t="s">
        <v>2545</v>
      </c>
    </row>
    <row r="61" spans="1:12" s="55" customFormat="1" ht="19.5" customHeight="1" x14ac:dyDescent="0.3">
      <c r="A61" s="44"/>
      <c r="B61" s="76"/>
      <c r="C61" s="77">
        <v>46.76</v>
      </c>
      <c r="D61" s="78" t="s">
        <v>2540</v>
      </c>
      <c r="E61" s="48">
        <v>4</v>
      </c>
      <c r="F61" s="49">
        <v>1.6</v>
      </c>
      <c r="G61" s="50"/>
      <c r="H61" s="51"/>
      <c r="I61" s="45"/>
      <c r="J61" s="52"/>
      <c r="K61" s="53">
        <f t="shared" ref="K61" si="4">(H61/1000*I61/1000)*J61</f>
        <v>0</v>
      </c>
      <c r="L61" s="54" t="s">
        <v>2543</v>
      </c>
    </row>
    <row r="62" spans="1:12" s="55" customFormat="1" ht="19.5" customHeight="1" x14ac:dyDescent="0.3">
      <c r="A62" s="44" t="s">
        <v>2539</v>
      </c>
      <c r="B62" s="76" t="s">
        <v>2534</v>
      </c>
      <c r="C62" s="46">
        <v>22</v>
      </c>
      <c r="D62" s="47" t="s">
        <v>2535</v>
      </c>
      <c r="E62" s="48">
        <v>24</v>
      </c>
      <c r="F62" s="49">
        <v>26.4</v>
      </c>
      <c r="G62" s="50"/>
      <c r="H62" s="51"/>
      <c r="I62" s="45"/>
      <c r="J62" s="52"/>
      <c r="K62" s="53">
        <f t="shared" si="0"/>
        <v>0</v>
      </c>
      <c r="L62" s="54" t="s">
        <v>2545</v>
      </c>
    </row>
    <row r="63" spans="1:12" s="55" customFormat="1" ht="19.5" customHeight="1" x14ac:dyDescent="0.3">
      <c r="A63" s="44"/>
      <c r="B63" s="76"/>
      <c r="C63" s="77">
        <v>46.76</v>
      </c>
      <c r="D63" s="78" t="s">
        <v>2540</v>
      </c>
      <c r="E63" s="48">
        <v>8</v>
      </c>
      <c r="F63" s="49">
        <v>3.6</v>
      </c>
      <c r="G63" s="50"/>
      <c r="H63" s="51"/>
      <c r="I63" s="45"/>
      <c r="J63" s="52"/>
      <c r="K63" s="53">
        <f t="shared" si="0"/>
        <v>0</v>
      </c>
      <c r="L63" s="54" t="s">
        <v>2543</v>
      </c>
    </row>
    <row r="64" spans="1:12" s="55" customFormat="1" ht="19.5" customHeight="1" x14ac:dyDescent="0.3">
      <c r="A64" s="44"/>
      <c r="B64" s="76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76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9" customFormat="1" ht="20.100000000000001" customHeight="1" x14ac:dyDescent="0.3">
      <c r="A67" s="44"/>
      <c r="B67" s="45"/>
      <c r="C67" s="46"/>
      <c r="D67" s="47"/>
      <c r="E67" s="56"/>
      <c r="F67" s="57"/>
      <c r="G67" s="50"/>
      <c r="H67" s="51"/>
      <c r="I67" s="45"/>
      <c r="J67" s="52"/>
      <c r="K67" s="53">
        <f t="shared" si="0"/>
        <v>0</v>
      </c>
      <c r="L67" s="58">
        <f>SUM(J38:J68)</f>
        <v>160</v>
      </c>
    </row>
    <row r="68" spans="1:12" s="59" customFormat="1" ht="20.100000000000001" customHeight="1" x14ac:dyDescent="0.3">
      <c r="A68" s="44"/>
      <c r="B68" s="45"/>
      <c r="C68" s="46"/>
      <c r="D68" s="47"/>
      <c r="E68" s="60"/>
      <c r="F68" s="61"/>
      <c r="G68" s="62"/>
      <c r="H68" s="51"/>
      <c r="I68" s="45"/>
      <c r="J68" s="63"/>
      <c r="K68" s="53">
        <f t="shared" si="0"/>
        <v>0</v>
      </c>
      <c r="L68" s="64">
        <f>SUM(K38:K68)</f>
        <v>1262.2684189999998</v>
      </c>
    </row>
    <row r="69" spans="1:12" s="59" customFormat="1" ht="20.100000000000001" customHeight="1" thickBot="1" x14ac:dyDescent="0.35">
      <c r="A69" s="114"/>
      <c r="B69" s="115"/>
      <c r="C69" s="115"/>
      <c r="D69" s="115"/>
      <c r="E69" s="115"/>
      <c r="F69" s="115"/>
      <c r="G69" s="115"/>
      <c r="H69" s="115"/>
      <c r="I69" s="115"/>
      <c r="J69" s="65">
        <f>SUM(J7:J68)</f>
        <v>368</v>
      </c>
      <c r="K69" s="66">
        <f>SUM(K7:K68)</f>
        <v>2543.2535850000013</v>
      </c>
      <c r="L69" s="67"/>
    </row>
    <row r="70" spans="1:12" s="59" customFormat="1" ht="20.100000000000001" customHeight="1" thickTop="1" thickBot="1" x14ac:dyDescent="0.35">
      <c r="A70" s="116" t="s">
        <v>52</v>
      </c>
      <c r="B70" s="117"/>
      <c r="C70" s="68"/>
      <c r="D70" s="118">
        <f>J69</f>
        <v>368</v>
      </c>
      <c r="E70" s="119"/>
      <c r="F70" s="119"/>
      <c r="G70" s="120"/>
      <c r="H70" s="121"/>
      <c r="I70" s="121"/>
      <c r="J70" s="122"/>
      <c r="K70" s="119"/>
      <c r="L70" s="123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71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72"/>
      <c r="F76" s="5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5"/>
      <c r="G77" s="73"/>
      <c r="H77" s="5"/>
      <c r="I77" s="74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72"/>
      <c r="I81" s="72"/>
      <c r="J81" s="5"/>
      <c r="K81" s="5"/>
      <c r="L81" s="5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H89" s="72"/>
      <c r="I89" s="72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5" customFormat="1" ht="19.5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ht="19.5" customHeight="1" x14ac:dyDescent="0.3"/>
    <row r="98" spans="2:12" ht="19.5" customHeight="1" x14ac:dyDescent="0.3"/>
    <row r="99" spans="2:12" ht="19.5" customHeight="1" x14ac:dyDescent="0.3"/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>
        <v>2</v>
      </c>
      <c r="C160" s="5"/>
      <c r="D160" s="5"/>
      <c r="E160" s="5"/>
      <c r="F160" s="70"/>
      <c r="G160" s="5"/>
      <c r="H160" s="5"/>
      <c r="I160" s="5"/>
      <c r="J160" s="5"/>
      <c r="K160" s="5"/>
      <c r="L160" s="5"/>
    </row>
  </sheetData>
  <mergeCells count="30">
    <mergeCell ref="A85:B85"/>
    <mergeCell ref="A86:B86"/>
    <mergeCell ref="A76:B76"/>
    <mergeCell ref="A77:B77"/>
    <mergeCell ref="A78:B78"/>
    <mergeCell ref="A80:B80"/>
    <mergeCell ref="A81:B81"/>
    <mergeCell ref="A82:B82"/>
    <mergeCell ref="A75:B7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9:I69"/>
    <mergeCell ref="A70:B70"/>
    <mergeCell ref="D70:G70"/>
    <mergeCell ref="H70:J70"/>
    <mergeCell ref="K70:L70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L143"/>
  <sheetViews>
    <sheetView view="pageBreakPreview" topLeftCell="D38" zoomScale="85" zoomScaleSheetLayoutView="85" workbookViewId="0">
      <selection activeCell="L50" sqref="L50:L5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19.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46114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1" si="0">(H7/1000*I7/1000)*J7</f>
        <v>0</v>
      </c>
      <c r="L7" s="26">
        <f>SUM(J7:J28)</f>
        <v>135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SUM(K7:K28)</f>
        <v>844.70480300000008</v>
      </c>
    </row>
    <row r="9" spans="1:12" s="27" customFormat="1" ht="19.5" customHeight="1" x14ac:dyDescent="0.3">
      <c r="A9" s="28" t="s">
        <v>2403</v>
      </c>
      <c r="B9" s="16" t="s">
        <v>2495</v>
      </c>
      <c r="C9" s="17">
        <v>24</v>
      </c>
      <c r="D9" s="18" t="s">
        <v>245</v>
      </c>
      <c r="E9" s="81">
        <v>4</v>
      </c>
      <c r="F9" s="82">
        <v>7.55</v>
      </c>
      <c r="G9" s="34" t="s">
        <v>560</v>
      </c>
      <c r="H9" s="35">
        <v>2438</v>
      </c>
      <c r="I9" s="36">
        <v>3048</v>
      </c>
      <c r="J9" s="37">
        <v>1</v>
      </c>
      <c r="K9" s="38">
        <f t="shared" si="0"/>
        <v>7.4310240000000007</v>
      </c>
      <c r="L9" s="39" t="s">
        <v>2496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2403</v>
      </c>
      <c r="B11" s="16" t="s">
        <v>2495</v>
      </c>
      <c r="C11" s="17">
        <v>24</v>
      </c>
      <c r="D11" s="18" t="s">
        <v>245</v>
      </c>
      <c r="E11" s="81">
        <v>1</v>
      </c>
      <c r="F11" s="82">
        <v>2.21</v>
      </c>
      <c r="G11" s="34"/>
      <c r="H11" s="35"/>
      <c r="I11" s="36"/>
      <c r="J11" s="37"/>
      <c r="K11" s="38">
        <f t="shared" si="0"/>
        <v>0</v>
      </c>
      <c r="L11" s="39" t="s">
        <v>2497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2498</v>
      </c>
      <c r="B13" s="16" t="s">
        <v>2499</v>
      </c>
      <c r="C13" s="17">
        <v>22</v>
      </c>
      <c r="D13" s="18" t="s">
        <v>17</v>
      </c>
      <c r="E13" s="41">
        <v>1</v>
      </c>
      <c r="F13" s="42">
        <v>0.28000000000000003</v>
      </c>
      <c r="G13" s="34"/>
      <c r="H13" s="35"/>
      <c r="I13" s="36"/>
      <c r="J13" s="37"/>
      <c r="K13" s="38">
        <f t="shared" si="0"/>
        <v>0</v>
      </c>
      <c r="L13" s="39" t="s">
        <v>31</v>
      </c>
    </row>
    <row r="14" spans="1:12" s="27" customFormat="1" ht="19.5" customHeight="1" x14ac:dyDescent="0.3">
      <c r="A14" s="28"/>
      <c r="B14" s="16"/>
      <c r="C14" s="17">
        <v>22</v>
      </c>
      <c r="D14" s="18" t="s">
        <v>45</v>
      </c>
      <c r="E14" s="41">
        <v>1</v>
      </c>
      <c r="F14" s="42">
        <v>0.28000000000000003</v>
      </c>
      <c r="G14" s="34"/>
      <c r="H14" s="35"/>
      <c r="I14" s="36"/>
      <c r="J14" s="37"/>
      <c r="K14" s="38">
        <f t="shared" si="0"/>
        <v>0</v>
      </c>
      <c r="L14" s="39" t="s">
        <v>31</v>
      </c>
    </row>
    <row r="15" spans="1:12" s="27" customFormat="1" ht="19.5" customHeight="1" x14ac:dyDescent="0.3">
      <c r="A15" s="28"/>
      <c r="B15" s="16"/>
      <c r="C15" s="17">
        <v>16</v>
      </c>
      <c r="D15" s="18" t="s">
        <v>78</v>
      </c>
      <c r="E15" s="41">
        <v>1</v>
      </c>
      <c r="F15" s="42">
        <v>0.28000000000000003</v>
      </c>
      <c r="G15" s="34"/>
      <c r="H15" s="35"/>
      <c r="I15" s="36"/>
      <c r="J15" s="37"/>
      <c r="K15" s="38">
        <f t="shared" si="0"/>
        <v>0</v>
      </c>
      <c r="L15" s="39" t="s">
        <v>31</v>
      </c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2500</v>
      </c>
      <c r="B17" s="16" t="s">
        <v>1008</v>
      </c>
      <c r="C17" s="17">
        <v>5</v>
      </c>
      <c r="D17" s="18" t="s">
        <v>219</v>
      </c>
      <c r="E17" s="81">
        <v>83</v>
      </c>
      <c r="F17" s="82">
        <v>35.78</v>
      </c>
      <c r="G17" s="43" t="s">
        <v>18</v>
      </c>
      <c r="H17" s="35">
        <v>2134</v>
      </c>
      <c r="I17" s="36">
        <v>3353</v>
      </c>
      <c r="J17" s="37">
        <v>5</v>
      </c>
      <c r="K17" s="38">
        <f t="shared" si="0"/>
        <v>35.776510000000002</v>
      </c>
      <c r="L17" s="39"/>
    </row>
    <row r="18" spans="1:12" s="27" customFormat="1" ht="19.5" customHeight="1" x14ac:dyDescent="0.3">
      <c r="A18" s="28"/>
      <c r="B18" s="93"/>
      <c r="C18" s="17"/>
      <c r="D18" s="18"/>
      <c r="E18" s="41"/>
      <c r="F18" s="42"/>
      <c r="G18" s="43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 t="s">
        <v>2501</v>
      </c>
      <c r="B19" s="93" t="s">
        <v>2502</v>
      </c>
      <c r="C19" s="17">
        <v>8</v>
      </c>
      <c r="D19" s="18" t="s">
        <v>276</v>
      </c>
      <c r="E19" s="81">
        <v>28</v>
      </c>
      <c r="F19" s="82">
        <v>50.52</v>
      </c>
      <c r="G19" s="43" t="s">
        <v>935</v>
      </c>
      <c r="H19" s="35">
        <v>2438</v>
      </c>
      <c r="I19" s="36">
        <v>3048</v>
      </c>
      <c r="J19" s="37">
        <v>8</v>
      </c>
      <c r="K19" s="38">
        <f t="shared" si="0"/>
        <v>59.448192000000006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2503</v>
      </c>
      <c r="B21" s="16" t="s">
        <v>353</v>
      </c>
      <c r="C21" s="17">
        <v>22</v>
      </c>
      <c r="D21" s="18" t="s">
        <v>307</v>
      </c>
      <c r="E21" s="41">
        <v>277</v>
      </c>
      <c r="F21" s="42">
        <v>216.48</v>
      </c>
      <c r="G21" s="34" t="s">
        <v>49</v>
      </c>
      <c r="H21" s="35">
        <v>1829</v>
      </c>
      <c r="I21" s="36">
        <v>3353</v>
      </c>
      <c r="J21" s="37">
        <v>37</v>
      </c>
      <c r="K21" s="38">
        <f t="shared" si="0"/>
        <v>226.907569</v>
      </c>
      <c r="L21" s="39" t="s">
        <v>321</v>
      </c>
    </row>
    <row r="22" spans="1:12" s="27" customFormat="1" ht="19.5" customHeight="1" x14ac:dyDescent="0.3">
      <c r="A22" s="28"/>
      <c r="B22" s="93"/>
      <c r="C22" s="17">
        <v>22</v>
      </c>
      <c r="D22" s="18" t="s">
        <v>320</v>
      </c>
      <c r="E22" s="41">
        <v>275</v>
      </c>
      <c r="F22" s="42">
        <v>215.8</v>
      </c>
      <c r="G22" s="43" t="s">
        <v>39</v>
      </c>
      <c r="H22" s="35">
        <v>1829</v>
      </c>
      <c r="I22" s="36">
        <v>3353</v>
      </c>
      <c r="J22" s="37">
        <v>74</v>
      </c>
      <c r="K22" s="38">
        <f t="shared" si="0"/>
        <v>453.81513799999999</v>
      </c>
      <c r="L22" s="39" t="s">
        <v>425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 t="s">
        <v>2503</v>
      </c>
      <c r="B24" s="16" t="s">
        <v>353</v>
      </c>
      <c r="C24" s="17">
        <v>22</v>
      </c>
      <c r="D24" s="18" t="s">
        <v>320</v>
      </c>
      <c r="E24" s="41">
        <v>45</v>
      </c>
      <c r="F24" s="42">
        <v>54</v>
      </c>
      <c r="G24" s="34" t="s">
        <v>18</v>
      </c>
      <c r="H24" s="35">
        <v>1829</v>
      </c>
      <c r="I24" s="36">
        <v>3353</v>
      </c>
      <c r="J24" s="37">
        <v>10</v>
      </c>
      <c r="K24" s="38">
        <f t="shared" si="0"/>
        <v>61.326369999999997</v>
      </c>
      <c r="L24" s="39" t="s">
        <v>2514</v>
      </c>
    </row>
    <row r="25" spans="1:12" s="27" customFormat="1" ht="19.5" customHeight="1" x14ac:dyDescent="0.3">
      <c r="A25" s="28"/>
      <c r="B25" s="93"/>
      <c r="C25" s="17"/>
      <c r="D25" s="18"/>
      <c r="E25" s="41"/>
      <c r="F25" s="42"/>
      <c r="G25" s="43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81"/>
      <c r="F26" s="8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43"/>
      <c r="H28" s="35"/>
      <c r="I28" s="36"/>
      <c r="J28" s="37"/>
      <c r="K28" s="38">
        <f t="shared" si="0"/>
        <v>0</v>
      </c>
      <c r="L28" s="39"/>
    </row>
    <row r="29" spans="1:12" s="55" customFormat="1" ht="19.5" customHeight="1" x14ac:dyDescent="0.3">
      <c r="A29" s="44"/>
      <c r="B29" s="45"/>
      <c r="C29" s="46"/>
      <c r="D29" s="47"/>
      <c r="E29" s="48"/>
      <c r="F29" s="49"/>
      <c r="G29" s="50"/>
      <c r="H29" s="51"/>
      <c r="I29" s="45"/>
      <c r="J29" s="52"/>
      <c r="K29" s="53">
        <f t="shared" si="0"/>
        <v>0</v>
      </c>
      <c r="L29" s="54"/>
    </row>
    <row r="30" spans="1:12" s="55" customFormat="1" ht="19.5" customHeight="1" x14ac:dyDescent="0.3">
      <c r="A30" s="44" t="s">
        <v>2504</v>
      </c>
      <c r="B30" s="45" t="s">
        <v>2505</v>
      </c>
      <c r="C30" s="46">
        <v>24</v>
      </c>
      <c r="D30" s="47" t="s">
        <v>89</v>
      </c>
      <c r="E30" s="48">
        <v>1</v>
      </c>
      <c r="F30" s="49">
        <v>0.28000000000000003</v>
      </c>
      <c r="G30" s="50"/>
      <c r="H30" s="51"/>
      <c r="I30" s="45"/>
      <c r="J30" s="52"/>
      <c r="K30" s="53">
        <f t="shared" si="0"/>
        <v>0</v>
      </c>
      <c r="L30" s="54" t="s">
        <v>31</v>
      </c>
    </row>
    <row r="31" spans="1:12" s="55" customFormat="1" ht="19.5" customHeight="1" x14ac:dyDescent="0.3">
      <c r="A31" s="44"/>
      <c r="B31" s="45"/>
      <c r="C31" s="77">
        <v>24</v>
      </c>
      <c r="D31" s="47" t="s">
        <v>2506</v>
      </c>
      <c r="E31" s="48">
        <v>1</v>
      </c>
      <c r="F31" s="49">
        <v>0.28000000000000003</v>
      </c>
      <c r="G31" s="50"/>
      <c r="H31" s="51"/>
      <c r="I31" s="45"/>
      <c r="J31" s="52"/>
      <c r="K31" s="53">
        <f t="shared" si="0"/>
        <v>0</v>
      </c>
      <c r="L31" s="54" t="s">
        <v>31</v>
      </c>
    </row>
    <row r="32" spans="1:12" s="55" customFormat="1" ht="19.5" customHeight="1" x14ac:dyDescent="0.3">
      <c r="A32" s="44"/>
      <c r="B32" s="76"/>
      <c r="C32" s="77">
        <v>24</v>
      </c>
      <c r="D32" s="78" t="s">
        <v>2508</v>
      </c>
      <c r="E32" s="48">
        <v>1</v>
      </c>
      <c r="F32" s="49">
        <v>0.28000000000000003</v>
      </c>
      <c r="G32" s="50"/>
      <c r="H32" s="51"/>
      <c r="I32" s="45"/>
      <c r="J32" s="52"/>
      <c r="K32" s="53">
        <f t="shared" si="0"/>
        <v>0</v>
      </c>
      <c r="L32" s="54" t="s">
        <v>31</v>
      </c>
    </row>
    <row r="33" spans="1:12" s="55" customFormat="1" ht="19.5" customHeight="1" x14ac:dyDescent="0.3">
      <c r="A33" s="44"/>
      <c r="B33" s="96"/>
      <c r="C33" s="77">
        <v>24</v>
      </c>
      <c r="D33" s="78" t="s">
        <v>2507</v>
      </c>
      <c r="E33" s="48">
        <v>1</v>
      </c>
      <c r="F33" s="49">
        <v>0.28000000000000003</v>
      </c>
      <c r="G33" s="50"/>
      <c r="H33" s="51"/>
      <c r="I33" s="45"/>
      <c r="J33" s="52"/>
      <c r="K33" s="53">
        <f t="shared" si="0"/>
        <v>0</v>
      </c>
      <c r="L33" s="54" t="s">
        <v>31</v>
      </c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2492</v>
      </c>
      <c r="B35" s="96" t="s">
        <v>25</v>
      </c>
      <c r="C35" s="77">
        <v>22</v>
      </c>
      <c r="D35" s="78" t="s">
        <v>17</v>
      </c>
      <c r="E35" s="48">
        <v>352</v>
      </c>
      <c r="F35" s="49">
        <v>520.96</v>
      </c>
      <c r="G35" s="50" t="s">
        <v>18</v>
      </c>
      <c r="H35" s="51">
        <v>2743</v>
      </c>
      <c r="I35" s="45">
        <v>3048</v>
      </c>
      <c r="J35" s="52">
        <v>71</v>
      </c>
      <c r="K35" s="53">
        <f t="shared" si="0"/>
        <v>593.60714399999983</v>
      </c>
      <c r="L35" s="64" t="s">
        <v>2509</v>
      </c>
    </row>
    <row r="36" spans="1:12" s="55" customFormat="1" ht="19.5" customHeight="1" x14ac:dyDescent="0.3">
      <c r="A36" s="44"/>
      <c r="B36" s="96"/>
      <c r="C36" s="77"/>
      <c r="D36" s="78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2492</v>
      </c>
      <c r="B37" s="96" t="s">
        <v>25</v>
      </c>
      <c r="C37" s="77">
        <v>22</v>
      </c>
      <c r="D37" s="78" t="s">
        <v>17</v>
      </c>
      <c r="E37" s="48">
        <v>270</v>
      </c>
      <c r="F37" s="49">
        <v>399.6</v>
      </c>
      <c r="G37" s="50" t="s">
        <v>2493</v>
      </c>
      <c r="H37" s="51">
        <v>2286</v>
      </c>
      <c r="I37" s="45">
        <v>3048</v>
      </c>
      <c r="J37" s="52">
        <v>63</v>
      </c>
      <c r="K37" s="53">
        <f t="shared" si="0"/>
        <v>438.96686399999999</v>
      </c>
      <c r="L37" s="54" t="s">
        <v>2510</v>
      </c>
    </row>
    <row r="38" spans="1:12" s="55" customFormat="1" ht="19.5" customHeight="1" x14ac:dyDescent="0.3">
      <c r="A38" s="44"/>
      <c r="B38" s="96"/>
      <c r="C38" s="77"/>
      <c r="D38" s="78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/>
      <c r="B39" s="96"/>
      <c r="C39" s="77"/>
      <c r="D39" s="78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/>
      <c r="B40" s="76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/>
      <c r="B41" s="76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/>
      <c r="B42" s="76"/>
      <c r="C42" s="77"/>
      <c r="D42" s="78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/>
      <c r="B43" s="76"/>
      <c r="C43" s="77"/>
      <c r="D43" s="78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/>
      <c r="B44" s="76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/>
      <c r="B45" s="76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76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76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76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9" customFormat="1" ht="20.100000000000001" customHeight="1" x14ac:dyDescent="0.3">
      <c r="A50" s="44"/>
      <c r="B50" s="45"/>
      <c r="C50" s="46"/>
      <c r="D50" s="47"/>
      <c r="E50" s="56"/>
      <c r="F50" s="57"/>
      <c r="G50" s="50"/>
      <c r="H50" s="51"/>
      <c r="I50" s="45"/>
      <c r="J50" s="52"/>
      <c r="K50" s="53">
        <f t="shared" si="0"/>
        <v>0</v>
      </c>
      <c r="L50" s="58">
        <f>SUM(J29:J51)</f>
        <v>134</v>
      </c>
    </row>
    <row r="51" spans="1:12" s="59" customFormat="1" ht="20.100000000000001" customHeight="1" x14ac:dyDescent="0.3">
      <c r="A51" s="44"/>
      <c r="B51" s="45"/>
      <c r="C51" s="46"/>
      <c r="D51" s="47"/>
      <c r="E51" s="60"/>
      <c r="F51" s="61"/>
      <c r="G51" s="62"/>
      <c r="H51" s="51"/>
      <c r="I51" s="45"/>
      <c r="J51" s="63"/>
      <c r="K51" s="53">
        <f t="shared" si="0"/>
        <v>0</v>
      </c>
      <c r="L51" s="64">
        <f>SUM(K29:K51)</f>
        <v>1032.5740079999998</v>
      </c>
    </row>
    <row r="52" spans="1:12" s="59" customFormat="1" ht="20.100000000000001" customHeight="1" thickBot="1" x14ac:dyDescent="0.35">
      <c r="A52" s="114"/>
      <c r="B52" s="115"/>
      <c r="C52" s="115"/>
      <c r="D52" s="115"/>
      <c r="E52" s="115"/>
      <c r="F52" s="115"/>
      <c r="G52" s="115"/>
      <c r="H52" s="115"/>
      <c r="I52" s="115"/>
      <c r="J52" s="65">
        <f>SUM(J7:J51)</f>
        <v>269</v>
      </c>
      <c r="K52" s="66">
        <f>SUM(K7:K51)</f>
        <v>1877.2788109999999</v>
      </c>
      <c r="L52" s="67"/>
    </row>
    <row r="53" spans="1:12" s="59" customFormat="1" ht="20.100000000000001" customHeight="1" thickTop="1" thickBot="1" x14ac:dyDescent="0.35">
      <c r="A53" s="116" t="s">
        <v>52</v>
      </c>
      <c r="B53" s="117"/>
      <c r="C53" s="68"/>
      <c r="D53" s="118">
        <f>J52</f>
        <v>269</v>
      </c>
      <c r="E53" s="119"/>
      <c r="F53" s="119"/>
      <c r="G53" s="120"/>
      <c r="H53" s="121"/>
      <c r="I53" s="121"/>
      <c r="J53" s="122"/>
      <c r="K53" s="119"/>
      <c r="L53" s="123"/>
    </row>
    <row r="54" spans="1:12" s="59" customFormat="1" ht="20.100000000000001" customHeight="1" x14ac:dyDescent="0.3">
      <c r="A54" s="69"/>
      <c r="B54" s="5"/>
      <c r="C54" s="5"/>
      <c r="D54" s="5"/>
      <c r="E54" s="5"/>
      <c r="F54" s="70"/>
      <c r="G54" s="5"/>
      <c r="H54" s="5"/>
      <c r="I54" s="5"/>
      <c r="J54" s="5"/>
      <c r="K54" s="5"/>
      <c r="L54" s="71"/>
    </row>
    <row r="55" spans="1:12" s="59" customFormat="1" ht="20.100000000000001" customHeight="1" x14ac:dyDescent="0.3">
      <c r="A55" s="69"/>
      <c r="B55" s="5"/>
      <c r="C55" s="5"/>
      <c r="D55" s="5"/>
      <c r="E55" s="5"/>
      <c r="F55" s="70"/>
      <c r="G55" s="5"/>
      <c r="H55" s="5"/>
      <c r="I55" s="5"/>
      <c r="J55" s="5"/>
      <c r="K55" s="5"/>
      <c r="L55" s="5"/>
    </row>
    <row r="56" spans="1:12" s="59" customFormat="1" ht="20.100000000000001" customHeight="1" x14ac:dyDescent="0.3">
      <c r="A56" s="69"/>
      <c r="B56" s="5"/>
      <c r="C56" s="5"/>
      <c r="D56" s="5"/>
      <c r="E56" s="5"/>
      <c r="F56" s="70"/>
      <c r="G56" s="5"/>
      <c r="H56" s="5"/>
      <c r="I56" s="5"/>
      <c r="J56" s="5"/>
      <c r="K56" s="5"/>
      <c r="L56" s="5"/>
    </row>
    <row r="57" spans="1:12" s="59" customFormat="1" ht="20.100000000000001" customHeight="1" x14ac:dyDescent="0.3">
      <c r="A57" s="69"/>
      <c r="B57" s="5"/>
      <c r="C57" s="5"/>
      <c r="D57" s="5"/>
      <c r="E57" s="5"/>
      <c r="F57" s="70"/>
      <c r="G57" s="5"/>
      <c r="H57" s="5"/>
      <c r="I57" s="5"/>
      <c r="J57" s="5"/>
      <c r="K57" s="5"/>
      <c r="L57" s="5"/>
    </row>
    <row r="58" spans="1:12" s="59" customFormat="1" ht="20.100000000000001" customHeight="1" x14ac:dyDescent="0.3">
      <c r="A58" s="113"/>
      <c r="B58" s="113"/>
      <c r="C58" s="5"/>
      <c r="D58" s="5"/>
      <c r="E58" s="5"/>
      <c r="F58" s="70"/>
      <c r="G58" s="5"/>
      <c r="H58" s="5"/>
      <c r="I58" s="5"/>
      <c r="J58" s="5"/>
      <c r="K58" s="5"/>
      <c r="L58" s="5"/>
    </row>
    <row r="59" spans="1:12" s="59" customFormat="1" ht="20.100000000000001" customHeight="1" x14ac:dyDescent="0.3">
      <c r="A59" s="113"/>
      <c r="B59" s="113"/>
      <c r="C59" s="5"/>
      <c r="D59" s="5"/>
      <c r="E59" s="72"/>
      <c r="F59" s="5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113"/>
      <c r="B60" s="113"/>
      <c r="C60" s="5"/>
      <c r="D60" s="5"/>
      <c r="E60" s="5"/>
      <c r="F60" s="5"/>
      <c r="G60" s="73"/>
      <c r="H60" s="5"/>
      <c r="I60" s="74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72"/>
      <c r="I64" s="72"/>
      <c r="J64" s="5"/>
      <c r="K64" s="5"/>
      <c r="L64" s="5"/>
    </row>
    <row r="65" spans="1:12" ht="20.100000000000001" customHeight="1" x14ac:dyDescent="0.3">
      <c r="A65" s="113"/>
      <c r="B65" s="113"/>
      <c r="H65" s="72"/>
      <c r="I65" s="72"/>
    </row>
    <row r="66" spans="1:12" ht="20.100000000000001" customHeight="1" x14ac:dyDescent="0.3">
      <c r="H66" s="72"/>
      <c r="I66" s="72"/>
    </row>
    <row r="67" spans="1:12" ht="20.100000000000001" customHeight="1" x14ac:dyDescent="0.3">
      <c r="H67" s="72"/>
      <c r="I67" s="72"/>
    </row>
    <row r="68" spans="1:12" ht="20.100000000000001" customHeight="1" x14ac:dyDescent="0.3">
      <c r="A68" s="113"/>
      <c r="B68" s="113"/>
      <c r="H68" s="72"/>
      <c r="I68" s="72"/>
    </row>
    <row r="69" spans="1:12" ht="20.100000000000001" customHeight="1" x14ac:dyDescent="0.3">
      <c r="A69" s="113"/>
      <c r="B69" s="113"/>
      <c r="H69" s="72"/>
      <c r="I69" s="72"/>
    </row>
    <row r="70" spans="1:12" ht="20.100000000000001" customHeight="1" x14ac:dyDescent="0.3">
      <c r="H70" s="72"/>
      <c r="I70" s="72"/>
    </row>
    <row r="71" spans="1:12" ht="20.100000000000001" customHeight="1" x14ac:dyDescent="0.3">
      <c r="H71" s="72"/>
      <c r="I71" s="72"/>
    </row>
    <row r="72" spans="1:12" ht="20.100000000000001" customHeight="1" x14ac:dyDescent="0.3">
      <c r="H72" s="72"/>
      <c r="I72" s="72"/>
    </row>
    <row r="73" spans="1:12" s="72" customFormat="1" ht="20.100000000000001" customHeight="1" x14ac:dyDescent="0.3">
      <c r="A73" s="69"/>
      <c r="B73" s="5"/>
      <c r="C73" s="5"/>
      <c r="D73" s="5"/>
      <c r="E73" s="5"/>
      <c r="F73" s="70"/>
      <c r="G73" s="5"/>
      <c r="J73" s="5"/>
      <c r="K73" s="5"/>
      <c r="L73" s="5"/>
    </row>
    <row r="74" spans="1:12" s="72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75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75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75" customFormat="1" ht="19.5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72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ht="19.5" customHeight="1" x14ac:dyDescent="0.3"/>
    <row r="81" spans="2:12" ht="19.5" customHeight="1" x14ac:dyDescent="0.3"/>
    <row r="82" spans="2:12" ht="19.5" customHeight="1" x14ac:dyDescent="0.3"/>
    <row r="83" spans="2:12" s="69" customFormat="1" ht="19.5" customHeight="1" x14ac:dyDescent="0.3"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2:12" s="69" customFormat="1" ht="19.5" customHeight="1" x14ac:dyDescent="0.3"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2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2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2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2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2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2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2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2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2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2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2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2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ht="19.5" customHeight="1" x14ac:dyDescent="0.3"/>
    <row r="100" spans="2:12" ht="19.5" customHeight="1" x14ac:dyDescent="0.3"/>
    <row r="101" spans="2:12" ht="19.5" customHeight="1" x14ac:dyDescent="0.3"/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>
        <v>2</v>
      </c>
      <c r="C143" s="5"/>
      <c r="D143" s="5"/>
      <c r="E143" s="5"/>
      <c r="F143" s="70"/>
      <c r="G143" s="5"/>
      <c r="H143" s="5"/>
      <c r="I143" s="5"/>
      <c r="J143" s="5"/>
      <c r="K143" s="5"/>
      <c r="L143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58:B5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2:I52"/>
    <mergeCell ref="A53:B53"/>
    <mergeCell ref="D53:G53"/>
    <mergeCell ref="H53:J53"/>
    <mergeCell ref="K53:L53"/>
    <mergeCell ref="A68:B68"/>
    <mergeCell ref="A69:B69"/>
    <mergeCell ref="A59:B59"/>
    <mergeCell ref="A60:B60"/>
    <mergeCell ref="A61:B61"/>
    <mergeCell ref="A63:B63"/>
    <mergeCell ref="A64:B64"/>
    <mergeCell ref="A65:B65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6" orientation="portrait" verticalDpi="300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L143"/>
  <sheetViews>
    <sheetView view="pageBreakPreview" topLeftCell="F40" zoomScale="85" zoomScaleSheetLayoutView="85" workbookViewId="0">
      <selection activeCell="L50" sqref="L50:L5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46113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1" si="0">(H7/1000*I7/1000)*J7</f>
        <v>0</v>
      </c>
      <c r="L7" s="26">
        <f>SUM(J7:J28)</f>
        <v>152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SUM(K7:K28)</f>
        <v>955.60835299999985</v>
      </c>
    </row>
    <row r="9" spans="1:12" s="27" customFormat="1" ht="19.5" customHeight="1" x14ac:dyDescent="0.3">
      <c r="A9" s="28" t="s">
        <v>2488</v>
      </c>
      <c r="B9" s="16" t="s">
        <v>1943</v>
      </c>
      <c r="C9" s="17">
        <v>22</v>
      </c>
      <c r="D9" s="18" t="s">
        <v>17</v>
      </c>
      <c r="E9" s="81">
        <v>20</v>
      </c>
      <c r="F9" s="82">
        <v>24.12</v>
      </c>
      <c r="G9" s="34" t="s">
        <v>18</v>
      </c>
      <c r="H9" s="35">
        <v>1981</v>
      </c>
      <c r="I9" s="36">
        <v>3353</v>
      </c>
      <c r="J9" s="37">
        <v>4</v>
      </c>
      <c r="K9" s="38">
        <f t="shared" si="0"/>
        <v>26.569172000000002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17</v>
      </c>
      <c r="E10" s="41">
        <v>1</v>
      </c>
      <c r="F10" s="42">
        <v>1.1100000000000001</v>
      </c>
      <c r="G10" s="34" t="s">
        <v>62</v>
      </c>
      <c r="H10" s="35">
        <v>1981</v>
      </c>
      <c r="I10" s="36">
        <v>3353</v>
      </c>
      <c r="J10" s="37">
        <v>4</v>
      </c>
      <c r="K10" s="38">
        <f t="shared" si="0"/>
        <v>26.569172000000002</v>
      </c>
      <c r="L10" s="39"/>
    </row>
    <row r="11" spans="1:12" s="27" customFormat="1" ht="19.5" customHeight="1" x14ac:dyDescent="0.3">
      <c r="A11" s="28"/>
      <c r="B11" s="93"/>
      <c r="C11" s="17">
        <v>16</v>
      </c>
      <c r="D11" s="18" t="s">
        <v>78</v>
      </c>
      <c r="E11" s="81">
        <v>1</v>
      </c>
      <c r="F11" s="82">
        <v>1.1100000000000001</v>
      </c>
      <c r="G11" s="34" t="s">
        <v>18</v>
      </c>
      <c r="H11" s="35">
        <v>2134</v>
      </c>
      <c r="I11" s="36">
        <v>3353</v>
      </c>
      <c r="J11" s="37">
        <v>1</v>
      </c>
      <c r="K11" s="38">
        <f t="shared" si="0"/>
        <v>7.1553019999999998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2489</v>
      </c>
      <c r="B13" s="16" t="s">
        <v>132</v>
      </c>
      <c r="C13" s="17">
        <v>16</v>
      </c>
      <c r="D13" s="18" t="s">
        <v>199</v>
      </c>
      <c r="E13" s="41">
        <v>1</v>
      </c>
      <c r="F13" s="42">
        <v>0.77</v>
      </c>
      <c r="G13" s="34"/>
      <c r="H13" s="35"/>
      <c r="I13" s="36"/>
      <c r="J13" s="37"/>
      <c r="K13" s="38">
        <f t="shared" si="0"/>
        <v>0</v>
      </c>
      <c r="L13" s="39" t="s">
        <v>31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2467</v>
      </c>
      <c r="B15" s="16" t="s">
        <v>353</v>
      </c>
      <c r="C15" s="17">
        <v>22</v>
      </c>
      <c r="D15" s="18" t="s">
        <v>307</v>
      </c>
      <c r="E15" s="41">
        <v>257</v>
      </c>
      <c r="F15" s="42">
        <v>215.08</v>
      </c>
      <c r="G15" s="34" t="s">
        <v>39</v>
      </c>
      <c r="H15" s="35">
        <v>1829</v>
      </c>
      <c r="I15" s="36">
        <v>3353</v>
      </c>
      <c r="J15" s="37">
        <f>37+34</f>
        <v>71</v>
      </c>
      <c r="K15" s="38">
        <f t="shared" si="0"/>
        <v>435.41722699999997</v>
      </c>
      <c r="L15" s="39" t="s">
        <v>2490</v>
      </c>
    </row>
    <row r="16" spans="1:12" s="27" customFormat="1" ht="19.5" customHeight="1" x14ac:dyDescent="0.3">
      <c r="A16" s="28"/>
      <c r="B16" s="16"/>
      <c r="C16" s="17">
        <v>22</v>
      </c>
      <c r="D16" s="18" t="s">
        <v>320</v>
      </c>
      <c r="E16" s="81">
        <v>255</v>
      </c>
      <c r="F16" s="82">
        <v>209</v>
      </c>
      <c r="G16" s="34" t="s">
        <v>39</v>
      </c>
      <c r="H16" s="35">
        <v>1981</v>
      </c>
      <c r="I16" s="36">
        <v>3353</v>
      </c>
      <c r="J16" s="37">
        <v>2</v>
      </c>
      <c r="K16" s="38">
        <f t="shared" si="0"/>
        <v>13.284586000000001</v>
      </c>
      <c r="L16" s="39" t="s">
        <v>321</v>
      </c>
    </row>
    <row r="17" spans="1:12" s="27" customFormat="1" ht="19.5" customHeight="1" x14ac:dyDescent="0.3">
      <c r="A17" s="28"/>
      <c r="B17" s="16"/>
      <c r="C17" s="17"/>
      <c r="D17" s="18"/>
      <c r="E17" s="81"/>
      <c r="F17" s="82"/>
      <c r="G17" s="43" t="s">
        <v>18</v>
      </c>
      <c r="H17" s="35">
        <v>1829</v>
      </c>
      <c r="I17" s="36">
        <v>3353</v>
      </c>
      <c r="J17" s="37">
        <v>36</v>
      </c>
      <c r="K17" s="38">
        <f t="shared" si="0"/>
        <v>220.77493200000001</v>
      </c>
      <c r="L17" s="39" t="s">
        <v>321</v>
      </c>
    </row>
    <row r="18" spans="1:12" s="27" customFormat="1" ht="19.5" customHeight="1" x14ac:dyDescent="0.3">
      <c r="A18" s="28"/>
      <c r="B18" s="93"/>
      <c r="C18" s="17"/>
      <c r="D18" s="18"/>
      <c r="E18" s="41"/>
      <c r="F18" s="42"/>
      <c r="G18" s="43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 t="s">
        <v>2222</v>
      </c>
      <c r="B19" s="93" t="s">
        <v>21</v>
      </c>
      <c r="C19" s="17">
        <v>22</v>
      </c>
      <c r="D19" s="18" t="s">
        <v>83</v>
      </c>
      <c r="E19" s="81">
        <v>12</v>
      </c>
      <c r="F19" s="82">
        <v>31.8</v>
      </c>
      <c r="G19" s="43" t="s">
        <v>18</v>
      </c>
      <c r="H19" s="35">
        <v>1981</v>
      </c>
      <c r="I19" s="36">
        <v>3353</v>
      </c>
      <c r="J19" s="37">
        <v>6</v>
      </c>
      <c r="K19" s="38">
        <f t="shared" si="0"/>
        <v>39.853757999999999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 t="s">
        <v>62</v>
      </c>
      <c r="H20" s="35">
        <v>1981</v>
      </c>
      <c r="I20" s="36">
        <v>3353</v>
      </c>
      <c r="J20" s="37">
        <v>6</v>
      </c>
      <c r="K20" s="38">
        <f t="shared" si="0"/>
        <v>39.853757999999999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 t="s">
        <v>2223</v>
      </c>
      <c r="B22" s="93" t="s">
        <v>21</v>
      </c>
      <c r="C22" s="17">
        <v>22</v>
      </c>
      <c r="D22" s="18" t="s">
        <v>83</v>
      </c>
      <c r="E22" s="41">
        <v>12</v>
      </c>
      <c r="F22" s="42">
        <v>31.8</v>
      </c>
      <c r="G22" s="43" t="s">
        <v>18</v>
      </c>
      <c r="H22" s="35">
        <v>1981</v>
      </c>
      <c r="I22" s="36">
        <v>3353</v>
      </c>
      <c r="J22" s="37">
        <v>6</v>
      </c>
      <c r="K22" s="38">
        <f t="shared" si="0"/>
        <v>39.853757999999999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 t="s">
        <v>62</v>
      </c>
      <c r="H23" s="35">
        <v>1981</v>
      </c>
      <c r="I23" s="36">
        <v>3353</v>
      </c>
      <c r="J23" s="37">
        <v>6</v>
      </c>
      <c r="K23" s="38">
        <f t="shared" si="0"/>
        <v>39.853757999999999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2241</v>
      </c>
      <c r="B25" s="93" t="s">
        <v>21</v>
      </c>
      <c r="C25" s="17">
        <v>22</v>
      </c>
      <c r="D25" s="18" t="s">
        <v>83</v>
      </c>
      <c r="E25" s="41">
        <v>12</v>
      </c>
      <c r="F25" s="42">
        <v>28.32</v>
      </c>
      <c r="G25" s="43" t="s">
        <v>18</v>
      </c>
      <c r="H25" s="35">
        <v>1981</v>
      </c>
      <c r="I25" s="36">
        <v>3353</v>
      </c>
      <c r="J25" s="37">
        <v>5</v>
      </c>
      <c r="K25" s="38">
        <f t="shared" si="0"/>
        <v>33.211465000000004</v>
      </c>
      <c r="L25" s="39"/>
    </row>
    <row r="26" spans="1:12" s="27" customFormat="1" ht="19.5" customHeight="1" x14ac:dyDescent="0.3">
      <c r="A26" s="28"/>
      <c r="B26" s="16"/>
      <c r="C26" s="17">
        <v>46.76</v>
      </c>
      <c r="D26" s="18" t="s">
        <v>272</v>
      </c>
      <c r="E26" s="81">
        <v>6</v>
      </c>
      <c r="F26" s="82">
        <v>2.7</v>
      </c>
      <c r="G26" s="34" t="s">
        <v>62</v>
      </c>
      <c r="H26" s="35">
        <v>1981</v>
      </c>
      <c r="I26" s="36">
        <v>3353</v>
      </c>
      <c r="J26" s="37">
        <v>5</v>
      </c>
      <c r="K26" s="38">
        <f t="shared" si="0"/>
        <v>33.211465000000004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43"/>
      <c r="H28" s="35"/>
      <c r="I28" s="36"/>
      <c r="J28" s="37"/>
      <c r="K28" s="38">
        <f t="shared" si="0"/>
        <v>0</v>
      </c>
      <c r="L28" s="39"/>
    </row>
    <row r="29" spans="1:12" s="55" customFormat="1" ht="19.5" customHeight="1" x14ac:dyDescent="0.3">
      <c r="A29" s="44"/>
      <c r="B29" s="45"/>
      <c r="C29" s="46"/>
      <c r="D29" s="47"/>
      <c r="E29" s="48"/>
      <c r="F29" s="49"/>
      <c r="G29" s="50"/>
      <c r="H29" s="51"/>
      <c r="I29" s="45"/>
      <c r="J29" s="52"/>
      <c r="K29" s="53">
        <f t="shared" si="0"/>
        <v>0</v>
      </c>
      <c r="L29" s="54"/>
    </row>
    <row r="30" spans="1:12" s="55" customFormat="1" ht="19.5" customHeight="1" x14ac:dyDescent="0.3">
      <c r="A30" s="44" t="s">
        <v>2491</v>
      </c>
      <c r="B30" s="45" t="s">
        <v>2456</v>
      </c>
      <c r="C30" s="46">
        <v>43</v>
      </c>
      <c r="D30" s="47" t="s">
        <v>791</v>
      </c>
      <c r="E30" s="48">
        <v>288</v>
      </c>
      <c r="F30" s="49">
        <v>159.36000000000001</v>
      </c>
      <c r="G30" s="50" t="s">
        <v>49</v>
      </c>
      <c r="H30" s="51">
        <v>1829</v>
      </c>
      <c r="I30" s="45">
        <v>3353</v>
      </c>
      <c r="J30" s="52">
        <v>27</v>
      </c>
      <c r="K30" s="53">
        <f t="shared" si="0"/>
        <v>165.581199</v>
      </c>
      <c r="L30" s="54" t="s">
        <v>202</v>
      </c>
    </row>
    <row r="31" spans="1:12" s="55" customFormat="1" ht="19.5" customHeight="1" x14ac:dyDescent="0.3">
      <c r="A31" s="44"/>
      <c r="B31" s="45"/>
      <c r="C31" s="77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2487</v>
      </c>
      <c r="B32" s="76" t="s">
        <v>353</v>
      </c>
      <c r="C32" s="77">
        <v>22</v>
      </c>
      <c r="D32" s="78" t="s">
        <v>320</v>
      </c>
      <c r="E32" s="48">
        <v>276</v>
      </c>
      <c r="F32" s="49">
        <v>217.17</v>
      </c>
      <c r="G32" s="50" t="s">
        <v>18</v>
      </c>
      <c r="H32" s="51">
        <v>1829</v>
      </c>
      <c r="I32" s="45">
        <v>3353</v>
      </c>
      <c r="J32" s="52">
        <v>38</v>
      </c>
      <c r="K32" s="53">
        <f t="shared" si="0"/>
        <v>233.04020599999998</v>
      </c>
      <c r="L32" s="54" t="s">
        <v>601</v>
      </c>
    </row>
    <row r="33" spans="1:12" s="55" customFormat="1" ht="19.5" customHeight="1" x14ac:dyDescent="0.3">
      <c r="A33" s="44"/>
      <c r="B33" s="96"/>
      <c r="C33" s="77"/>
      <c r="D33" s="78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2492</v>
      </c>
      <c r="B34" s="45" t="s">
        <v>25</v>
      </c>
      <c r="C34" s="46">
        <v>22</v>
      </c>
      <c r="D34" s="47" t="s">
        <v>17</v>
      </c>
      <c r="E34" s="48">
        <v>352</v>
      </c>
      <c r="F34" s="49">
        <v>520.96</v>
      </c>
      <c r="G34" s="50" t="s">
        <v>2493</v>
      </c>
      <c r="H34" s="51">
        <v>2286</v>
      </c>
      <c r="I34" s="45">
        <v>3048</v>
      </c>
      <c r="J34" s="52">
        <v>88</v>
      </c>
      <c r="K34" s="53">
        <f t="shared" si="0"/>
        <v>613.16006400000003</v>
      </c>
      <c r="L34" s="54" t="s">
        <v>2494</v>
      </c>
    </row>
    <row r="35" spans="1:12" s="55" customFormat="1" ht="19.5" customHeight="1" x14ac:dyDescent="0.3">
      <c r="A35" s="44"/>
      <c r="B35" s="96"/>
      <c r="C35" s="77"/>
      <c r="D35" s="78"/>
      <c r="E35" s="48"/>
      <c r="F35" s="49"/>
      <c r="G35" s="50"/>
      <c r="H35" s="51"/>
      <c r="I35" s="45"/>
      <c r="J35" s="52"/>
      <c r="K35" s="53">
        <f t="shared" si="0"/>
        <v>0</v>
      </c>
      <c r="L35" s="64"/>
    </row>
    <row r="36" spans="1:12" s="55" customFormat="1" ht="19.5" customHeight="1" x14ac:dyDescent="0.3">
      <c r="A36" s="44"/>
      <c r="B36" s="96"/>
      <c r="C36" s="77"/>
      <c r="D36" s="78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/>
      <c r="B37" s="45"/>
      <c r="C37" s="77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/>
      <c r="B38" s="96"/>
      <c r="C38" s="77"/>
      <c r="D38" s="78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/>
      <c r="B39" s="96"/>
      <c r="C39" s="77"/>
      <c r="D39" s="78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/>
      <c r="B40" s="76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/>
      <c r="B41" s="76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/>
      <c r="B42" s="76"/>
      <c r="C42" s="77"/>
      <c r="D42" s="78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/>
      <c r="B43" s="76"/>
      <c r="C43" s="77"/>
      <c r="D43" s="78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/>
      <c r="B44" s="76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/>
      <c r="B45" s="76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76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76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76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9" customFormat="1" ht="20.100000000000001" customHeight="1" x14ac:dyDescent="0.3">
      <c r="A50" s="44"/>
      <c r="B50" s="45"/>
      <c r="C50" s="46"/>
      <c r="D50" s="47"/>
      <c r="E50" s="56"/>
      <c r="F50" s="57"/>
      <c r="G50" s="50"/>
      <c r="H50" s="51"/>
      <c r="I50" s="45"/>
      <c r="J50" s="52"/>
      <c r="K50" s="53">
        <f t="shared" si="0"/>
        <v>0</v>
      </c>
      <c r="L50" s="58">
        <f>SUM(J29:J51)</f>
        <v>153</v>
      </c>
    </row>
    <row r="51" spans="1:12" s="59" customFormat="1" ht="20.100000000000001" customHeight="1" x14ac:dyDescent="0.3">
      <c r="A51" s="44"/>
      <c r="B51" s="45"/>
      <c r="C51" s="46"/>
      <c r="D51" s="47"/>
      <c r="E51" s="60"/>
      <c r="F51" s="61"/>
      <c r="G51" s="62"/>
      <c r="H51" s="51"/>
      <c r="I51" s="45"/>
      <c r="J51" s="63"/>
      <c r="K51" s="53">
        <f t="shared" si="0"/>
        <v>0</v>
      </c>
      <c r="L51" s="64">
        <f>SUM(K29:K51)</f>
        <v>1011.781469</v>
      </c>
    </row>
    <row r="52" spans="1:12" s="59" customFormat="1" ht="20.100000000000001" customHeight="1" thickBot="1" x14ac:dyDescent="0.35">
      <c r="A52" s="114"/>
      <c r="B52" s="115"/>
      <c r="C52" s="115"/>
      <c r="D52" s="115"/>
      <c r="E52" s="115"/>
      <c r="F52" s="115"/>
      <c r="G52" s="115"/>
      <c r="H52" s="115"/>
      <c r="I52" s="115"/>
      <c r="J52" s="65">
        <f>SUM(J7:J51)</f>
        <v>305</v>
      </c>
      <c r="K52" s="66">
        <f>SUM(K7:K51)</f>
        <v>1967.3898219999996</v>
      </c>
      <c r="L52" s="67"/>
    </row>
    <row r="53" spans="1:12" s="59" customFormat="1" ht="20.100000000000001" customHeight="1" thickTop="1" thickBot="1" x14ac:dyDescent="0.35">
      <c r="A53" s="116" t="s">
        <v>52</v>
      </c>
      <c r="B53" s="117"/>
      <c r="C53" s="68"/>
      <c r="D53" s="118">
        <f>J52</f>
        <v>305</v>
      </c>
      <c r="E53" s="119"/>
      <c r="F53" s="119"/>
      <c r="G53" s="120"/>
      <c r="H53" s="121"/>
      <c r="I53" s="121"/>
      <c r="J53" s="122"/>
      <c r="K53" s="119"/>
      <c r="L53" s="123"/>
    </row>
    <row r="54" spans="1:12" s="59" customFormat="1" ht="20.100000000000001" customHeight="1" x14ac:dyDescent="0.3">
      <c r="A54" s="69"/>
      <c r="B54" s="5"/>
      <c r="C54" s="5"/>
      <c r="D54" s="5"/>
      <c r="E54" s="5"/>
      <c r="F54" s="70"/>
      <c r="G54" s="5"/>
      <c r="H54" s="5"/>
      <c r="I54" s="5"/>
      <c r="J54" s="5"/>
      <c r="K54" s="5"/>
      <c r="L54" s="71"/>
    </row>
    <row r="55" spans="1:12" s="59" customFormat="1" ht="20.100000000000001" customHeight="1" x14ac:dyDescent="0.3">
      <c r="A55" s="69"/>
      <c r="B55" s="5"/>
      <c r="C55" s="5"/>
      <c r="D55" s="5"/>
      <c r="E55" s="5"/>
      <c r="F55" s="70"/>
      <c r="G55" s="5"/>
      <c r="H55" s="5"/>
      <c r="I55" s="5"/>
      <c r="J55" s="5"/>
      <c r="K55" s="5"/>
      <c r="L55" s="5"/>
    </row>
    <row r="56" spans="1:12" s="59" customFormat="1" ht="20.100000000000001" customHeight="1" x14ac:dyDescent="0.3">
      <c r="A56" s="69"/>
      <c r="B56" s="5"/>
      <c r="C56" s="5"/>
      <c r="D56" s="5"/>
      <c r="E56" s="5"/>
      <c r="F56" s="70"/>
      <c r="G56" s="5"/>
      <c r="H56" s="5"/>
      <c r="I56" s="5"/>
      <c r="J56" s="5"/>
      <c r="K56" s="5"/>
      <c r="L56" s="5"/>
    </row>
    <row r="57" spans="1:12" s="59" customFormat="1" ht="20.100000000000001" customHeight="1" x14ac:dyDescent="0.3">
      <c r="A57" s="69"/>
      <c r="B57" s="5"/>
      <c r="C57" s="5"/>
      <c r="D57" s="5"/>
      <c r="E57" s="5"/>
      <c r="F57" s="70"/>
      <c r="G57" s="5"/>
      <c r="H57" s="5"/>
      <c r="I57" s="5"/>
      <c r="J57" s="5"/>
      <c r="K57" s="5"/>
      <c r="L57" s="5"/>
    </row>
    <row r="58" spans="1:12" s="59" customFormat="1" ht="20.100000000000001" customHeight="1" x14ac:dyDescent="0.3">
      <c r="A58" s="113"/>
      <c r="B58" s="113"/>
      <c r="C58" s="5"/>
      <c r="D58" s="5"/>
      <c r="E58" s="5"/>
      <c r="F58" s="70"/>
      <c r="G58" s="5"/>
      <c r="H58" s="5"/>
      <c r="I58" s="5"/>
      <c r="J58" s="5"/>
      <c r="K58" s="5"/>
      <c r="L58" s="5"/>
    </row>
    <row r="59" spans="1:12" s="59" customFormat="1" ht="20.100000000000001" customHeight="1" x14ac:dyDescent="0.3">
      <c r="A59" s="113"/>
      <c r="B59" s="113"/>
      <c r="C59" s="5"/>
      <c r="D59" s="5"/>
      <c r="E59" s="72"/>
      <c r="F59" s="5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113"/>
      <c r="B60" s="113"/>
      <c r="C60" s="5"/>
      <c r="D60" s="5"/>
      <c r="E60" s="5"/>
      <c r="F60" s="5"/>
      <c r="G60" s="73"/>
      <c r="H60" s="5"/>
      <c r="I60" s="74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72"/>
      <c r="I64" s="72"/>
      <c r="J64" s="5"/>
      <c r="K64" s="5"/>
      <c r="L64" s="5"/>
    </row>
    <row r="65" spans="1:12" ht="20.100000000000001" customHeight="1" x14ac:dyDescent="0.3">
      <c r="A65" s="113"/>
      <c r="B65" s="113"/>
      <c r="H65" s="72"/>
      <c r="I65" s="72"/>
    </row>
    <row r="66" spans="1:12" ht="20.100000000000001" customHeight="1" x14ac:dyDescent="0.3">
      <c r="H66" s="72"/>
      <c r="I66" s="72"/>
    </row>
    <row r="67" spans="1:12" ht="20.100000000000001" customHeight="1" x14ac:dyDescent="0.3">
      <c r="H67" s="72"/>
      <c r="I67" s="72"/>
    </row>
    <row r="68" spans="1:12" ht="20.100000000000001" customHeight="1" x14ac:dyDescent="0.3">
      <c r="A68" s="113"/>
      <c r="B68" s="113"/>
      <c r="H68" s="72"/>
      <c r="I68" s="72"/>
    </row>
    <row r="69" spans="1:12" ht="20.100000000000001" customHeight="1" x14ac:dyDescent="0.3">
      <c r="A69" s="113"/>
      <c r="B69" s="113"/>
      <c r="H69" s="72"/>
      <c r="I69" s="72"/>
    </row>
    <row r="70" spans="1:12" ht="20.100000000000001" customHeight="1" x14ac:dyDescent="0.3">
      <c r="H70" s="72"/>
      <c r="I70" s="72"/>
    </row>
    <row r="71" spans="1:12" ht="20.100000000000001" customHeight="1" x14ac:dyDescent="0.3">
      <c r="H71" s="72"/>
      <c r="I71" s="72"/>
    </row>
    <row r="72" spans="1:12" ht="20.100000000000001" customHeight="1" x14ac:dyDescent="0.3">
      <c r="H72" s="72"/>
      <c r="I72" s="72"/>
    </row>
    <row r="73" spans="1:12" s="72" customFormat="1" ht="20.100000000000001" customHeight="1" x14ac:dyDescent="0.3">
      <c r="A73" s="69"/>
      <c r="B73" s="5"/>
      <c r="C73" s="5"/>
      <c r="D73" s="5"/>
      <c r="E73" s="5"/>
      <c r="F73" s="70"/>
      <c r="G73" s="5"/>
      <c r="J73" s="5"/>
      <c r="K73" s="5"/>
      <c r="L73" s="5"/>
    </row>
    <row r="74" spans="1:12" s="72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75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75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75" customFormat="1" ht="19.5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72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ht="19.5" customHeight="1" x14ac:dyDescent="0.3"/>
    <row r="81" spans="2:12" ht="19.5" customHeight="1" x14ac:dyDescent="0.3"/>
    <row r="82" spans="2:12" ht="19.5" customHeight="1" x14ac:dyDescent="0.3"/>
    <row r="83" spans="2:12" s="69" customFormat="1" ht="19.5" customHeight="1" x14ac:dyDescent="0.3"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2:12" s="69" customFormat="1" ht="19.5" customHeight="1" x14ac:dyDescent="0.3"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2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2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2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2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2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2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2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2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2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2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2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2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ht="19.5" customHeight="1" x14ac:dyDescent="0.3"/>
    <row r="100" spans="2:12" ht="19.5" customHeight="1" x14ac:dyDescent="0.3"/>
    <row r="101" spans="2:12" ht="19.5" customHeight="1" x14ac:dyDescent="0.3"/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>
        <v>2</v>
      </c>
      <c r="C143" s="5"/>
      <c r="D143" s="5"/>
      <c r="E143" s="5"/>
      <c r="F143" s="70"/>
      <c r="G143" s="5"/>
      <c r="H143" s="5"/>
      <c r="I143" s="5"/>
      <c r="J143" s="5"/>
      <c r="K143" s="5"/>
      <c r="L143" s="5"/>
    </row>
  </sheetData>
  <mergeCells count="30">
    <mergeCell ref="A68:B68"/>
    <mergeCell ref="A69:B69"/>
    <mergeCell ref="A59:B59"/>
    <mergeCell ref="A60:B60"/>
    <mergeCell ref="A61:B61"/>
    <mergeCell ref="A63:B63"/>
    <mergeCell ref="A64:B64"/>
    <mergeCell ref="A65:B65"/>
    <mergeCell ref="A58:B5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2:I52"/>
    <mergeCell ref="A53:B53"/>
    <mergeCell ref="D53:G53"/>
    <mergeCell ref="H53:J53"/>
    <mergeCell ref="K53:L53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L151"/>
  <sheetViews>
    <sheetView view="pageBreakPreview" topLeftCell="F37" zoomScale="85" zoomScaleSheetLayoutView="85" workbookViewId="0">
      <selection activeCell="L58" sqref="L58:L5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46112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9" si="0">(H7/1000*I7/1000)*J7</f>
        <v>0</v>
      </c>
      <c r="L7" s="26">
        <f>SUM(J7:J28)</f>
        <v>155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SUM(K7:K28)</f>
        <v>990.31860899999992</v>
      </c>
    </row>
    <row r="9" spans="1:12" s="27" customFormat="1" ht="19.5" customHeight="1" x14ac:dyDescent="0.3">
      <c r="A9" s="28" t="s">
        <v>2221</v>
      </c>
      <c r="B9" s="16" t="s">
        <v>21</v>
      </c>
      <c r="C9" s="17">
        <v>22</v>
      </c>
      <c r="D9" s="18" t="s">
        <v>83</v>
      </c>
      <c r="E9" s="81">
        <v>12</v>
      </c>
      <c r="F9" s="82">
        <v>19.2</v>
      </c>
      <c r="G9" s="34" t="s">
        <v>18</v>
      </c>
      <c r="H9" s="35">
        <v>1981</v>
      </c>
      <c r="I9" s="36">
        <v>3353</v>
      </c>
      <c r="J9" s="37">
        <v>3</v>
      </c>
      <c r="K9" s="38">
        <f t="shared" si="0"/>
        <v>19.926879</v>
      </c>
      <c r="L9" s="39"/>
    </row>
    <row r="10" spans="1:12" s="27" customFormat="1" ht="19.5" customHeight="1" x14ac:dyDescent="0.3">
      <c r="A10" s="28"/>
      <c r="B10" s="16"/>
      <c r="C10" s="17">
        <v>46.76</v>
      </c>
      <c r="D10" s="18" t="s">
        <v>272</v>
      </c>
      <c r="E10" s="41">
        <v>6</v>
      </c>
      <c r="F10" s="42">
        <v>2.4</v>
      </c>
      <c r="G10" s="34" t="s">
        <v>62</v>
      </c>
      <c r="H10" s="35">
        <v>1981</v>
      </c>
      <c r="I10" s="36">
        <v>3353</v>
      </c>
      <c r="J10" s="37">
        <v>4</v>
      </c>
      <c r="K10" s="38">
        <f t="shared" si="0"/>
        <v>26.569172000000002</v>
      </c>
      <c r="L10" s="39"/>
    </row>
    <row r="11" spans="1:12" s="27" customFormat="1" ht="19.5" customHeight="1" x14ac:dyDescent="0.3">
      <c r="A11" s="28"/>
      <c r="B11" s="93"/>
      <c r="C11" s="17"/>
      <c r="D11" s="18"/>
      <c r="E11" s="81"/>
      <c r="F11" s="8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2213</v>
      </c>
      <c r="B12" s="16" t="s">
        <v>21</v>
      </c>
      <c r="C12" s="17">
        <v>22</v>
      </c>
      <c r="D12" s="18" t="s">
        <v>83</v>
      </c>
      <c r="E12" s="41">
        <v>12</v>
      </c>
      <c r="F12" s="42">
        <v>16.920000000000002</v>
      </c>
      <c r="G12" s="34" t="s">
        <v>18</v>
      </c>
      <c r="H12" s="35">
        <v>1981</v>
      </c>
      <c r="I12" s="36">
        <v>3353</v>
      </c>
      <c r="J12" s="37">
        <v>1</v>
      </c>
      <c r="K12" s="38">
        <f t="shared" si="0"/>
        <v>6.6422930000000004</v>
      </c>
      <c r="L12" s="39"/>
    </row>
    <row r="13" spans="1:12" s="27" customFormat="1" ht="19.5" customHeight="1" x14ac:dyDescent="0.3">
      <c r="A13" s="28"/>
      <c r="B13" s="16"/>
      <c r="C13" s="17">
        <v>46.76</v>
      </c>
      <c r="D13" s="18" t="s">
        <v>272</v>
      </c>
      <c r="E13" s="41">
        <v>6</v>
      </c>
      <c r="F13" s="42">
        <v>2.7</v>
      </c>
      <c r="G13" s="34" t="s">
        <v>18</v>
      </c>
      <c r="H13" s="35">
        <v>2590</v>
      </c>
      <c r="I13" s="36">
        <v>3353</v>
      </c>
      <c r="J13" s="37">
        <v>2</v>
      </c>
      <c r="K13" s="38">
        <f t="shared" si="0"/>
        <v>17.368539999999996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62</v>
      </c>
      <c r="H14" s="35">
        <v>1981</v>
      </c>
      <c r="I14" s="36">
        <v>3353</v>
      </c>
      <c r="J14" s="37">
        <v>3</v>
      </c>
      <c r="K14" s="38">
        <f t="shared" si="0"/>
        <v>19.926879</v>
      </c>
      <c r="L14" s="39"/>
    </row>
    <row r="15" spans="1:12" s="27" customFormat="1" ht="19.5" customHeight="1" x14ac:dyDescent="0.3">
      <c r="A15" s="28"/>
      <c r="B15" s="93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2466</v>
      </c>
      <c r="B16" s="16" t="s">
        <v>353</v>
      </c>
      <c r="C16" s="17">
        <v>22</v>
      </c>
      <c r="D16" s="18" t="s">
        <v>307</v>
      </c>
      <c r="E16" s="81">
        <v>84</v>
      </c>
      <c r="F16" s="82">
        <v>69</v>
      </c>
      <c r="G16" s="43" t="s">
        <v>49</v>
      </c>
      <c r="H16" s="35">
        <v>1829</v>
      </c>
      <c r="I16" s="36">
        <v>3353</v>
      </c>
      <c r="J16" s="37">
        <v>12</v>
      </c>
      <c r="K16" s="38">
        <f t="shared" si="0"/>
        <v>73.591644000000002</v>
      </c>
      <c r="L16" s="39" t="s">
        <v>321</v>
      </c>
    </row>
    <row r="17" spans="1:12" s="27" customFormat="1" ht="19.5" customHeight="1" x14ac:dyDescent="0.3">
      <c r="A17" s="28"/>
      <c r="B17" s="16"/>
      <c r="C17" s="17">
        <v>22</v>
      </c>
      <c r="D17" s="18" t="s">
        <v>320</v>
      </c>
      <c r="E17" s="81">
        <v>85</v>
      </c>
      <c r="F17" s="82">
        <v>70.61</v>
      </c>
      <c r="G17" s="43" t="s">
        <v>18</v>
      </c>
      <c r="H17" s="35">
        <v>1829</v>
      </c>
      <c r="I17" s="36">
        <v>3353</v>
      </c>
      <c r="J17" s="37">
        <v>12</v>
      </c>
      <c r="K17" s="38">
        <f t="shared" si="0"/>
        <v>73.591644000000002</v>
      </c>
      <c r="L17" s="39" t="s">
        <v>321</v>
      </c>
    </row>
    <row r="18" spans="1:12" s="27" customFormat="1" ht="19.5" customHeight="1" x14ac:dyDescent="0.3">
      <c r="A18" s="28"/>
      <c r="B18" s="93"/>
      <c r="C18" s="17"/>
      <c r="D18" s="18"/>
      <c r="E18" s="41"/>
      <c r="F18" s="42"/>
      <c r="G18" s="43" t="s">
        <v>39</v>
      </c>
      <c r="H18" s="35">
        <v>1829</v>
      </c>
      <c r="I18" s="36">
        <v>3353</v>
      </c>
      <c r="J18" s="37">
        <v>24</v>
      </c>
      <c r="K18" s="38">
        <f t="shared" si="0"/>
        <v>147.183288</v>
      </c>
      <c r="L18" s="39" t="s">
        <v>321</v>
      </c>
    </row>
    <row r="19" spans="1:12" s="27" customFormat="1" ht="19.5" customHeight="1" x14ac:dyDescent="0.3">
      <c r="A19" s="28"/>
      <c r="B19" s="93"/>
      <c r="C19" s="17"/>
      <c r="D19" s="18"/>
      <c r="E19" s="81"/>
      <c r="F19" s="82"/>
      <c r="G19" s="43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2409</v>
      </c>
      <c r="B20" s="16" t="s">
        <v>694</v>
      </c>
      <c r="C20" s="17">
        <v>5</v>
      </c>
      <c r="D20" s="18" t="s">
        <v>219</v>
      </c>
      <c r="E20" s="81">
        <v>15</v>
      </c>
      <c r="F20" s="82">
        <v>15.9</v>
      </c>
      <c r="G20" s="34" t="s">
        <v>18</v>
      </c>
      <c r="H20" s="35">
        <v>1981</v>
      </c>
      <c r="I20" s="36">
        <v>3353</v>
      </c>
      <c r="J20" s="37">
        <v>3</v>
      </c>
      <c r="K20" s="38">
        <f t="shared" si="0"/>
        <v>19.926879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 t="s">
        <v>2454</v>
      </c>
      <c r="B22" s="16" t="s">
        <v>353</v>
      </c>
      <c r="C22" s="17">
        <v>22</v>
      </c>
      <c r="D22" s="18" t="s">
        <v>320</v>
      </c>
      <c r="E22" s="41">
        <v>201</v>
      </c>
      <c r="F22" s="42">
        <v>157.63999999999999</v>
      </c>
      <c r="G22" s="34" t="s">
        <v>18</v>
      </c>
      <c r="H22" s="35">
        <v>1981</v>
      </c>
      <c r="I22" s="36">
        <v>3353</v>
      </c>
      <c r="J22" s="37">
        <v>27</v>
      </c>
      <c r="K22" s="38">
        <f t="shared" si="0"/>
        <v>179.34191100000001</v>
      </c>
      <c r="L22" s="39" t="s">
        <v>321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43" t="s">
        <v>39</v>
      </c>
      <c r="H23" s="35">
        <v>1981</v>
      </c>
      <c r="I23" s="36">
        <v>3353</v>
      </c>
      <c r="J23" s="37">
        <v>27</v>
      </c>
      <c r="K23" s="38">
        <f t="shared" si="0"/>
        <v>179.34191100000001</v>
      </c>
      <c r="L23" s="39" t="s">
        <v>321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2467</v>
      </c>
      <c r="B25" s="16" t="s">
        <v>353</v>
      </c>
      <c r="C25" s="17">
        <v>22</v>
      </c>
      <c r="D25" s="18" t="s">
        <v>307</v>
      </c>
      <c r="E25" s="41">
        <v>257</v>
      </c>
      <c r="F25" s="42">
        <v>215.08</v>
      </c>
      <c r="G25" s="34" t="s">
        <v>49</v>
      </c>
      <c r="H25" s="35">
        <v>1829</v>
      </c>
      <c r="I25" s="36">
        <v>3353</v>
      </c>
      <c r="J25" s="37">
        <v>37</v>
      </c>
      <c r="K25" s="38">
        <f t="shared" si="0"/>
        <v>226.907569</v>
      </c>
      <c r="L25" s="39" t="s">
        <v>2468</v>
      </c>
    </row>
    <row r="26" spans="1:12" s="27" customFormat="1" ht="19.5" customHeight="1" x14ac:dyDescent="0.3">
      <c r="A26" s="28"/>
      <c r="B26" s="16"/>
      <c r="C26" s="17"/>
      <c r="D26" s="18"/>
      <c r="E26" s="81"/>
      <c r="F26" s="8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43"/>
      <c r="H28" s="35"/>
      <c r="I28" s="36"/>
      <c r="J28" s="37"/>
      <c r="K28" s="38">
        <f t="shared" si="0"/>
        <v>0</v>
      </c>
      <c r="L28" s="39"/>
    </row>
    <row r="29" spans="1:12" s="55" customFormat="1" ht="19.5" customHeight="1" x14ac:dyDescent="0.3">
      <c r="A29" s="44"/>
      <c r="B29" s="45"/>
      <c r="C29" s="46"/>
      <c r="D29" s="47"/>
      <c r="E29" s="48"/>
      <c r="F29" s="49"/>
      <c r="G29" s="50"/>
      <c r="H29" s="51"/>
      <c r="I29" s="45"/>
      <c r="J29" s="52"/>
      <c r="K29" s="53">
        <f t="shared" si="0"/>
        <v>0</v>
      </c>
      <c r="L29" s="54"/>
    </row>
    <row r="30" spans="1:12" s="55" customFormat="1" ht="19.5" customHeight="1" x14ac:dyDescent="0.3">
      <c r="A30" s="44" t="s">
        <v>2469</v>
      </c>
      <c r="B30" s="45" t="s">
        <v>194</v>
      </c>
      <c r="C30" s="46">
        <v>28</v>
      </c>
      <c r="D30" s="47" t="s">
        <v>196</v>
      </c>
      <c r="E30" s="48">
        <v>4</v>
      </c>
      <c r="F30" s="49">
        <v>8.1199999999999992</v>
      </c>
      <c r="G30" s="50" t="s">
        <v>655</v>
      </c>
      <c r="H30" s="51">
        <v>2134</v>
      </c>
      <c r="I30" s="45">
        <v>3048</v>
      </c>
      <c r="J30" s="52">
        <v>2</v>
      </c>
      <c r="K30" s="53">
        <f t="shared" si="0"/>
        <v>13.008863999999999</v>
      </c>
      <c r="L30" s="54"/>
    </row>
    <row r="31" spans="1:12" s="55" customFormat="1" ht="19.5" customHeight="1" x14ac:dyDescent="0.3">
      <c r="A31" s="44"/>
      <c r="B31" s="45"/>
      <c r="C31" s="77"/>
      <c r="D31" s="47"/>
      <c r="E31" s="48"/>
      <c r="F31" s="49"/>
      <c r="G31" s="50" t="s">
        <v>189</v>
      </c>
      <c r="H31" s="51">
        <v>2438</v>
      </c>
      <c r="I31" s="45">
        <v>3353</v>
      </c>
      <c r="J31" s="52">
        <v>1</v>
      </c>
      <c r="K31" s="53">
        <f t="shared" si="0"/>
        <v>8.174614</v>
      </c>
      <c r="L31" s="54"/>
    </row>
    <row r="32" spans="1:12" s="55" customFormat="1" ht="19.5" customHeight="1" x14ac:dyDescent="0.3">
      <c r="A32" s="44"/>
      <c r="B32" s="76"/>
      <c r="C32" s="77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2433</v>
      </c>
      <c r="B33" s="96" t="s">
        <v>21</v>
      </c>
      <c r="C33" s="77">
        <v>25.76</v>
      </c>
      <c r="D33" s="78" t="s">
        <v>227</v>
      </c>
      <c r="E33" s="48">
        <v>36</v>
      </c>
      <c r="F33" s="49">
        <v>20.88</v>
      </c>
      <c r="G33" s="50" t="s">
        <v>39</v>
      </c>
      <c r="H33" s="51">
        <v>2134</v>
      </c>
      <c r="I33" s="45">
        <v>3353</v>
      </c>
      <c r="J33" s="52">
        <v>18</v>
      </c>
      <c r="K33" s="53">
        <f t="shared" si="0"/>
        <v>128.795436</v>
      </c>
      <c r="L33" s="54" t="s">
        <v>2476</v>
      </c>
    </row>
    <row r="34" spans="1:12" s="55" customFormat="1" ht="19.5" customHeight="1" x14ac:dyDescent="0.3">
      <c r="A34" s="44"/>
      <c r="B34" s="45"/>
      <c r="C34" s="46">
        <v>22</v>
      </c>
      <c r="D34" s="47" t="s">
        <v>228</v>
      </c>
      <c r="E34" s="48">
        <v>12</v>
      </c>
      <c r="F34" s="49">
        <v>13.2</v>
      </c>
      <c r="G34" s="50"/>
      <c r="H34" s="51"/>
      <c r="I34" s="45"/>
      <c r="J34" s="52"/>
      <c r="K34" s="53">
        <f t="shared" si="0"/>
        <v>0</v>
      </c>
      <c r="L34" s="54" t="s">
        <v>2477</v>
      </c>
    </row>
    <row r="35" spans="1:12" s="55" customFormat="1" ht="19.5" customHeight="1" x14ac:dyDescent="0.3">
      <c r="A35" s="44" t="s">
        <v>2470</v>
      </c>
      <c r="B35" s="96" t="s">
        <v>2471</v>
      </c>
      <c r="C35" s="77">
        <v>46.76</v>
      </c>
      <c r="D35" s="78" t="s">
        <v>2473</v>
      </c>
      <c r="E35" s="48">
        <v>8</v>
      </c>
      <c r="F35" s="49">
        <v>34.049999999999997</v>
      </c>
      <c r="G35" s="50"/>
      <c r="H35" s="51"/>
      <c r="I35" s="45"/>
      <c r="J35" s="52"/>
      <c r="K35" s="53">
        <f t="shared" si="0"/>
        <v>0</v>
      </c>
      <c r="L35" s="64" t="s">
        <v>2475</v>
      </c>
    </row>
    <row r="36" spans="1:12" s="55" customFormat="1" ht="19.5" customHeight="1" x14ac:dyDescent="0.3">
      <c r="A36" s="44"/>
      <c r="B36" s="96"/>
      <c r="C36" s="77">
        <v>43</v>
      </c>
      <c r="D36" s="78" t="s">
        <v>2472</v>
      </c>
      <c r="E36" s="48">
        <v>1</v>
      </c>
      <c r="F36" s="49">
        <v>1.45</v>
      </c>
      <c r="G36" s="50"/>
      <c r="H36" s="51"/>
      <c r="I36" s="45"/>
      <c r="J36" s="52"/>
      <c r="K36" s="53">
        <f t="shared" si="0"/>
        <v>0</v>
      </c>
      <c r="L36" s="54" t="s">
        <v>2478</v>
      </c>
    </row>
    <row r="37" spans="1:12" s="55" customFormat="1" ht="19.5" customHeight="1" x14ac:dyDescent="0.3">
      <c r="A37" s="44"/>
      <c r="B37" s="45"/>
      <c r="C37" s="77">
        <v>22</v>
      </c>
      <c r="D37" s="47" t="s">
        <v>2474</v>
      </c>
      <c r="E37" s="48">
        <v>3</v>
      </c>
      <c r="F37" s="49">
        <v>1.55</v>
      </c>
      <c r="G37" s="50"/>
      <c r="H37" s="51"/>
      <c r="I37" s="45"/>
      <c r="J37" s="52"/>
      <c r="K37" s="53">
        <f t="shared" si="0"/>
        <v>0</v>
      </c>
      <c r="L37" s="54" t="s">
        <v>2478</v>
      </c>
    </row>
    <row r="38" spans="1:12" s="55" customFormat="1" ht="19.5" customHeight="1" x14ac:dyDescent="0.3">
      <c r="A38" s="44"/>
      <c r="B38" s="96"/>
      <c r="C38" s="77"/>
      <c r="D38" s="78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2479</v>
      </c>
      <c r="B39" s="96" t="s">
        <v>2480</v>
      </c>
      <c r="C39" s="77">
        <v>43</v>
      </c>
      <c r="D39" s="78" t="s">
        <v>2481</v>
      </c>
      <c r="E39" s="48">
        <v>2</v>
      </c>
      <c r="F39" s="49">
        <v>3.07</v>
      </c>
      <c r="G39" s="50" t="s">
        <v>91</v>
      </c>
      <c r="H39" s="51">
        <v>2438</v>
      </c>
      <c r="I39" s="45">
        <v>3353</v>
      </c>
      <c r="J39" s="52">
        <v>2</v>
      </c>
      <c r="K39" s="53">
        <f t="shared" si="0"/>
        <v>16.349228</v>
      </c>
      <c r="L39" s="54"/>
    </row>
    <row r="40" spans="1:12" s="55" customFormat="1" ht="19.5" customHeight="1" x14ac:dyDescent="0.3">
      <c r="A40" s="44"/>
      <c r="B40" s="76"/>
      <c r="C40" s="46"/>
      <c r="D40" s="47"/>
      <c r="E40" s="48"/>
      <c r="F40" s="49"/>
      <c r="G40" s="50" t="s">
        <v>18</v>
      </c>
      <c r="H40" s="51">
        <v>2134</v>
      </c>
      <c r="I40" s="45">
        <v>3353</v>
      </c>
      <c r="J40" s="52">
        <v>1</v>
      </c>
      <c r="K40" s="53">
        <f t="shared" si="0"/>
        <v>7.1553019999999998</v>
      </c>
      <c r="L40" s="54"/>
    </row>
    <row r="41" spans="1:12" s="55" customFormat="1" ht="19.5" customHeight="1" x14ac:dyDescent="0.3">
      <c r="A41" s="44"/>
      <c r="B41" s="96"/>
      <c r="C41" s="77"/>
      <c r="D41" s="78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2482</v>
      </c>
      <c r="B42" s="96" t="s">
        <v>951</v>
      </c>
      <c r="C42" s="77">
        <v>24</v>
      </c>
      <c r="D42" s="78" t="s">
        <v>55</v>
      </c>
      <c r="E42" s="48">
        <v>1</v>
      </c>
      <c r="F42" s="49">
        <v>0.46</v>
      </c>
      <c r="G42" s="50" t="s">
        <v>56</v>
      </c>
      <c r="H42" s="51">
        <v>1981</v>
      </c>
      <c r="I42" s="45">
        <v>3353</v>
      </c>
      <c r="J42" s="52">
        <v>1</v>
      </c>
      <c r="K42" s="53">
        <f t="shared" si="0"/>
        <v>6.6422930000000004</v>
      </c>
      <c r="L42" s="54" t="s">
        <v>2484</v>
      </c>
    </row>
    <row r="43" spans="1:12" s="55" customFormat="1" ht="19.5" customHeight="1" x14ac:dyDescent="0.3">
      <c r="A43" s="44" t="s">
        <v>2483</v>
      </c>
      <c r="B43" s="76" t="s">
        <v>110</v>
      </c>
      <c r="C43" s="46">
        <v>24</v>
      </c>
      <c r="D43" s="47" t="s">
        <v>55</v>
      </c>
      <c r="E43" s="48">
        <v>8</v>
      </c>
      <c r="F43" s="49">
        <v>4</v>
      </c>
      <c r="G43" s="50"/>
      <c r="H43" s="51"/>
      <c r="I43" s="45"/>
      <c r="J43" s="52"/>
      <c r="K43" s="53">
        <f t="shared" si="0"/>
        <v>0</v>
      </c>
      <c r="L43" s="54" t="s">
        <v>2484</v>
      </c>
    </row>
    <row r="44" spans="1:12" s="55" customFormat="1" ht="19.5" customHeight="1" x14ac:dyDescent="0.3">
      <c r="A44" s="44"/>
      <c r="B44" s="96"/>
      <c r="C44" s="77"/>
      <c r="D44" s="78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2232</v>
      </c>
      <c r="B45" s="96" t="s">
        <v>2485</v>
      </c>
      <c r="C45" s="77">
        <v>28</v>
      </c>
      <c r="D45" s="78" t="s">
        <v>2006</v>
      </c>
      <c r="E45" s="48">
        <v>5</v>
      </c>
      <c r="F45" s="49">
        <v>6.21</v>
      </c>
      <c r="G45" s="50" t="s">
        <v>655</v>
      </c>
      <c r="H45" s="51">
        <v>2134</v>
      </c>
      <c r="I45" s="45">
        <v>3048</v>
      </c>
      <c r="J45" s="52">
        <v>1</v>
      </c>
      <c r="K45" s="53">
        <f t="shared" si="0"/>
        <v>6.5044319999999995</v>
      </c>
      <c r="L45" s="54" t="s">
        <v>831</v>
      </c>
    </row>
    <row r="46" spans="1:12" s="55" customFormat="1" ht="19.5" customHeight="1" x14ac:dyDescent="0.3">
      <c r="A46" s="44"/>
      <c r="B46" s="76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2369</v>
      </c>
      <c r="B47" s="76" t="s">
        <v>2005</v>
      </c>
      <c r="C47" s="46">
        <v>28</v>
      </c>
      <c r="D47" s="78" t="s">
        <v>2370</v>
      </c>
      <c r="E47" s="48">
        <v>5</v>
      </c>
      <c r="F47" s="49">
        <f>0.69+0.65+0.28+0.28+0.28</f>
        <v>2.1799999999999997</v>
      </c>
      <c r="G47" s="50" t="s">
        <v>655</v>
      </c>
      <c r="H47" s="51">
        <v>2134</v>
      </c>
      <c r="I47" s="45">
        <v>3048</v>
      </c>
      <c r="J47" s="52">
        <v>1</v>
      </c>
      <c r="K47" s="53">
        <f t="shared" si="0"/>
        <v>6.5044319999999995</v>
      </c>
      <c r="L47" s="54" t="s">
        <v>2486</v>
      </c>
    </row>
    <row r="48" spans="1:12" s="55" customFormat="1" ht="19.5" customHeight="1" x14ac:dyDescent="0.3">
      <c r="A48" s="44" t="s">
        <v>2371</v>
      </c>
      <c r="B48" s="76" t="s">
        <v>2005</v>
      </c>
      <c r="C48" s="46">
        <v>28</v>
      </c>
      <c r="D48" s="78" t="s">
        <v>2370</v>
      </c>
      <c r="E48" s="48">
        <v>5</v>
      </c>
      <c r="F48" s="49">
        <f>0.69+0.65+0.28+0.28+0.28</f>
        <v>2.1799999999999997</v>
      </c>
      <c r="G48" s="50" t="s">
        <v>189</v>
      </c>
      <c r="H48" s="51">
        <v>2134</v>
      </c>
      <c r="I48" s="45">
        <v>3048</v>
      </c>
      <c r="J48" s="52">
        <v>1</v>
      </c>
      <c r="K48" s="53">
        <f t="shared" si="0"/>
        <v>6.5044319999999995</v>
      </c>
      <c r="L48" s="54" t="s">
        <v>2486</v>
      </c>
    </row>
    <row r="49" spans="1:12" s="55" customFormat="1" ht="19.5" customHeight="1" x14ac:dyDescent="0.3">
      <c r="A49" s="44"/>
      <c r="B49" s="76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2487</v>
      </c>
      <c r="B50" s="76" t="s">
        <v>353</v>
      </c>
      <c r="C50" s="77">
        <v>22</v>
      </c>
      <c r="D50" s="78" t="s">
        <v>307</v>
      </c>
      <c r="E50" s="48">
        <v>275</v>
      </c>
      <c r="F50" s="49">
        <v>215.8</v>
      </c>
      <c r="G50" s="50" t="s">
        <v>49</v>
      </c>
      <c r="H50" s="51">
        <v>1829</v>
      </c>
      <c r="I50" s="45">
        <v>3353</v>
      </c>
      <c r="J50" s="52">
        <v>37</v>
      </c>
      <c r="K50" s="53">
        <f t="shared" si="0"/>
        <v>226.907569</v>
      </c>
      <c r="L50" s="54" t="s">
        <v>321</v>
      </c>
    </row>
    <row r="51" spans="1:12" s="55" customFormat="1" ht="19.5" customHeight="1" x14ac:dyDescent="0.3">
      <c r="A51" s="44"/>
      <c r="B51" s="76"/>
      <c r="C51" s="77">
        <v>22</v>
      </c>
      <c r="D51" s="78" t="s">
        <v>320</v>
      </c>
      <c r="E51" s="48">
        <v>276</v>
      </c>
      <c r="F51" s="49">
        <v>217.17</v>
      </c>
      <c r="G51" s="50" t="s">
        <v>39</v>
      </c>
      <c r="H51" s="51">
        <v>1829</v>
      </c>
      <c r="I51" s="45">
        <v>3353</v>
      </c>
      <c r="J51" s="52">
        <v>76</v>
      </c>
      <c r="K51" s="53">
        <f t="shared" si="0"/>
        <v>466.08041199999997</v>
      </c>
      <c r="L51" s="54" t="s">
        <v>425</v>
      </c>
    </row>
    <row r="52" spans="1:12" s="55" customFormat="1" ht="19.5" customHeight="1" x14ac:dyDescent="0.3">
      <c r="A52" s="44"/>
      <c r="B52" s="76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76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76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76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76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9" customFormat="1" ht="20.100000000000001" customHeight="1" x14ac:dyDescent="0.3">
      <c r="A58" s="44"/>
      <c r="B58" s="45"/>
      <c r="C58" s="46"/>
      <c r="D58" s="47"/>
      <c r="E58" s="56"/>
      <c r="F58" s="57"/>
      <c r="G58" s="50"/>
      <c r="H58" s="51"/>
      <c r="I58" s="45"/>
      <c r="J58" s="52"/>
      <c r="K58" s="53">
        <f t="shared" si="0"/>
        <v>0</v>
      </c>
      <c r="L58" s="58">
        <f>SUM(J29:J59)</f>
        <v>141</v>
      </c>
    </row>
    <row r="59" spans="1:12" s="59" customFormat="1" ht="20.100000000000001" customHeight="1" x14ac:dyDescent="0.3">
      <c r="A59" s="44"/>
      <c r="B59" s="45"/>
      <c r="C59" s="46"/>
      <c r="D59" s="47"/>
      <c r="E59" s="60"/>
      <c r="F59" s="61"/>
      <c r="G59" s="62"/>
      <c r="H59" s="51"/>
      <c r="I59" s="45"/>
      <c r="J59" s="63"/>
      <c r="K59" s="53">
        <f t="shared" si="0"/>
        <v>0</v>
      </c>
      <c r="L59" s="64">
        <f>SUM(K29:K59)</f>
        <v>892.62701399999992</v>
      </c>
    </row>
    <row r="60" spans="1:12" s="59" customFormat="1" ht="20.100000000000001" customHeight="1" thickBot="1" x14ac:dyDescent="0.35">
      <c r="A60" s="114"/>
      <c r="B60" s="115"/>
      <c r="C60" s="115"/>
      <c r="D60" s="115"/>
      <c r="E60" s="115"/>
      <c r="F60" s="115"/>
      <c r="G60" s="115"/>
      <c r="H60" s="115"/>
      <c r="I60" s="115"/>
      <c r="J60" s="65">
        <f>SUM(J7:J59)</f>
        <v>296</v>
      </c>
      <c r="K60" s="66">
        <f>SUM(K7:K59)</f>
        <v>1882.9456229999998</v>
      </c>
      <c r="L60" s="67"/>
    </row>
    <row r="61" spans="1:12" s="59" customFormat="1" ht="20.100000000000001" customHeight="1" thickTop="1" thickBot="1" x14ac:dyDescent="0.35">
      <c r="A61" s="116" t="s">
        <v>52</v>
      </c>
      <c r="B61" s="117"/>
      <c r="C61" s="68"/>
      <c r="D61" s="118">
        <f>J60</f>
        <v>296</v>
      </c>
      <c r="E61" s="119"/>
      <c r="F61" s="119"/>
      <c r="G61" s="120"/>
      <c r="H61" s="121"/>
      <c r="I61" s="121"/>
      <c r="J61" s="122"/>
      <c r="K61" s="119"/>
      <c r="L61" s="123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71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72"/>
      <c r="F67" s="5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5"/>
      <c r="G68" s="73"/>
      <c r="H68" s="5"/>
      <c r="I68" s="74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72"/>
      <c r="I72" s="72"/>
      <c r="J72" s="5"/>
      <c r="K72" s="5"/>
      <c r="L72" s="5"/>
    </row>
    <row r="73" spans="1:12" ht="20.100000000000001" customHeight="1" x14ac:dyDescent="0.3">
      <c r="A73" s="113"/>
      <c r="B73" s="113"/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H75" s="72"/>
      <c r="I75" s="72"/>
    </row>
    <row r="76" spans="1:12" ht="20.100000000000001" customHeight="1" x14ac:dyDescent="0.3">
      <c r="A76" s="113"/>
      <c r="B76" s="113"/>
      <c r="H76" s="72"/>
      <c r="I76" s="72"/>
    </row>
    <row r="77" spans="1:12" ht="20.100000000000001" customHeight="1" x14ac:dyDescent="0.3">
      <c r="A77" s="113"/>
      <c r="B77" s="113"/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s="72" customFormat="1" ht="20.100000000000001" customHeight="1" x14ac:dyDescent="0.3">
      <c r="A81" s="69"/>
      <c r="B81" s="5"/>
      <c r="C81" s="5"/>
      <c r="D81" s="5"/>
      <c r="E81" s="5"/>
      <c r="F81" s="70"/>
      <c r="G81" s="5"/>
      <c r="J81" s="5"/>
      <c r="K81" s="5"/>
      <c r="L81" s="5"/>
    </row>
    <row r="82" spans="1:12" s="72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5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5" customFormat="1" ht="19.5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ht="19.5" customHeight="1" x14ac:dyDescent="0.3"/>
    <row r="89" spans="1:12" ht="19.5" customHeight="1" x14ac:dyDescent="0.3"/>
    <row r="90" spans="1:12" ht="19.5" customHeight="1" x14ac:dyDescent="0.3"/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>
        <v>2</v>
      </c>
      <c r="C151" s="5"/>
      <c r="D151" s="5"/>
      <c r="E151" s="5"/>
      <c r="F151" s="70"/>
      <c r="G151" s="5"/>
      <c r="H151" s="5"/>
      <c r="I151" s="5"/>
      <c r="J151" s="5"/>
      <c r="K151" s="5"/>
      <c r="L151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6:B6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0:I60"/>
    <mergeCell ref="A61:B61"/>
    <mergeCell ref="D61:G61"/>
    <mergeCell ref="H61:J61"/>
    <mergeCell ref="K61:L61"/>
    <mergeCell ref="A76:B76"/>
    <mergeCell ref="A77:B77"/>
    <mergeCell ref="A67:B67"/>
    <mergeCell ref="A68:B68"/>
    <mergeCell ref="A69:B69"/>
    <mergeCell ref="A71:B71"/>
    <mergeCell ref="A72:B72"/>
    <mergeCell ref="A73:B73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L151"/>
  <sheetViews>
    <sheetView view="pageBreakPreview" topLeftCell="E43" zoomScale="85" zoomScaleSheetLayoutView="85" workbookViewId="0">
      <selection activeCell="L58" sqref="L58:L5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46111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9" si="0">(H7/1000*I7/1000)*J7</f>
        <v>0</v>
      </c>
      <c r="L7" s="26">
        <f>SUM(J7:J28)</f>
        <v>101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SUM(K7:K28)</f>
        <v>645.18838899999992</v>
      </c>
    </row>
    <row r="9" spans="1:12" s="27" customFormat="1" ht="19.5" customHeight="1" x14ac:dyDescent="0.3">
      <c r="A9" s="28" t="s">
        <v>2450</v>
      </c>
      <c r="B9" s="16" t="s">
        <v>2451</v>
      </c>
      <c r="C9" s="17">
        <v>16</v>
      </c>
      <c r="D9" s="18" t="s">
        <v>78</v>
      </c>
      <c r="E9" s="81">
        <v>28</v>
      </c>
      <c r="F9" s="82">
        <v>14.21</v>
      </c>
      <c r="G9" s="34" t="s">
        <v>18</v>
      </c>
      <c r="H9" s="35">
        <v>2590</v>
      </c>
      <c r="I9" s="36">
        <v>3353</v>
      </c>
      <c r="J9" s="37">
        <v>3</v>
      </c>
      <c r="K9" s="38">
        <f t="shared" si="0"/>
        <v>26.052809999999994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18</v>
      </c>
      <c r="H10" s="35">
        <v>1981</v>
      </c>
      <c r="I10" s="36">
        <v>3353</v>
      </c>
      <c r="J10" s="37">
        <v>1</v>
      </c>
      <c r="K10" s="38">
        <f t="shared" si="0"/>
        <v>6.6422930000000004</v>
      </c>
      <c r="L10" s="39"/>
    </row>
    <row r="11" spans="1:12" s="27" customFormat="1" ht="19.5" customHeight="1" x14ac:dyDescent="0.3">
      <c r="A11" s="28"/>
      <c r="B11" s="93"/>
      <c r="C11" s="17"/>
      <c r="D11" s="18"/>
      <c r="E11" s="81"/>
      <c r="F11" s="8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2452</v>
      </c>
      <c r="B12" s="93" t="s">
        <v>1366</v>
      </c>
      <c r="C12" s="17">
        <v>5</v>
      </c>
      <c r="D12" s="18" t="s">
        <v>2014</v>
      </c>
      <c r="E12" s="41">
        <v>240</v>
      </c>
      <c r="F12" s="42">
        <v>80.8</v>
      </c>
      <c r="G12" s="34" t="s">
        <v>18</v>
      </c>
      <c r="H12" s="35">
        <v>2590</v>
      </c>
      <c r="I12" s="36">
        <v>3353</v>
      </c>
      <c r="J12" s="37">
        <v>6</v>
      </c>
      <c r="K12" s="38">
        <f t="shared" si="0"/>
        <v>52.105619999999988</v>
      </c>
      <c r="L12" s="39"/>
    </row>
    <row r="13" spans="1:12" s="27" customFormat="1" ht="19.5" customHeight="1" x14ac:dyDescent="0.3">
      <c r="A13" s="28"/>
      <c r="B13" s="16"/>
      <c r="C13" s="17">
        <v>8</v>
      </c>
      <c r="D13" s="18" t="s">
        <v>2453</v>
      </c>
      <c r="E13" s="41">
        <v>5</v>
      </c>
      <c r="F13" s="42">
        <v>2.15</v>
      </c>
      <c r="G13" s="34" t="s">
        <v>18</v>
      </c>
      <c r="H13" s="35">
        <v>1981</v>
      </c>
      <c r="I13" s="36">
        <v>3353</v>
      </c>
      <c r="J13" s="37">
        <v>2</v>
      </c>
      <c r="K13" s="38">
        <f t="shared" si="0"/>
        <v>13.284586000000001</v>
      </c>
      <c r="L13" s="39"/>
    </row>
    <row r="14" spans="1:12" s="27" customFormat="1" ht="19.5" customHeight="1" x14ac:dyDescent="0.3">
      <c r="A14" s="28"/>
      <c r="B14" s="16"/>
      <c r="C14" s="17">
        <v>8</v>
      </c>
      <c r="D14" s="18" t="s">
        <v>276</v>
      </c>
      <c r="E14" s="41">
        <v>2</v>
      </c>
      <c r="F14" s="42">
        <v>1.74</v>
      </c>
      <c r="G14" s="34" t="s">
        <v>935</v>
      </c>
      <c r="H14" s="35">
        <v>2438</v>
      </c>
      <c r="I14" s="36">
        <v>3048</v>
      </c>
      <c r="J14" s="37">
        <v>1</v>
      </c>
      <c r="K14" s="38">
        <f t="shared" si="0"/>
        <v>7.4310240000000007</v>
      </c>
      <c r="L14" s="39"/>
    </row>
    <row r="15" spans="1:12" s="27" customFormat="1" ht="19.5" customHeight="1" x14ac:dyDescent="0.3">
      <c r="A15" s="28"/>
      <c r="B15" s="93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2439</v>
      </c>
      <c r="B16" s="93" t="s">
        <v>353</v>
      </c>
      <c r="C16" s="17">
        <v>22</v>
      </c>
      <c r="D16" s="18" t="s">
        <v>320</v>
      </c>
      <c r="E16" s="81">
        <v>231</v>
      </c>
      <c r="F16" s="82">
        <v>195.31</v>
      </c>
      <c r="G16" s="43" t="s">
        <v>18</v>
      </c>
      <c r="H16" s="35">
        <v>1829</v>
      </c>
      <c r="I16" s="36">
        <v>3353</v>
      </c>
      <c r="J16" s="37">
        <v>34</v>
      </c>
      <c r="K16" s="38">
        <f t="shared" si="0"/>
        <v>208.509658</v>
      </c>
      <c r="L16" s="39" t="s">
        <v>601</v>
      </c>
    </row>
    <row r="17" spans="1:12" s="27" customFormat="1" ht="19.5" customHeight="1" x14ac:dyDescent="0.3">
      <c r="A17" s="28"/>
      <c r="B17" s="16"/>
      <c r="C17" s="17"/>
      <c r="D17" s="18"/>
      <c r="E17" s="81"/>
      <c r="F17" s="82"/>
      <c r="G17" s="43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/>
      <c r="B18" s="93"/>
      <c r="C18" s="17"/>
      <c r="D18" s="18"/>
      <c r="E18" s="41"/>
      <c r="F18" s="42"/>
      <c r="G18" s="43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 t="s">
        <v>2454</v>
      </c>
      <c r="B19" s="93" t="s">
        <v>353</v>
      </c>
      <c r="C19" s="17">
        <v>22</v>
      </c>
      <c r="D19" s="18" t="s">
        <v>307</v>
      </c>
      <c r="E19" s="81">
        <v>201</v>
      </c>
      <c r="F19" s="82">
        <v>157.63999999999999</v>
      </c>
      <c r="G19" s="43" t="s">
        <v>49</v>
      </c>
      <c r="H19" s="35">
        <v>1829</v>
      </c>
      <c r="I19" s="36">
        <v>3353</v>
      </c>
      <c r="J19" s="37">
        <v>27</v>
      </c>
      <c r="K19" s="38">
        <f t="shared" si="0"/>
        <v>165.581199</v>
      </c>
      <c r="L19" s="39" t="s">
        <v>1472</v>
      </c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 t="s">
        <v>39</v>
      </c>
      <c r="H20" s="35">
        <v>1829</v>
      </c>
      <c r="I20" s="36">
        <v>3353</v>
      </c>
      <c r="J20" s="37">
        <v>27</v>
      </c>
      <c r="K20" s="38">
        <f t="shared" si="0"/>
        <v>165.581199</v>
      </c>
      <c r="L20" s="39" t="s">
        <v>1472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81"/>
      <c r="F26" s="8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43"/>
      <c r="H28" s="35"/>
      <c r="I28" s="36"/>
      <c r="J28" s="37"/>
      <c r="K28" s="38">
        <f t="shared" si="0"/>
        <v>0</v>
      </c>
      <c r="L28" s="39"/>
    </row>
    <row r="29" spans="1:12" s="55" customFormat="1" ht="19.5" customHeight="1" x14ac:dyDescent="0.3">
      <c r="A29" s="44"/>
      <c r="B29" s="45"/>
      <c r="C29" s="46"/>
      <c r="D29" s="47"/>
      <c r="E29" s="48"/>
      <c r="F29" s="49"/>
      <c r="G29" s="50"/>
      <c r="H29" s="51"/>
      <c r="I29" s="45"/>
      <c r="J29" s="52"/>
      <c r="K29" s="53">
        <f t="shared" si="0"/>
        <v>0</v>
      </c>
      <c r="L29" s="54"/>
    </row>
    <row r="30" spans="1:12" s="55" customFormat="1" ht="19.5" customHeight="1" x14ac:dyDescent="0.3">
      <c r="A30" s="44" t="s">
        <v>2455</v>
      </c>
      <c r="B30" s="45" t="s">
        <v>2456</v>
      </c>
      <c r="C30" s="46">
        <v>43</v>
      </c>
      <c r="D30" s="47" t="s">
        <v>2457</v>
      </c>
      <c r="E30" s="48">
        <v>1</v>
      </c>
      <c r="F30" s="49">
        <v>0.28000000000000003</v>
      </c>
      <c r="G30" s="50"/>
      <c r="H30" s="51"/>
      <c r="I30" s="45"/>
      <c r="J30" s="52"/>
      <c r="K30" s="53">
        <f t="shared" si="0"/>
        <v>0</v>
      </c>
      <c r="L30" s="54" t="s">
        <v>31</v>
      </c>
    </row>
    <row r="31" spans="1:12" s="55" customFormat="1" ht="19.5" customHeight="1" x14ac:dyDescent="0.3">
      <c r="A31" s="44"/>
      <c r="B31" s="45"/>
      <c r="C31" s="77">
        <v>43</v>
      </c>
      <c r="D31" s="47" t="s">
        <v>2458</v>
      </c>
      <c r="E31" s="48">
        <v>1</v>
      </c>
      <c r="F31" s="49">
        <v>0.28000000000000003</v>
      </c>
      <c r="G31" s="50"/>
      <c r="H31" s="51"/>
      <c r="I31" s="45"/>
      <c r="J31" s="52"/>
      <c r="K31" s="53">
        <f t="shared" si="0"/>
        <v>0</v>
      </c>
      <c r="L31" s="54" t="s">
        <v>31</v>
      </c>
    </row>
    <row r="32" spans="1:12" s="55" customFormat="1" ht="19.5" customHeight="1" x14ac:dyDescent="0.3">
      <c r="A32" s="44"/>
      <c r="B32" s="76"/>
      <c r="C32" s="77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2459</v>
      </c>
      <c r="B33" s="96" t="s">
        <v>1366</v>
      </c>
      <c r="C33" s="77">
        <v>5</v>
      </c>
      <c r="D33" s="78" t="s">
        <v>2014</v>
      </c>
      <c r="E33" s="48">
        <v>312</v>
      </c>
      <c r="F33" s="49">
        <v>101.34</v>
      </c>
      <c r="G33" s="50" t="s">
        <v>18</v>
      </c>
      <c r="H33" s="51">
        <v>2590</v>
      </c>
      <c r="I33" s="45">
        <v>3353</v>
      </c>
      <c r="J33" s="52">
        <v>9</v>
      </c>
      <c r="K33" s="53">
        <f t="shared" si="0"/>
        <v>78.158429999999981</v>
      </c>
      <c r="L33" s="54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2460</v>
      </c>
      <c r="B35" s="96" t="s">
        <v>2461</v>
      </c>
      <c r="C35" s="77">
        <v>24</v>
      </c>
      <c r="D35" s="78" t="s">
        <v>89</v>
      </c>
      <c r="E35" s="48">
        <v>82</v>
      </c>
      <c r="F35" s="49">
        <v>34.19</v>
      </c>
      <c r="G35" s="50" t="s">
        <v>18</v>
      </c>
      <c r="H35" s="51">
        <v>2438</v>
      </c>
      <c r="I35" s="45">
        <v>3353</v>
      </c>
      <c r="J35" s="52">
        <v>4</v>
      </c>
      <c r="K35" s="53">
        <f t="shared" si="0"/>
        <v>32.698456</v>
      </c>
      <c r="L35" s="64"/>
    </row>
    <row r="36" spans="1:12" s="55" customFormat="1" ht="19.5" customHeight="1" x14ac:dyDescent="0.3">
      <c r="A36" s="44"/>
      <c r="B36" s="96"/>
      <c r="C36" s="77">
        <v>24</v>
      </c>
      <c r="D36" s="78" t="s">
        <v>2462</v>
      </c>
      <c r="E36" s="48">
        <v>1</v>
      </c>
      <c r="F36" s="49">
        <v>0.35</v>
      </c>
      <c r="G36" s="50" t="s">
        <v>91</v>
      </c>
      <c r="H36" s="51">
        <v>2438</v>
      </c>
      <c r="I36" s="45">
        <v>3353</v>
      </c>
      <c r="J36" s="52">
        <v>4</v>
      </c>
      <c r="K36" s="53">
        <f t="shared" si="0"/>
        <v>32.698456</v>
      </c>
      <c r="L36" s="64"/>
    </row>
    <row r="37" spans="1:12" s="55" customFormat="1" ht="19.5" customHeight="1" x14ac:dyDescent="0.3">
      <c r="A37" s="44"/>
      <c r="B37" s="45"/>
      <c r="C37" s="77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64"/>
    </row>
    <row r="38" spans="1:12" s="55" customFormat="1" ht="19.5" customHeight="1" x14ac:dyDescent="0.3">
      <c r="A38" s="44" t="s">
        <v>2463</v>
      </c>
      <c r="B38" s="96" t="s">
        <v>2461</v>
      </c>
      <c r="C38" s="77">
        <v>24</v>
      </c>
      <c r="D38" s="78" t="s">
        <v>89</v>
      </c>
      <c r="E38" s="48">
        <v>27</v>
      </c>
      <c r="F38" s="49">
        <v>27.6</v>
      </c>
      <c r="G38" s="50" t="s">
        <v>18</v>
      </c>
      <c r="H38" s="51">
        <v>2438</v>
      </c>
      <c r="I38" s="45">
        <v>3353</v>
      </c>
      <c r="J38" s="52">
        <v>6</v>
      </c>
      <c r="K38" s="53">
        <f t="shared" si="0"/>
        <v>49.047684000000004</v>
      </c>
      <c r="L38" s="54"/>
    </row>
    <row r="39" spans="1:12" s="55" customFormat="1" ht="19.5" customHeight="1" x14ac:dyDescent="0.3">
      <c r="A39" s="44"/>
      <c r="B39" s="96"/>
      <c r="C39" s="77">
        <v>24</v>
      </c>
      <c r="D39" s="78" t="s">
        <v>2462</v>
      </c>
      <c r="E39" s="48">
        <v>40</v>
      </c>
      <c r="F39" s="49">
        <v>17.11</v>
      </c>
      <c r="G39" s="50" t="s">
        <v>91</v>
      </c>
      <c r="H39" s="51">
        <v>2438</v>
      </c>
      <c r="I39" s="45">
        <v>3353</v>
      </c>
      <c r="J39" s="52">
        <v>6</v>
      </c>
      <c r="K39" s="53">
        <f t="shared" si="0"/>
        <v>49.047684000000004</v>
      </c>
      <c r="L39" s="54"/>
    </row>
    <row r="40" spans="1:12" s="55" customFormat="1" ht="19.5" customHeight="1" x14ac:dyDescent="0.3">
      <c r="A40" s="44"/>
      <c r="B40" s="76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2464</v>
      </c>
      <c r="B41" s="96" t="s">
        <v>2461</v>
      </c>
      <c r="C41" s="77">
        <v>24</v>
      </c>
      <c r="D41" s="78" t="s">
        <v>89</v>
      </c>
      <c r="E41" s="48">
        <v>35</v>
      </c>
      <c r="F41" s="49">
        <v>34.43</v>
      </c>
      <c r="G41" s="50" t="s">
        <v>18</v>
      </c>
      <c r="H41" s="51">
        <v>2438</v>
      </c>
      <c r="I41" s="45">
        <v>3353</v>
      </c>
      <c r="J41" s="52">
        <v>7</v>
      </c>
      <c r="K41" s="53">
        <f t="shared" si="0"/>
        <v>57.222298000000002</v>
      </c>
      <c r="L41" s="54"/>
    </row>
    <row r="42" spans="1:12" s="55" customFormat="1" ht="19.5" customHeight="1" x14ac:dyDescent="0.3">
      <c r="A42" s="44"/>
      <c r="B42" s="96"/>
      <c r="C42" s="77">
        <v>24</v>
      </c>
      <c r="D42" s="78" t="s">
        <v>2462</v>
      </c>
      <c r="E42" s="48">
        <v>43</v>
      </c>
      <c r="F42" s="49">
        <v>14.99</v>
      </c>
      <c r="G42" s="50" t="s">
        <v>91</v>
      </c>
      <c r="H42" s="51">
        <v>2438</v>
      </c>
      <c r="I42" s="45">
        <v>3353</v>
      </c>
      <c r="J42" s="52">
        <v>7</v>
      </c>
      <c r="K42" s="53">
        <f t="shared" si="0"/>
        <v>57.222298000000002</v>
      </c>
      <c r="L42" s="54"/>
    </row>
    <row r="43" spans="1:12" s="55" customFormat="1" ht="19.5" customHeight="1" x14ac:dyDescent="0.3">
      <c r="A43" s="44"/>
      <c r="B43" s="76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2465</v>
      </c>
      <c r="B44" s="96" t="s">
        <v>2461</v>
      </c>
      <c r="C44" s="77">
        <v>24</v>
      </c>
      <c r="D44" s="78" t="s">
        <v>89</v>
      </c>
      <c r="E44" s="48">
        <v>55</v>
      </c>
      <c r="F44" s="49">
        <v>81.66</v>
      </c>
      <c r="G44" s="50" t="s">
        <v>18</v>
      </c>
      <c r="H44" s="51">
        <v>2438</v>
      </c>
      <c r="I44" s="45">
        <v>3353</v>
      </c>
      <c r="J44" s="52">
        <v>15</v>
      </c>
      <c r="K44" s="53">
        <f t="shared" si="0"/>
        <v>122.61921</v>
      </c>
      <c r="L44" s="54"/>
    </row>
    <row r="45" spans="1:12" s="55" customFormat="1" ht="19.5" customHeight="1" x14ac:dyDescent="0.3">
      <c r="A45" s="44"/>
      <c r="B45" s="96"/>
      <c r="C45" s="77">
        <v>24</v>
      </c>
      <c r="D45" s="78" t="s">
        <v>2462</v>
      </c>
      <c r="E45" s="48">
        <v>68</v>
      </c>
      <c r="F45" s="49">
        <v>30.321000000000002</v>
      </c>
      <c r="G45" s="50" t="s">
        <v>91</v>
      </c>
      <c r="H45" s="51">
        <v>2438</v>
      </c>
      <c r="I45" s="45">
        <v>3353</v>
      </c>
      <c r="J45" s="52">
        <v>15</v>
      </c>
      <c r="K45" s="53">
        <f t="shared" si="0"/>
        <v>122.61921</v>
      </c>
      <c r="L45" s="54"/>
    </row>
    <row r="46" spans="1:12" s="55" customFormat="1" ht="19.5" customHeight="1" x14ac:dyDescent="0.3">
      <c r="A46" s="44"/>
      <c r="B46" s="76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76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76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76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76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76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76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76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76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76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76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9" customFormat="1" ht="20.100000000000001" customHeight="1" x14ac:dyDescent="0.3">
      <c r="A58" s="44"/>
      <c r="B58" s="45"/>
      <c r="C58" s="46"/>
      <c r="D58" s="47"/>
      <c r="E58" s="56"/>
      <c r="F58" s="57"/>
      <c r="G58" s="50"/>
      <c r="H58" s="51"/>
      <c r="I58" s="45"/>
      <c r="J58" s="52"/>
      <c r="K58" s="53">
        <f t="shared" si="0"/>
        <v>0</v>
      </c>
      <c r="L58" s="58">
        <f>SUM(J29:J59)</f>
        <v>73</v>
      </c>
    </row>
    <row r="59" spans="1:12" s="59" customFormat="1" ht="20.100000000000001" customHeight="1" x14ac:dyDescent="0.3">
      <c r="A59" s="44"/>
      <c r="B59" s="45"/>
      <c r="C59" s="46"/>
      <c r="D59" s="47"/>
      <c r="E59" s="60"/>
      <c r="F59" s="61"/>
      <c r="G59" s="62"/>
      <c r="H59" s="51"/>
      <c r="I59" s="45"/>
      <c r="J59" s="63"/>
      <c r="K59" s="53">
        <f t="shared" si="0"/>
        <v>0</v>
      </c>
      <c r="L59" s="64">
        <f>SUM(K29:K59)</f>
        <v>601.33372599999996</v>
      </c>
    </row>
    <row r="60" spans="1:12" s="59" customFormat="1" ht="20.100000000000001" customHeight="1" thickBot="1" x14ac:dyDescent="0.35">
      <c r="A60" s="114"/>
      <c r="B60" s="115"/>
      <c r="C60" s="115"/>
      <c r="D60" s="115"/>
      <c r="E60" s="115"/>
      <c r="F60" s="115"/>
      <c r="G60" s="115"/>
      <c r="H60" s="115"/>
      <c r="I60" s="115"/>
      <c r="J60" s="65">
        <f>SUM(J7:J59)</f>
        <v>174</v>
      </c>
      <c r="K60" s="66">
        <f>SUM(K7:K59)</f>
        <v>1246.522115</v>
      </c>
      <c r="L60" s="67"/>
    </row>
    <row r="61" spans="1:12" s="59" customFormat="1" ht="20.100000000000001" customHeight="1" thickTop="1" thickBot="1" x14ac:dyDescent="0.35">
      <c r="A61" s="116" t="s">
        <v>52</v>
      </c>
      <c r="B61" s="117"/>
      <c r="C61" s="68"/>
      <c r="D61" s="118">
        <f>J60</f>
        <v>174</v>
      </c>
      <c r="E61" s="119"/>
      <c r="F61" s="119"/>
      <c r="G61" s="120"/>
      <c r="H61" s="121"/>
      <c r="I61" s="121"/>
      <c r="J61" s="122"/>
      <c r="K61" s="119"/>
      <c r="L61" s="123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71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72"/>
      <c r="F67" s="5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5"/>
      <c r="G68" s="73"/>
      <c r="H68" s="5"/>
      <c r="I68" s="74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72"/>
      <c r="I72" s="72"/>
      <c r="J72" s="5"/>
      <c r="K72" s="5"/>
      <c r="L72" s="5"/>
    </row>
    <row r="73" spans="1:12" ht="20.100000000000001" customHeight="1" x14ac:dyDescent="0.3">
      <c r="A73" s="113"/>
      <c r="B73" s="113"/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H75" s="72"/>
      <c r="I75" s="72"/>
    </row>
    <row r="76" spans="1:12" ht="20.100000000000001" customHeight="1" x14ac:dyDescent="0.3">
      <c r="A76" s="113"/>
      <c r="B76" s="113"/>
      <c r="H76" s="72"/>
      <c r="I76" s="72"/>
    </row>
    <row r="77" spans="1:12" ht="20.100000000000001" customHeight="1" x14ac:dyDescent="0.3">
      <c r="A77" s="113"/>
      <c r="B77" s="113"/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s="72" customFormat="1" ht="20.100000000000001" customHeight="1" x14ac:dyDescent="0.3">
      <c r="A81" s="69"/>
      <c r="B81" s="5"/>
      <c r="C81" s="5"/>
      <c r="D81" s="5"/>
      <c r="E81" s="5"/>
      <c r="F81" s="70"/>
      <c r="G81" s="5"/>
      <c r="J81" s="5"/>
      <c r="K81" s="5"/>
      <c r="L81" s="5"/>
    </row>
    <row r="82" spans="1:12" s="72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5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5" customFormat="1" ht="19.5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ht="19.5" customHeight="1" x14ac:dyDescent="0.3"/>
    <row r="89" spans="1:12" ht="19.5" customHeight="1" x14ac:dyDescent="0.3"/>
    <row r="90" spans="1:12" ht="19.5" customHeight="1" x14ac:dyDescent="0.3"/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>
        <v>2</v>
      </c>
      <c r="C151" s="5"/>
      <c r="D151" s="5"/>
      <c r="E151" s="5"/>
      <c r="F151" s="70"/>
      <c r="G151" s="5"/>
      <c r="H151" s="5"/>
      <c r="I151" s="5"/>
      <c r="J151" s="5"/>
      <c r="K151" s="5"/>
      <c r="L151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6:B6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0:I60"/>
    <mergeCell ref="A61:B61"/>
    <mergeCell ref="D61:G61"/>
    <mergeCell ref="H61:J61"/>
    <mergeCell ref="K61:L61"/>
    <mergeCell ref="A76:B76"/>
    <mergeCell ref="A77:B77"/>
    <mergeCell ref="A67:B67"/>
    <mergeCell ref="A68:B68"/>
    <mergeCell ref="A69:B69"/>
    <mergeCell ref="A71:B71"/>
    <mergeCell ref="A72:B72"/>
    <mergeCell ref="A73:B73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L151"/>
  <sheetViews>
    <sheetView view="pageBreakPreview" topLeftCell="E43" zoomScale="85" zoomScaleSheetLayoutView="85" workbookViewId="0">
      <selection activeCell="L58" sqref="L58:L5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46108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9" si="0">(H7/1000*I7/1000)*J7</f>
        <v>0</v>
      </c>
      <c r="L7" s="26">
        <f>SUM(J7:J28)</f>
        <v>235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SUM(K7:K28)</f>
        <v>1471.239399</v>
      </c>
    </row>
    <row r="9" spans="1:12" s="27" customFormat="1" ht="19.5" customHeight="1" x14ac:dyDescent="0.3">
      <c r="A9" s="28" t="s">
        <v>2382</v>
      </c>
      <c r="B9" s="16" t="s">
        <v>1819</v>
      </c>
      <c r="C9" s="17">
        <v>22</v>
      </c>
      <c r="D9" s="18" t="s">
        <v>17</v>
      </c>
      <c r="E9" s="81">
        <f>552-326</f>
        <v>226</v>
      </c>
      <c r="F9" s="82">
        <v>333.62</v>
      </c>
      <c r="G9" s="34" t="s">
        <v>18</v>
      </c>
      <c r="H9" s="35">
        <v>1981</v>
      </c>
      <c r="I9" s="36">
        <v>3353</v>
      </c>
      <c r="J9" s="37">
        <v>59</v>
      </c>
      <c r="K9" s="38">
        <f t="shared" si="0"/>
        <v>391.89528700000005</v>
      </c>
      <c r="L9" s="39" t="s">
        <v>2437</v>
      </c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2438</v>
      </c>
      <c r="B11" s="93" t="s">
        <v>353</v>
      </c>
      <c r="C11" s="17">
        <v>22</v>
      </c>
      <c r="D11" s="18" t="s">
        <v>307</v>
      </c>
      <c r="E11" s="81">
        <v>123</v>
      </c>
      <c r="F11" s="82">
        <v>106.29</v>
      </c>
      <c r="G11" s="34" t="s">
        <v>49</v>
      </c>
      <c r="H11" s="35">
        <v>1829</v>
      </c>
      <c r="I11" s="36">
        <v>3353</v>
      </c>
      <c r="J11" s="37">
        <v>18</v>
      </c>
      <c r="K11" s="38">
        <f t="shared" si="0"/>
        <v>110.387466</v>
      </c>
      <c r="L11" s="39" t="s">
        <v>321</v>
      </c>
    </row>
    <row r="12" spans="1:12" s="27" customFormat="1" ht="19.5" customHeight="1" x14ac:dyDescent="0.3">
      <c r="A12" s="28"/>
      <c r="B12" s="93"/>
      <c r="C12" s="17">
        <v>22</v>
      </c>
      <c r="D12" s="18" t="s">
        <v>320</v>
      </c>
      <c r="E12" s="41">
        <v>123</v>
      </c>
      <c r="F12" s="42">
        <v>106.29</v>
      </c>
      <c r="G12" s="34" t="s">
        <v>18</v>
      </c>
      <c r="H12" s="35">
        <v>1829</v>
      </c>
      <c r="I12" s="36">
        <v>3353</v>
      </c>
      <c r="J12" s="37">
        <v>18</v>
      </c>
      <c r="K12" s="38">
        <f t="shared" si="0"/>
        <v>110.387466</v>
      </c>
      <c r="L12" s="39" t="s">
        <v>321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39</v>
      </c>
      <c r="H13" s="35">
        <v>1829</v>
      </c>
      <c r="I13" s="36">
        <v>3353</v>
      </c>
      <c r="J13" s="37">
        <v>38</v>
      </c>
      <c r="K13" s="38">
        <f t="shared" si="0"/>
        <v>233.04020599999998</v>
      </c>
      <c r="L13" s="39" t="s">
        <v>321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2439</v>
      </c>
      <c r="B15" s="93" t="s">
        <v>353</v>
      </c>
      <c r="C15" s="17">
        <v>22</v>
      </c>
      <c r="D15" s="18" t="s">
        <v>307</v>
      </c>
      <c r="E15" s="41">
        <v>231</v>
      </c>
      <c r="F15" s="42">
        <v>195.37</v>
      </c>
      <c r="G15" s="34" t="s">
        <v>39</v>
      </c>
      <c r="H15" s="35">
        <v>1829</v>
      </c>
      <c r="I15" s="36">
        <v>3353</v>
      </c>
      <c r="J15" s="37">
        <v>34</v>
      </c>
      <c r="K15" s="38">
        <f t="shared" si="0"/>
        <v>208.509658</v>
      </c>
      <c r="L15" s="39" t="s">
        <v>425</v>
      </c>
    </row>
    <row r="16" spans="1:12" s="27" customFormat="1" ht="19.5" customHeight="1" x14ac:dyDescent="0.3">
      <c r="A16" s="28"/>
      <c r="B16" s="93"/>
      <c r="C16" s="17"/>
      <c r="D16" s="18"/>
      <c r="E16" s="41"/>
      <c r="F16" s="42"/>
      <c r="G16" s="43"/>
      <c r="H16" s="83"/>
      <c r="I16" s="29"/>
      <c r="J16" s="84"/>
      <c r="K16" s="85">
        <f t="shared" si="0"/>
        <v>0</v>
      </c>
      <c r="L16" s="86"/>
    </row>
    <row r="17" spans="1:12" s="27" customFormat="1" ht="19.5" customHeight="1" x14ac:dyDescent="0.3">
      <c r="A17" s="28" t="s">
        <v>57</v>
      </c>
      <c r="B17" s="16"/>
      <c r="C17" s="17"/>
      <c r="D17" s="18"/>
      <c r="E17" s="81"/>
      <c r="F17" s="82"/>
      <c r="G17" s="43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2439</v>
      </c>
      <c r="B18" s="93" t="s">
        <v>353</v>
      </c>
      <c r="C18" s="17">
        <v>22</v>
      </c>
      <c r="D18" s="18" t="s">
        <v>307</v>
      </c>
      <c r="E18" s="41">
        <v>231</v>
      </c>
      <c r="F18" s="42">
        <v>195.37</v>
      </c>
      <c r="G18" s="43" t="s">
        <v>2442</v>
      </c>
      <c r="H18" s="35">
        <v>1829</v>
      </c>
      <c r="I18" s="36">
        <v>3353</v>
      </c>
      <c r="J18" s="37">
        <v>34</v>
      </c>
      <c r="K18" s="38">
        <f t="shared" si="0"/>
        <v>208.509658</v>
      </c>
      <c r="L18" s="39" t="s">
        <v>2443</v>
      </c>
    </row>
    <row r="19" spans="1:12" s="27" customFormat="1" ht="19.5" customHeight="1" x14ac:dyDescent="0.3">
      <c r="A19" s="28"/>
      <c r="B19" s="16"/>
      <c r="C19" s="17">
        <v>22</v>
      </c>
      <c r="D19" s="18" t="s">
        <v>320</v>
      </c>
      <c r="E19" s="81">
        <v>231</v>
      </c>
      <c r="F19" s="82">
        <v>195.31</v>
      </c>
      <c r="G19" s="34" t="s">
        <v>39</v>
      </c>
      <c r="H19" s="35">
        <v>1829</v>
      </c>
      <c r="I19" s="36">
        <v>3353</v>
      </c>
      <c r="J19" s="37">
        <v>34</v>
      </c>
      <c r="K19" s="38">
        <f t="shared" si="0"/>
        <v>208.509658</v>
      </c>
      <c r="L19" s="39" t="s">
        <v>425</v>
      </c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81"/>
      <c r="F26" s="8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43"/>
      <c r="H28" s="35"/>
      <c r="I28" s="36"/>
      <c r="J28" s="37"/>
      <c r="K28" s="38">
        <f t="shared" si="0"/>
        <v>0</v>
      </c>
      <c r="L28" s="39"/>
    </row>
    <row r="29" spans="1:12" s="55" customFormat="1" ht="19.5" customHeight="1" x14ac:dyDescent="0.3">
      <c r="A29" s="44"/>
      <c r="B29" s="45"/>
      <c r="C29" s="46"/>
      <c r="D29" s="47"/>
      <c r="E29" s="48"/>
      <c r="F29" s="49"/>
      <c r="G29" s="50"/>
      <c r="H29" s="51"/>
      <c r="I29" s="45"/>
      <c r="J29" s="52"/>
      <c r="K29" s="53">
        <f t="shared" si="0"/>
        <v>0</v>
      </c>
      <c r="L29" s="54"/>
    </row>
    <row r="30" spans="1:12" s="55" customFormat="1" ht="19.5" customHeight="1" x14ac:dyDescent="0.3">
      <c r="A30" s="44" t="s">
        <v>2420</v>
      </c>
      <c r="B30" s="45" t="s">
        <v>951</v>
      </c>
      <c r="C30" s="46">
        <v>24</v>
      </c>
      <c r="D30" s="47" t="s">
        <v>55</v>
      </c>
      <c r="E30" s="48">
        <v>2</v>
      </c>
      <c r="F30" s="49">
        <v>1.64</v>
      </c>
      <c r="G30" s="50"/>
      <c r="H30" s="51"/>
      <c r="I30" s="45"/>
      <c r="J30" s="52"/>
      <c r="K30" s="53">
        <f t="shared" si="0"/>
        <v>0</v>
      </c>
      <c r="L30" s="54" t="s">
        <v>31</v>
      </c>
    </row>
    <row r="31" spans="1:12" s="55" customFormat="1" ht="19.5" customHeight="1" x14ac:dyDescent="0.3">
      <c r="A31" s="44"/>
      <c r="B31" s="45"/>
      <c r="C31" s="77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2440</v>
      </c>
      <c r="B32" s="76" t="s">
        <v>21</v>
      </c>
      <c r="C32" s="77">
        <v>22</v>
      </c>
      <c r="D32" s="47" t="s">
        <v>17</v>
      </c>
      <c r="E32" s="48">
        <v>216</v>
      </c>
      <c r="F32" s="49">
        <v>177.36</v>
      </c>
      <c r="G32" s="50" t="s">
        <v>18</v>
      </c>
      <c r="H32" s="51">
        <v>2590</v>
      </c>
      <c r="I32" s="45">
        <v>3353</v>
      </c>
      <c r="J32" s="52">
        <v>22</v>
      </c>
      <c r="K32" s="53">
        <f t="shared" si="0"/>
        <v>191.05393999999995</v>
      </c>
      <c r="L32" s="54"/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 t="s">
        <v>19</v>
      </c>
      <c r="H33" s="51">
        <v>1981</v>
      </c>
      <c r="I33" s="45">
        <v>3353</v>
      </c>
      <c r="J33" s="52">
        <v>29</v>
      </c>
      <c r="K33" s="53">
        <f t="shared" si="0"/>
        <v>192.626497</v>
      </c>
      <c r="L33" s="54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2441</v>
      </c>
      <c r="B35" s="96" t="s">
        <v>353</v>
      </c>
      <c r="C35" s="77">
        <v>22</v>
      </c>
      <c r="D35" s="78" t="s">
        <v>307</v>
      </c>
      <c r="E35" s="48">
        <v>152</v>
      </c>
      <c r="F35" s="49">
        <v>132.82</v>
      </c>
      <c r="G35" s="50" t="s">
        <v>49</v>
      </c>
      <c r="H35" s="51">
        <v>1829</v>
      </c>
      <c r="I35" s="45">
        <v>3353</v>
      </c>
      <c r="J35" s="52">
        <v>23</v>
      </c>
      <c r="K35" s="53">
        <f t="shared" si="0"/>
        <v>141.05065099999999</v>
      </c>
      <c r="L35" s="64" t="s">
        <v>321</v>
      </c>
    </row>
    <row r="36" spans="1:12" s="55" customFormat="1" ht="19.5" customHeight="1" x14ac:dyDescent="0.3">
      <c r="A36" s="44"/>
      <c r="B36" s="96"/>
      <c r="C36" s="77">
        <v>22</v>
      </c>
      <c r="D36" s="78" t="s">
        <v>320</v>
      </c>
      <c r="E36" s="48">
        <v>153</v>
      </c>
      <c r="F36" s="49">
        <v>133.69</v>
      </c>
      <c r="G36" s="50" t="s">
        <v>18</v>
      </c>
      <c r="H36" s="51">
        <v>1829</v>
      </c>
      <c r="I36" s="45">
        <v>3353</v>
      </c>
      <c r="J36" s="52">
        <v>23</v>
      </c>
      <c r="K36" s="53">
        <f t="shared" si="0"/>
        <v>141.05065099999999</v>
      </c>
      <c r="L36" s="64" t="s">
        <v>321</v>
      </c>
    </row>
    <row r="37" spans="1:12" s="55" customFormat="1" ht="19.5" customHeight="1" x14ac:dyDescent="0.3">
      <c r="A37" s="44"/>
      <c r="B37" s="45"/>
      <c r="C37" s="77"/>
      <c r="D37" s="47"/>
      <c r="E37" s="48"/>
      <c r="F37" s="49"/>
      <c r="G37" s="50" t="s">
        <v>39</v>
      </c>
      <c r="H37" s="51">
        <v>1829</v>
      </c>
      <c r="I37" s="45">
        <v>3353</v>
      </c>
      <c r="J37" s="52">
        <v>46</v>
      </c>
      <c r="K37" s="53">
        <f t="shared" si="0"/>
        <v>282.10130199999998</v>
      </c>
      <c r="L37" s="64" t="s">
        <v>321</v>
      </c>
    </row>
    <row r="38" spans="1:12" s="55" customFormat="1" ht="19.5" customHeight="1" x14ac:dyDescent="0.3">
      <c r="A38" s="44"/>
      <c r="B38" s="45"/>
      <c r="C38" s="77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57</v>
      </c>
      <c r="B39" s="76"/>
      <c r="C39" s="77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2444</v>
      </c>
      <c r="B40" s="76" t="s">
        <v>2445</v>
      </c>
      <c r="C40" s="46">
        <v>5</v>
      </c>
      <c r="D40" s="47" t="s">
        <v>2446</v>
      </c>
      <c r="E40" s="48">
        <v>248</v>
      </c>
      <c r="F40" s="49">
        <v>81.64</v>
      </c>
      <c r="G40" s="50" t="s">
        <v>2447</v>
      </c>
      <c r="H40" s="51">
        <v>2438</v>
      </c>
      <c r="I40" s="45">
        <v>3353</v>
      </c>
      <c r="J40" s="52">
        <v>8</v>
      </c>
      <c r="K40" s="53">
        <f t="shared" si="0"/>
        <v>65.396912</v>
      </c>
      <c r="L40" s="54"/>
    </row>
    <row r="41" spans="1:12" s="55" customFormat="1" ht="19.5" customHeight="1" x14ac:dyDescent="0.3">
      <c r="A41" s="44"/>
      <c r="B41" s="45"/>
      <c r="C41" s="77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2448</v>
      </c>
      <c r="B42" s="76" t="s">
        <v>2445</v>
      </c>
      <c r="C42" s="46">
        <v>5</v>
      </c>
      <c r="D42" s="47" t="s">
        <v>2446</v>
      </c>
      <c r="E42" s="48">
        <v>238</v>
      </c>
      <c r="F42" s="49">
        <v>80.349999999999994</v>
      </c>
      <c r="G42" s="50" t="s">
        <v>2447</v>
      </c>
      <c r="H42" s="51">
        <v>2438</v>
      </c>
      <c r="I42" s="45">
        <v>3353</v>
      </c>
      <c r="J42" s="52">
        <v>8</v>
      </c>
      <c r="K42" s="53">
        <f t="shared" si="0"/>
        <v>65.396912</v>
      </c>
      <c r="L42" s="54"/>
    </row>
    <row r="43" spans="1:12" s="55" customFormat="1" ht="19.5" customHeight="1" x14ac:dyDescent="0.3">
      <c r="A43" s="44"/>
      <c r="B43" s="76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2449</v>
      </c>
      <c r="B44" s="76" t="s">
        <v>2445</v>
      </c>
      <c r="C44" s="46">
        <v>5</v>
      </c>
      <c r="D44" s="47" t="s">
        <v>2446</v>
      </c>
      <c r="E44" s="48">
        <v>156</v>
      </c>
      <c r="F44" s="49">
        <v>51.54</v>
      </c>
      <c r="G44" s="50" t="s">
        <v>2447</v>
      </c>
      <c r="H44" s="51">
        <v>2590</v>
      </c>
      <c r="I44" s="45">
        <v>3353</v>
      </c>
      <c r="J44" s="52">
        <v>5</v>
      </c>
      <c r="K44" s="53">
        <f t="shared" si="0"/>
        <v>43.42134999999999</v>
      </c>
      <c r="L44" s="54"/>
    </row>
    <row r="45" spans="1:12" s="55" customFormat="1" ht="19.5" customHeight="1" x14ac:dyDescent="0.3">
      <c r="A45" s="44"/>
      <c r="B45" s="76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76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76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76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76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76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76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76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76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76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76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76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9" customFormat="1" ht="20.100000000000001" customHeight="1" x14ac:dyDescent="0.3">
      <c r="A58" s="44"/>
      <c r="B58" s="45"/>
      <c r="C58" s="46"/>
      <c r="D58" s="47"/>
      <c r="E58" s="56"/>
      <c r="F58" s="57"/>
      <c r="G58" s="50"/>
      <c r="H58" s="51"/>
      <c r="I58" s="45"/>
      <c r="J58" s="52"/>
      <c r="K58" s="53">
        <f t="shared" si="0"/>
        <v>0</v>
      </c>
      <c r="L58" s="58">
        <f>SUM(J29:J59)</f>
        <v>164</v>
      </c>
    </row>
    <row r="59" spans="1:12" s="59" customFormat="1" ht="20.100000000000001" customHeight="1" x14ac:dyDescent="0.3">
      <c r="A59" s="44"/>
      <c r="B59" s="45"/>
      <c r="C59" s="46"/>
      <c r="D59" s="47"/>
      <c r="E59" s="60"/>
      <c r="F59" s="61"/>
      <c r="G59" s="62"/>
      <c r="H59" s="51"/>
      <c r="I59" s="45"/>
      <c r="J59" s="63"/>
      <c r="K59" s="53">
        <f t="shared" si="0"/>
        <v>0</v>
      </c>
      <c r="L59" s="64">
        <f>SUM(K29:K59)</f>
        <v>1122.0982150000002</v>
      </c>
    </row>
    <row r="60" spans="1:12" s="59" customFormat="1" ht="20.100000000000001" customHeight="1" thickBot="1" x14ac:dyDescent="0.35">
      <c r="A60" s="114"/>
      <c r="B60" s="115"/>
      <c r="C60" s="115"/>
      <c r="D60" s="115"/>
      <c r="E60" s="115"/>
      <c r="F60" s="115"/>
      <c r="G60" s="115"/>
      <c r="H60" s="115"/>
      <c r="I60" s="115"/>
      <c r="J60" s="65">
        <f>SUM(J7:J59)</f>
        <v>399</v>
      </c>
      <c r="K60" s="66">
        <f>SUM(K7:K59)</f>
        <v>2593.3376140000005</v>
      </c>
      <c r="L60" s="67"/>
    </row>
    <row r="61" spans="1:12" s="59" customFormat="1" ht="20.100000000000001" customHeight="1" thickTop="1" thickBot="1" x14ac:dyDescent="0.35">
      <c r="A61" s="116" t="s">
        <v>52</v>
      </c>
      <c r="B61" s="117"/>
      <c r="C61" s="68"/>
      <c r="D61" s="118">
        <f>J60</f>
        <v>399</v>
      </c>
      <c r="E61" s="119"/>
      <c r="F61" s="119"/>
      <c r="G61" s="120"/>
      <c r="H61" s="121"/>
      <c r="I61" s="121"/>
      <c r="J61" s="122"/>
      <c r="K61" s="119"/>
      <c r="L61" s="123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71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72"/>
      <c r="F67" s="5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5"/>
      <c r="G68" s="73"/>
      <c r="H68" s="5"/>
      <c r="I68" s="74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72"/>
      <c r="I72" s="72"/>
      <c r="J72" s="5"/>
      <c r="K72" s="5"/>
      <c r="L72" s="5"/>
    </row>
    <row r="73" spans="1:12" ht="20.100000000000001" customHeight="1" x14ac:dyDescent="0.3">
      <c r="A73" s="113"/>
      <c r="B73" s="113"/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H75" s="72"/>
      <c r="I75" s="72"/>
    </row>
    <row r="76" spans="1:12" ht="20.100000000000001" customHeight="1" x14ac:dyDescent="0.3">
      <c r="A76" s="113"/>
      <c r="B76" s="113"/>
      <c r="H76" s="72"/>
      <c r="I76" s="72"/>
    </row>
    <row r="77" spans="1:12" ht="20.100000000000001" customHeight="1" x14ac:dyDescent="0.3">
      <c r="A77" s="113"/>
      <c r="B77" s="113"/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s="72" customFormat="1" ht="20.100000000000001" customHeight="1" x14ac:dyDescent="0.3">
      <c r="A81" s="69"/>
      <c r="B81" s="5"/>
      <c r="C81" s="5"/>
      <c r="D81" s="5"/>
      <c r="E81" s="5"/>
      <c r="F81" s="70"/>
      <c r="G81" s="5"/>
      <c r="J81" s="5"/>
      <c r="K81" s="5"/>
      <c r="L81" s="5"/>
    </row>
    <row r="82" spans="1:12" s="72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5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5" customFormat="1" ht="19.5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ht="19.5" customHeight="1" x14ac:dyDescent="0.3"/>
    <row r="89" spans="1:12" ht="19.5" customHeight="1" x14ac:dyDescent="0.3"/>
    <row r="90" spans="1:12" ht="19.5" customHeight="1" x14ac:dyDescent="0.3"/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>
        <v>2</v>
      </c>
      <c r="C151" s="5"/>
      <c r="D151" s="5"/>
      <c r="E151" s="5"/>
      <c r="F151" s="70"/>
      <c r="G151" s="5"/>
      <c r="H151" s="5"/>
      <c r="I151" s="5"/>
      <c r="J151" s="5"/>
      <c r="K151" s="5"/>
      <c r="L151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6:B6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0:I60"/>
    <mergeCell ref="A61:B61"/>
    <mergeCell ref="D61:G61"/>
    <mergeCell ref="H61:J61"/>
    <mergeCell ref="K61:L61"/>
    <mergeCell ref="A76:B76"/>
    <mergeCell ref="A77:B77"/>
    <mergeCell ref="A67:B67"/>
    <mergeCell ref="A68:B68"/>
    <mergeCell ref="A69:B69"/>
    <mergeCell ref="A71:B71"/>
    <mergeCell ref="A72:B72"/>
    <mergeCell ref="A73:B73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L169"/>
  <sheetViews>
    <sheetView view="pageBreakPreview" topLeftCell="E67" zoomScale="85" zoomScaleSheetLayoutView="85" workbookViewId="0">
      <selection activeCell="L76" sqref="L76:L7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46107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7" si="0">(H7/1000*I7/1000)*J7</f>
        <v>0</v>
      </c>
      <c r="L7" s="26">
        <f>SUM(J7:J34)</f>
        <v>240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SUM(K7:K34)</f>
        <v>1607.7557200000001</v>
      </c>
    </row>
    <row r="9" spans="1:12" s="27" customFormat="1" ht="19.5" customHeight="1" x14ac:dyDescent="0.3">
      <c r="A9" s="17" t="s">
        <v>2398</v>
      </c>
      <c r="B9" s="93" t="s">
        <v>191</v>
      </c>
      <c r="C9" s="17">
        <v>16</v>
      </c>
      <c r="D9" s="18" t="s">
        <v>78</v>
      </c>
      <c r="E9" s="41">
        <v>2</v>
      </c>
      <c r="F9" s="82">
        <v>2.2599999999999998</v>
      </c>
      <c r="G9" s="34" t="s">
        <v>18</v>
      </c>
      <c r="H9" s="35">
        <v>1981</v>
      </c>
      <c r="I9" s="36">
        <v>3353</v>
      </c>
      <c r="J9" s="37">
        <v>1</v>
      </c>
      <c r="K9" s="38">
        <f t="shared" si="0"/>
        <v>6.6422930000000004</v>
      </c>
      <c r="L9" s="39" t="s">
        <v>2402</v>
      </c>
    </row>
    <row r="10" spans="1:12" s="27" customFormat="1" ht="19.5" customHeight="1" x14ac:dyDescent="0.3">
      <c r="A10" s="28" t="s">
        <v>2400</v>
      </c>
      <c r="B10" s="16" t="s">
        <v>2401</v>
      </c>
      <c r="C10" s="17">
        <v>22</v>
      </c>
      <c r="D10" s="18" t="s">
        <v>199</v>
      </c>
      <c r="E10" s="41">
        <v>1</v>
      </c>
      <c r="F10" s="42">
        <v>1.6</v>
      </c>
      <c r="G10" s="34" t="s">
        <v>49</v>
      </c>
      <c r="H10" s="35">
        <v>1981</v>
      </c>
      <c r="I10" s="36">
        <v>3353</v>
      </c>
      <c r="J10" s="37">
        <v>1</v>
      </c>
      <c r="K10" s="38">
        <f t="shared" si="0"/>
        <v>6.6422930000000004</v>
      </c>
      <c r="L10" s="39" t="s">
        <v>2402</v>
      </c>
    </row>
    <row r="11" spans="1:12" s="27" customFormat="1" ht="19.5" customHeight="1" x14ac:dyDescent="0.3">
      <c r="A11" s="28"/>
      <c r="B11" s="93"/>
      <c r="C11" s="17"/>
      <c r="D11" s="18"/>
      <c r="E11" s="41"/>
      <c r="F11" s="4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2399</v>
      </c>
      <c r="B12" s="93" t="s">
        <v>132</v>
      </c>
      <c r="C12" s="17">
        <v>24</v>
      </c>
      <c r="D12" s="18" t="s">
        <v>320</v>
      </c>
      <c r="E12" s="41">
        <v>2</v>
      </c>
      <c r="F12" s="42">
        <v>1.38</v>
      </c>
      <c r="G12" s="34"/>
      <c r="H12" s="35"/>
      <c r="I12" s="36"/>
      <c r="J12" s="37"/>
      <c r="K12" s="38">
        <f t="shared" si="0"/>
        <v>0</v>
      </c>
      <c r="L12" s="39" t="s">
        <v>31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2403</v>
      </c>
      <c r="B14" s="16" t="s">
        <v>2404</v>
      </c>
      <c r="C14" s="17">
        <v>24</v>
      </c>
      <c r="D14" s="18" t="s">
        <v>245</v>
      </c>
      <c r="E14" s="41">
        <v>23</v>
      </c>
      <c r="F14" s="42">
        <v>43.44</v>
      </c>
      <c r="G14" s="34" t="s">
        <v>560</v>
      </c>
      <c r="H14" s="35">
        <v>2440</v>
      </c>
      <c r="I14" s="36">
        <v>3050</v>
      </c>
      <c r="J14" s="37">
        <v>6</v>
      </c>
      <c r="K14" s="38">
        <f t="shared" si="0"/>
        <v>44.652000000000001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246</v>
      </c>
      <c r="H15" s="35">
        <v>2440</v>
      </c>
      <c r="I15" s="36">
        <v>3050</v>
      </c>
      <c r="J15" s="37">
        <v>7</v>
      </c>
      <c r="K15" s="38">
        <f t="shared" si="0"/>
        <v>52.094000000000001</v>
      </c>
      <c r="L15" s="39"/>
    </row>
    <row r="16" spans="1:12" s="27" customFormat="1" ht="19.5" customHeight="1" x14ac:dyDescent="0.3">
      <c r="A16" s="28"/>
      <c r="B16" s="93"/>
      <c r="C16" s="17"/>
      <c r="D16" s="18"/>
      <c r="E16" s="41"/>
      <c r="F16" s="42"/>
      <c r="G16" s="43"/>
      <c r="H16" s="83"/>
      <c r="I16" s="29"/>
      <c r="J16" s="84"/>
      <c r="K16" s="85">
        <f t="shared" si="0"/>
        <v>0</v>
      </c>
      <c r="L16" s="86"/>
    </row>
    <row r="17" spans="1:12" s="27" customFormat="1" ht="19.5" customHeight="1" x14ac:dyDescent="0.3">
      <c r="A17" s="28" t="s">
        <v>2382</v>
      </c>
      <c r="B17" s="16" t="s">
        <v>1819</v>
      </c>
      <c r="C17" s="17">
        <v>22</v>
      </c>
      <c r="D17" s="18" t="s">
        <v>17</v>
      </c>
      <c r="E17" s="81">
        <v>420</v>
      </c>
      <c r="F17" s="82">
        <v>630.12</v>
      </c>
      <c r="G17" s="43" t="s">
        <v>19</v>
      </c>
      <c r="H17" s="35">
        <v>1981</v>
      </c>
      <c r="I17" s="36">
        <v>3353</v>
      </c>
      <c r="J17" s="37">
        <v>104</v>
      </c>
      <c r="K17" s="38">
        <f t="shared" si="0"/>
        <v>690.79847200000006</v>
      </c>
      <c r="L17" s="39" t="s">
        <v>2405</v>
      </c>
    </row>
    <row r="18" spans="1:12" s="27" customFormat="1" ht="19.5" customHeight="1" x14ac:dyDescent="0.3">
      <c r="A18" s="28"/>
      <c r="B18" s="16"/>
      <c r="C18" s="17"/>
      <c r="D18" s="18"/>
      <c r="E18" s="81"/>
      <c r="F18" s="82"/>
      <c r="G18" s="43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 t="s">
        <v>2382</v>
      </c>
      <c r="B19" s="16" t="s">
        <v>1819</v>
      </c>
      <c r="C19" s="17">
        <v>22</v>
      </c>
      <c r="D19" s="18" t="s">
        <v>17</v>
      </c>
      <c r="E19" s="81">
        <v>132</v>
      </c>
      <c r="F19" s="82">
        <v>402.6</v>
      </c>
      <c r="G19" s="34" t="s">
        <v>18</v>
      </c>
      <c r="H19" s="35">
        <v>1981</v>
      </c>
      <c r="I19" s="36">
        <v>3353</v>
      </c>
      <c r="J19" s="37">
        <v>66</v>
      </c>
      <c r="K19" s="38">
        <f t="shared" si="0"/>
        <v>438.39133800000002</v>
      </c>
      <c r="L19" s="39" t="s">
        <v>2406</v>
      </c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57</v>
      </c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 t="s">
        <v>2416</v>
      </c>
      <c r="B22" s="16" t="s">
        <v>2417</v>
      </c>
      <c r="C22" s="17">
        <v>5</v>
      </c>
      <c r="D22" s="18" t="s">
        <v>2418</v>
      </c>
      <c r="E22" s="41">
        <v>1</v>
      </c>
      <c r="F22" s="42">
        <v>1.5</v>
      </c>
      <c r="G22" s="34" t="s">
        <v>2419</v>
      </c>
      <c r="H22" s="35">
        <v>2438</v>
      </c>
      <c r="I22" s="36">
        <v>3353</v>
      </c>
      <c r="J22" s="37">
        <v>1</v>
      </c>
      <c r="K22" s="38">
        <f t="shared" si="0"/>
        <v>8.174614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 t="s">
        <v>2420</v>
      </c>
      <c r="B24" s="16" t="s">
        <v>2421</v>
      </c>
      <c r="C24" s="17">
        <v>10</v>
      </c>
      <c r="D24" s="18" t="s">
        <v>2422</v>
      </c>
      <c r="E24" s="41">
        <v>8</v>
      </c>
      <c r="F24" s="42">
        <v>20.02</v>
      </c>
      <c r="G24" s="34" t="s">
        <v>2423</v>
      </c>
      <c r="H24" s="35">
        <v>2134</v>
      </c>
      <c r="I24" s="36">
        <v>3048</v>
      </c>
      <c r="J24" s="37">
        <v>4</v>
      </c>
      <c r="K24" s="38">
        <f t="shared" ref="K24:K28" si="1">(H24/1000*I24/1000)*J24</f>
        <v>26.017727999999998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1"/>
        <v>0</v>
      </c>
      <c r="L25" s="39"/>
    </row>
    <row r="26" spans="1:12" s="27" customFormat="1" ht="19.5" customHeight="1" x14ac:dyDescent="0.3">
      <c r="A26" s="28" t="s">
        <v>2424</v>
      </c>
      <c r="B26" s="16" t="s">
        <v>2425</v>
      </c>
      <c r="C26" s="17">
        <v>10</v>
      </c>
      <c r="D26" s="18" t="s">
        <v>2422</v>
      </c>
      <c r="E26" s="41">
        <v>1</v>
      </c>
      <c r="F26" s="42">
        <v>0.43</v>
      </c>
      <c r="G26" s="34" t="s">
        <v>2423</v>
      </c>
      <c r="H26" s="35">
        <v>2134</v>
      </c>
      <c r="I26" s="36">
        <v>3048</v>
      </c>
      <c r="J26" s="37">
        <v>1</v>
      </c>
      <c r="K26" s="38">
        <f t="shared" si="1"/>
        <v>6.5044319999999995</v>
      </c>
      <c r="L26" s="39" t="s">
        <v>2428</v>
      </c>
    </row>
    <row r="27" spans="1:12" s="27" customFormat="1" ht="19.5" customHeight="1" x14ac:dyDescent="0.3">
      <c r="A27" s="28" t="s">
        <v>2426</v>
      </c>
      <c r="B27" s="16" t="s">
        <v>2427</v>
      </c>
      <c r="C27" s="17">
        <v>10</v>
      </c>
      <c r="D27" s="18" t="s">
        <v>2422</v>
      </c>
      <c r="E27" s="41">
        <v>19</v>
      </c>
      <c r="F27" s="42">
        <v>19.93</v>
      </c>
      <c r="G27" s="34" t="s">
        <v>2423</v>
      </c>
      <c r="H27" s="35">
        <v>2438</v>
      </c>
      <c r="I27" s="36">
        <v>3048</v>
      </c>
      <c r="J27" s="37">
        <v>3</v>
      </c>
      <c r="K27" s="38">
        <f t="shared" si="1"/>
        <v>22.293072000000002</v>
      </c>
      <c r="L27" s="39" t="s">
        <v>2428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1"/>
        <v>0</v>
      </c>
      <c r="L28" s="39"/>
    </row>
    <row r="29" spans="1:12" s="27" customFormat="1" ht="19.5" customHeight="1" x14ac:dyDescent="0.3">
      <c r="A29" s="28" t="s">
        <v>2429</v>
      </c>
      <c r="B29" s="16" t="s">
        <v>2430</v>
      </c>
      <c r="C29" s="17">
        <v>22</v>
      </c>
      <c r="D29" s="18" t="s">
        <v>2431</v>
      </c>
      <c r="E29" s="41">
        <v>194</v>
      </c>
      <c r="F29" s="42">
        <v>296.5</v>
      </c>
      <c r="G29" s="34" t="s">
        <v>2419</v>
      </c>
      <c r="H29" s="35">
        <v>1981</v>
      </c>
      <c r="I29" s="36">
        <v>3353</v>
      </c>
      <c r="J29" s="37">
        <v>46</v>
      </c>
      <c r="K29" s="38">
        <f t="shared" si="0"/>
        <v>305.545478</v>
      </c>
      <c r="L29" s="39" t="s">
        <v>2432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81"/>
      <c r="F32" s="8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38">
        <f t="shared" si="0"/>
        <v>0</v>
      </c>
      <c r="L34" s="39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2407</v>
      </c>
      <c r="B36" s="45" t="s">
        <v>1008</v>
      </c>
      <c r="C36" s="46">
        <v>28</v>
      </c>
      <c r="D36" s="47" t="s">
        <v>819</v>
      </c>
      <c r="E36" s="48">
        <v>36</v>
      </c>
      <c r="F36" s="49">
        <v>43.02</v>
      </c>
      <c r="G36" s="50" t="s">
        <v>189</v>
      </c>
      <c r="H36" s="51">
        <v>2134</v>
      </c>
      <c r="I36" s="45">
        <v>3353</v>
      </c>
      <c r="J36" s="52">
        <v>7</v>
      </c>
      <c r="K36" s="53">
        <f t="shared" si="0"/>
        <v>50.087114</v>
      </c>
      <c r="L36" s="54"/>
    </row>
    <row r="37" spans="1:12" s="55" customFormat="1" ht="19.5" customHeight="1" x14ac:dyDescent="0.3">
      <c r="A37" s="44"/>
      <c r="B37" s="45"/>
      <c r="C37" s="77">
        <v>28</v>
      </c>
      <c r="D37" s="47" t="s">
        <v>2408</v>
      </c>
      <c r="E37" s="48">
        <v>4</v>
      </c>
      <c r="F37" s="49">
        <v>1.28</v>
      </c>
      <c r="G37" s="50" t="s">
        <v>822</v>
      </c>
      <c r="H37" s="51">
        <v>2134</v>
      </c>
      <c r="I37" s="45">
        <v>3353</v>
      </c>
      <c r="J37" s="52">
        <v>7</v>
      </c>
      <c r="K37" s="53">
        <f t="shared" si="0"/>
        <v>50.087114</v>
      </c>
      <c r="L37" s="54"/>
    </row>
    <row r="38" spans="1:12" s="55" customFormat="1" ht="19.5" customHeight="1" x14ac:dyDescent="0.3">
      <c r="A38" s="44"/>
      <c r="B38" s="76"/>
      <c r="C38" s="77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2409</v>
      </c>
      <c r="B39" s="45" t="s">
        <v>694</v>
      </c>
      <c r="C39" s="46">
        <v>24</v>
      </c>
      <c r="D39" s="47" t="s">
        <v>725</v>
      </c>
      <c r="E39" s="48">
        <v>11</v>
      </c>
      <c r="F39" s="49">
        <v>8.5399999999999991</v>
      </c>
      <c r="G39" s="50" t="s">
        <v>767</v>
      </c>
      <c r="H39" s="51">
        <v>2438</v>
      </c>
      <c r="I39" s="45">
        <v>3048</v>
      </c>
      <c r="J39" s="52">
        <v>1</v>
      </c>
      <c r="K39" s="53">
        <f t="shared" si="0"/>
        <v>7.4310240000000007</v>
      </c>
      <c r="L39" s="54"/>
    </row>
    <row r="40" spans="1:12" s="55" customFormat="1" ht="19.5" customHeight="1" x14ac:dyDescent="0.3">
      <c r="A40" s="44"/>
      <c r="B40" s="45"/>
      <c r="C40" s="46">
        <v>26</v>
      </c>
      <c r="D40" s="47" t="s">
        <v>55</v>
      </c>
      <c r="E40" s="48">
        <v>1</v>
      </c>
      <c r="F40" s="49">
        <v>0.48</v>
      </c>
      <c r="G40" s="50" t="s">
        <v>189</v>
      </c>
      <c r="H40" s="51">
        <v>2438</v>
      </c>
      <c r="I40" s="45">
        <v>3353</v>
      </c>
      <c r="J40" s="52">
        <v>1</v>
      </c>
      <c r="K40" s="53">
        <f t="shared" si="0"/>
        <v>8.174614</v>
      </c>
      <c r="L40" s="54" t="s">
        <v>31</v>
      </c>
    </row>
    <row r="41" spans="1:12" s="55" customFormat="1" ht="19.5" customHeight="1" x14ac:dyDescent="0.3">
      <c r="A41" s="44"/>
      <c r="B41" s="45"/>
      <c r="C41" s="77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2410</v>
      </c>
      <c r="B42" s="76" t="s">
        <v>1366</v>
      </c>
      <c r="C42" s="77">
        <v>24</v>
      </c>
      <c r="D42" s="47" t="s">
        <v>1368</v>
      </c>
      <c r="E42" s="48">
        <v>1</v>
      </c>
      <c r="F42" s="49">
        <v>1.82</v>
      </c>
      <c r="G42" s="50" t="s">
        <v>421</v>
      </c>
      <c r="H42" s="51">
        <v>2134</v>
      </c>
      <c r="I42" s="45">
        <v>3048</v>
      </c>
      <c r="J42" s="52">
        <v>1</v>
      </c>
      <c r="K42" s="53">
        <f t="shared" si="0"/>
        <v>6.5044319999999995</v>
      </c>
      <c r="L42" s="54" t="s">
        <v>166</v>
      </c>
    </row>
    <row r="43" spans="1:12" s="55" customFormat="1" ht="19.5" customHeight="1" x14ac:dyDescent="0.3">
      <c r="A43" s="44"/>
      <c r="B43" s="45"/>
      <c r="C43" s="77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2411</v>
      </c>
      <c r="B44" s="45" t="s">
        <v>987</v>
      </c>
      <c r="C44" s="77">
        <v>7</v>
      </c>
      <c r="D44" s="47" t="s">
        <v>2412</v>
      </c>
      <c r="E44" s="48">
        <v>2</v>
      </c>
      <c r="F44" s="49">
        <v>2.12</v>
      </c>
      <c r="G44" s="50"/>
      <c r="H44" s="51"/>
      <c r="I44" s="45"/>
      <c r="J44" s="52"/>
      <c r="K44" s="53">
        <f t="shared" si="0"/>
        <v>0</v>
      </c>
      <c r="L44" s="54" t="s">
        <v>31</v>
      </c>
    </row>
    <row r="45" spans="1:12" s="55" customFormat="1" ht="19.5" customHeight="1" x14ac:dyDescent="0.3">
      <c r="A45" s="44"/>
      <c r="B45" s="76"/>
      <c r="C45" s="77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2413</v>
      </c>
      <c r="B46" s="76" t="s">
        <v>204</v>
      </c>
      <c r="C46" s="46">
        <v>28</v>
      </c>
      <c r="D46" s="47" t="s">
        <v>205</v>
      </c>
      <c r="E46" s="48">
        <v>2</v>
      </c>
      <c r="F46" s="49">
        <v>6.72</v>
      </c>
      <c r="G46" s="50" t="s">
        <v>206</v>
      </c>
      <c r="H46" s="51">
        <v>2438</v>
      </c>
      <c r="I46" s="45">
        <v>3353</v>
      </c>
      <c r="J46" s="52">
        <v>1</v>
      </c>
      <c r="K46" s="53">
        <f t="shared" si="0"/>
        <v>8.174614</v>
      </c>
      <c r="L46" s="54"/>
    </row>
    <row r="47" spans="1:12" s="55" customFormat="1" ht="19.5" customHeight="1" x14ac:dyDescent="0.3">
      <c r="A47" s="44"/>
      <c r="B47" s="45"/>
      <c r="C47" s="77"/>
      <c r="D47" s="47"/>
      <c r="E47" s="48"/>
      <c r="F47" s="49"/>
      <c r="G47" s="50" t="s">
        <v>189</v>
      </c>
      <c r="H47" s="51">
        <v>1829</v>
      </c>
      <c r="I47" s="45">
        <v>3353</v>
      </c>
      <c r="J47" s="52">
        <v>1</v>
      </c>
      <c r="K47" s="53">
        <f t="shared" si="0"/>
        <v>6.1326369999999999</v>
      </c>
      <c r="L47" s="54"/>
    </row>
    <row r="48" spans="1:12" s="55" customFormat="1" ht="19.5" customHeight="1" x14ac:dyDescent="0.3">
      <c r="A48" s="44"/>
      <c r="B48" s="76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2391</v>
      </c>
      <c r="B49" s="76" t="s">
        <v>204</v>
      </c>
      <c r="C49" s="46">
        <v>28</v>
      </c>
      <c r="D49" s="47" t="s">
        <v>1393</v>
      </c>
      <c r="E49" s="48">
        <v>6</v>
      </c>
      <c r="F49" s="49">
        <v>20.16</v>
      </c>
      <c r="G49" s="50" t="s">
        <v>206</v>
      </c>
      <c r="H49" s="51">
        <v>2438</v>
      </c>
      <c r="I49" s="45">
        <v>3353</v>
      </c>
      <c r="J49" s="52">
        <v>17</v>
      </c>
      <c r="K49" s="53">
        <f t="shared" si="0"/>
        <v>138.96843799999999</v>
      </c>
      <c r="L49" s="54"/>
    </row>
    <row r="50" spans="1:12" s="55" customFormat="1" ht="19.5" customHeight="1" x14ac:dyDescent="0.3">
      <c r="A50" s="44"/>
      <c r="B50" s="76"/>
      <c r="C50" s="46">
        <v>28</v>
      </c>
      <c r="D50" s="47" t="s">
        <v>205</v>
      </c>
      <c r="E50" s="48">
        <v>15</v>
      </c>
      <c r="F50" s="49">
        <v>73.540000000000006</v>
      </c>
      <c r="G50" s="50" t="s">
        <v>189</v>
      </c>
      <c r="H50" s="51">
        <v>1829</v>
      </c>
      <c r="I50" s="45">
        <v>3353</v>
      </c>
      <c r="J50" s="52">
        <v>7</v>
      </c>
      <c r="K50" s="53">
        <f t="shared" si="0"/>
        <v>42.928458999999997</v>
      </c>
      <c r="L50" s="54"/>
    </row>
    <row r="51" spans="1:12" s="55" customFormat="1" ht="19.5" customHeight="1" x14ac:dyDescent="0.3">
      <c r="A51" s="44"/>
      <c r="B51" s="76"/>
      <c r="C51" s="46">
        <v>26</v>
      </c>
      <c r="D51" s="47" t="s">
        <v>1115</v>
      </c>
      <c r="E51" s="48">
        <v>2</v>
      </c>
      <c r="F51" s="49">
        <v>12.16</v>
      </c>
      <c r="G51" s="50" t="s">
        <v>189</v>
      </c>
      <c r="H51" s="51">
        <v>1981</v>
      </c>
      <c r="I51" s="45">
        <v>3353</v>
      </c>
      <c r="J51" s="52">
        <v>10</v>
      </c>
      <c r="K51" s="53">
        <f t="shared" si="0"/>
        <v>66.422930000000008</v>
      </c>
      <c r="L51" s="54"/>
    </row>
    <row r="52" spans="1:12" s="55" customFormat="1" ht="19.5" customHeight="1" x14ac:dyDescent="0.3">
      <c r="A52" s="44"/>
      <c r="B52" s="76"/>
      <c r="C52" s="46"/>
      <c r="D52" s="47"/>
      <c r="E52" s="48"/>
      <c r="F52" s="49"/>
      <c r="G52" s="50" t="s">
        <v>1116</v>
      </c>
      <c r="H52" s="51">
        <v>2134</v>
      </c>
      <c r="I52" s="45">
        <v>3353</v>
      </c>
      <c r="J52" s="52">
        <v>2</v>
      </c>
      <c r="K52" s="53">
        <f t="shared" si="0"/>
        <v>14.310604</v>
      </c>
      <c r="L52" s="54"/>
    </row>
    <row r="53" spans="1:12" s="55" customFormat="1" ht="19.5" customHeight="1" x14ac:dyDescent="0.3">
      <c r="A53" s="44"/>
      <c r="B53" s="76"/>
      <c r="C53" s="46"/>
      <c r="D53" s="47"/>
      <c r="E53" s="48"/>
      <c r="F53" s="49"/>
      <c r="G53" s="50" t="s">
        <v>18</v>
      </c>
      <c r="H53" s="51">
        <v>1981</v>
      </c>
      <c r="I53" s="45">
        <v>3353</v>
      </c>
      <c r="J53" s="52">
        <v>2</v>
      </c>
      <c r="K53" s="53">
        <f t="shared" si="0"/>
        <v>13.284586000000001</v>
      </c>
      <c r="L53" s="54"/>
    </row>
    <row r="54" spans="1:12" s="55" customFormat="1" ht="19.5" customHeight="1" x14ac:dyDescent="0.3">
      <c r="A54" s="44"/>
      <c r="B54" s="76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2414</v>
      </c>
      <c r="B55" s="76" t="s">
        <v>25</v>
      </c>
      <c r="C55" s="46">
        <v>5</v>
      </c>
      <c r="D55" s="47" t="s">
        <v>121</v>
      </c>
      <c r="E55" s="48">
        <v>151</v>
      </c>
      <c r="F55" s="49">
        <v>144.09</v>
      </c>
      <c r="G55" s="50" t="s">
        <v>18</v>
      </c>
      <c r="H55" s="51">
        <v>2134</v>
      </c>
      <c r="I55" s="45">
        <v>3353</v>
      </c>
      <c r="J55" s="52">
        <v>21</v>
      </c>
      <c r="K55" s="53">
        <f t="shared" si="0"/>
        <v>150.26134199999998</v>
      </c>
      <c r="L55" s="54"/>
    </row>
    <row r="56" spans="1:12" s="55" customFormat="1" ht="19.5" customHeight="1" x14ac:dyDescent="0.3">
      <c r="A56" s="44"/>
      <c r="B56" s="76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2415</v>
      </c>
      <c r="B57" s="76" t="s">
        <v>25</v>
      </c>
      <c r="C57" s="46">
        <v>5</v>
      </c>
      <c r="D57" s="47" t="s">
        <v>121</v>
      </c>
      <c r="E57" s="48">
        <v>151</v>
      </c>
      <c r="F57" s="49">
        <v>144.16</v>
      </c>
      <c r="G57" s="50" t="s">
        <v>18</v>
      </c>
      <c r="H57" s="51">
        <v>2134</v>
      </c>
      <c r="I57" s="45">
        <v>3353</v>
      </c>
      <c r="J57" s="52">
        <v>21</v>
      </c>
      <c r="K57" s="53">
        <f t="shared" si="0"/>
        <v>150.26134199999998</v>
      </c>
      <c r="L57" s="54"/>
    </row>
    <row r="58" spans="1:12" s="55" customFormat="1" ht="19.5" customHeight="1" x14ac:dyDescent="0.3">
      <c r="A58" s="44"/>
      <c r="B58" s="76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57</v>
      </c>
      <c r="B59" s="76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2433</v>
      </c>
      <c r="B60" s="76" t="s">
        <v>2434</v>
      </c>
      <c r="C60" s="46">
        <v>22</v>
      </c>
      <c r="D60" s="47" t="s">
        <v>2431</v>
      </c>
      <c r="E60" s="48">
        <v>84</v>
      </c>
      <c r="F60" s="49">
        <v>76.16</v>
      </c>
      <c r="G60" s="50" t="s">
        <v>2419</v>
      </c>
      <c r="H60" s="51">
        <v>2590</v>
      </c>
      <c r="I60" s="45">
        <v>3353</v>
      </c>
      <c r="J60" s="52">
        <v>9</v>
      </c>
      <c r="K60" s="53">
        <f t="shared" si="0"/>
        <v>78.158429999999981</v>
      </c>
      <c r="L60" s="54"/>
    </row>
    <row r="61" spans="1:12" s="55" customFormat="1" ht="19.5" customHeight="1" x14ac:dyDescent="0.3">
      <c r="A61" s="44"/>
      <c r="B61" s="76"/>
      <c r="C61" s="46"/>
      <c r="D61" s="47"/>
      <c r="E61" s="48"/>
      <c r="F61" s="49"/>
      <c r="G61" s="50" t="s">
        <v>19</v>
      </c>
      <c r="H61" s="51">
        <v>1981</v>
      </c>
      <c r="I61" s="45">
        <v>3353</v>
      </c>
      <c r="J61" s="52">
        <v>13</v>
      </c>
      <c r="K61" s="53">
        <f t="shared" si="0"/>
        <v>86.349809000000008</v>
      </c>
      <c r="L61" s="54"/>
    </row>
    <row r="62" spans="1:12" s="55" customFormat="1" ht="19.5" customHeight="1" x14ac:dyDescent="0.3">
      <c r="A62" s="44"/>
      <c r="B62" s="76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2435</v>
      </c>
      <c r="B63" s="76" t="s">
        <v>2434</v>
      </c>
      <c r="C63" s="46">
        <v>22</v>
      </c>
      <c r="D63" s="47" t="s">
        <v>2431</v>
      </c>
      <c r="E63" s="48">
        <v>80</v>
      </c>
      <c r="F63" s="49">
        <v>69.36</v>
      </c>
      <c r="G63" s="50" t="s">
        <v>2419</v>
      </c>
      <c r="H63" s="51">
        <v>2590</v>
      </c>
      <c r="I63" s="45">
        <v>3353</v>
      </c>
      <c r="J63" s="52">
        <v>8</v>
      </c>
      <c r="K63" s="53">
        <f t="shared" si="0"/>
        <v>69.474159999999983</v>
      </c>
      <c r="L63" s="54"/>
    </row>
    <row r="64" spans="1:12" s="55" customFormat="1" ht="19.5" customHeight="1" x14ac:dyDescent="0.3">
      <c r="A64" s="44"/>
      <c r="B64" s="76"/>
      <c r="C64" s="46"/>
      <c r="D64" s="47"/>
      <c r="E64" s="48"/>
      <c r="F64" s="49"/>
      <c r="G64" s="50" t="s">
        <v>19</v>
      </c>
      <c r="H64" s="51">
        <v>1981</v>
      </c>
      <c r="I64" s="45">
        <v>3353</v>
      </c>
      <c r="J64" s="52">
        <v>12</v>
      </c>
      <c r="K64" s="53">
        <f t="shared" si="0"/>
        <v>79.707515999999998</v>
      </c>
      <c r="L64" s="54"/>
    </row>
    <row r="65" spans="1:12" s="55" customFormat="1" ht="19.5" customHeight="1" x14ac:dyDescent="0.3">
      <c r="A65" s="44"/>
      <c r="B65" s="76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2436</v>
      </c>
      <c r="B66" s="76" t="s">
        <v>2434</v>
      </c>
      <c r="C66" s="46">
        <v>22</v>
      </c>
      <c r="D66" s="47" t="s">
        <v>2431</v>
      </c>
      <c r="E66" s="48">
        <v>64</v>
      </c>
      <c r="F66" s="49">
        <v>48.04</v>
      </c>
      <c r="G66" s="50" t="s">
        <v>2419</v>
      </c>
      <c r="H66" s="51">
        <v>2590</v>
      </c>
      <c r="I66" s="45">
        <v>3353</v>
      </c>
      <c r="J66" s="52">
        <v>6</v>
      </c>
      <c r="K66" s="53">
        <f t="shared" si="0"/>
        <v>52.105619999999988</v>
      </c>
      <c r="L66" s="54"/>
    </row>
    <row r="67" spans="1:12" s="55" customFormat="1" ht="19.5" customHeight="1" x14ac:dyDescent="0.3">
      <c r="A67" s="44"/>
      <c r="B67" s="76"/>
      <c r="C67" s="46"/>
      <c r="D67" s="47"/>
      <c r="E67" s="48"/>
      <c r="F67" s="49"/>
      <c r="G67" s="50" t="s">
        <v>19</v>
      </c>
      <c r="H67" s="51">
        <v>1981</v>
      </c>
      <c r="I67" s="45">
        <v>3353</v>
      </c>
      <c r="J67" s="52">
        <v>8</v>
      </c>
      <c r="K67" s="53">
        <f t="shared" si="0"/>
        <v>53.138344000000004</v>
      </c>
      <c r="L67" s="54"/>
    </row>
    <row r="68" spans="1:12" s="55" customFormat="1" ht="19.5" customHeight="1" x14ac:dyDescent="0.3">
      <c r="A68" s="44"/>
      <c r="B68" s="76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76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76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76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76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76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76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9" customFormat="1" ht="20.100000000000001" customHeight="1" x14ac:dyDescent="0.3">
      <c r="A76" s="44"/>
      <c r="B76" s="45"/>
      <c r="C76" s="46"/>
      <c r="D76" s="47"/>
      <c r="E76" s="56"/>
      <c r="F76" s="57"/>
      <c r="G76" s="50"/>
      <c r="H76" s="51"/>
      <c r="I76" s="45"/>
      <c r="J76" s="52"/>
      <c r="K76" s="53">
        <f t="shared" si="0"/>
        <v>0</v>
      </c>
      <c r="L76" s="58">
        <f>SUM(J35:J77)</f>
        <v>155</v>
      </c>
    </row>
    <row r="77" spans="1:12" s="59" customFormat="1" ht="20.100000000000001" customHeight="1" x14ac:dyDescent="0.3">
      <c r="A77" s="44"/>
      <c r="B77" s="45"/>
      <c r="C77" s="46"/>
      <c r="D77" s="47"/>
      <c r="E77" s="60"/>
      <c r="F77" s="61"/>
      <c r="G77" s="62"/>
      <c r="H77" s="51"/>
      <c r="I77" s="45"/>
      <c r="J77" s="63"/>
      <c r="K77" s="53">
        <f t="shared" si="0"/>
        <v>0</v>
      </c>
      <c r="L77" s="64">
        <f>SUM(K35:K77)</f>
        <v>1131.963129</v>
      </c>
    </row>
    <row r="78" spans="1:12" s="59" customFormat="1" ht="20.100000000000001" customHeight="1" thickBot="1" x14ac:dyDescent="0.35">
      <c r="A78" s="114"/>
      <c r="B78" s="115"/>
      <c r="C78" s="115"/>
      <c r="D78" s="115"/>
      <c r="E78" s="115"/>
      <c r="F78" s="115"/>
      <c r="G78" s="115"/>
      <c r="H78" s="115"/>
      <c r="I78" s="115"/>
      <c r="J78" s="65">
        <f>SUM(J7:J77)</f>
        <v>395</v>
      </c>
      <c r="K78" s="66">
        <f>SUM(K7:K77)</f>
        <v>2739.718848999999</v>
      </c>
      <c r="L78" s="67"/>
    </row>
    <row r="79" spans="1:12" s="59" customFormat="1" ht="20.100000000000001" customHeight="1" thickTop="1" thickBot="1" x14ac:dyDescent="0.35">
      <c r="A79" s="116" t="s">
        <v>52</v>
      </c>
      <c r="B79" s="117"/>
      <c r="C79" s="68"/>
      <c r="D79" s="118">
        <f>J78</f>
        <v>395</v>
      </c>
      <c r="E79" s="119"/>
      <c r="F79" s="119"/>
      <c r="G79" s="120"/>
      <c r="H79" s="121"/>
      <c r="I79" s="121"/>
      <c r="J79" s="122"/>
      <c r="K79" s="119"/>
      <c r="L79" s="123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71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72"/>
      <c r="F85" s="5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5"/>
      <c r="G86" s="73"/>
      <c r="H86" s="5"/>
      <c r="I86" s="74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70"/>
      <c r="G90" s="5"/>
      <c r="H90" s="72"/>
      <c r="I90" s="72"/>
      <c r="J90" s="5"/>
      <c r="K90" s="5"/>
      <c r="L90" s="5"/>
    </row>
    <row r="91" spans="1:12" ht="20.100000000000001" customHeight="1" x14ac:dyDescent="0.3">
      <c r="A91" s="113"/>
      <c r="B91" s="113"/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A94" s="113"/>
      <c r="B94" s="113"/>
      <c r="H94" s="72"/>
      <c r="I94" s="72"/>
    </row>
    <row r="95" spans="1:12" ht="20.100000000000001" customHeight="1" x14ac:dyDescent="0.3">
      <c r="A95" s="113"/>
      <c r="B95" s="113"/>
      <c r="H95" s="72"/>
      <c r="I95" s="72"/>
    </row>
    <row r="96" spans="1:12" ht="20.100000000000001" customHeight="1" x14ac:dyDescent="0.3">
      <c r="H96" s="72"/>
      <c r="I96" s="72"/>
    </row>
    <row r="97" spans="1:12" ht="20.100000000000001" customHeight="1" x14ac:dyDescent="0.3">
      <c r="H97" s="72"/>
      <c r="I97" s="72"/>
    </row>
    <row r="98" spans="1:12" ht="20.100000000000001" customHeight="1" x14ac:dyDescent="0.3">
      <c r="H98" s="72"/>
      <c r="I98" s="72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J99" s="5"/>
      <c r="K99" s="5"/>
      <c r="L99" s="5"/>
    </row>
    <row r="100" spans="1:12" s="72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5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5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5" customFormat="1" ht="19.5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2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2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ht="19.5" customHeight="1" x14ac:dyDescent="0.3"/>
    <row r="107" spans="1:12" ht="19.5" customHeight="1" x14ac:dyDescent="0.3"/>
    <row r="108" spans="1:12" ht="19.5" customHeight="1" x14ac:dyDescent="0.3"/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>
        <v>2</v>
      </c>
      <c r="C169" s="5"/>
      <c r="D169" s="5"/>
      <c r="E169" s="5"/>
      <c r="F169" s="70"/>
      <c r="G169" s="5"/>
      <c r="H169" s="5"/>
      <c r="I169" s="5"/>
      <c r="J169" s="5"/>
      <c r="K169" s="5"/>
      <c r="L169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4:B8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8:I78"/>
    <mergeCell ref="A79:B79"/>
    <mergeCell ref="D79:G79"/>
    <mergeCell ref="H79:J79"/>
    <mergeCell ref="K79:L79"/>
    <mergeCell ref="A94:B94"/>
    <mergeCell ref="A95:B95"/>
    <mergeCell ref="A85:B85"/>
    <mergeCell ref="A86:B86"/>
    <mergeCell ref="A87:B87"/>
    <mergeCell ref="A89:B89"/>
    <mergeCell ref="A90:B90"/>
    <mergeCell ref="A91:B91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L165"/>
  <sheetViews>
    <sheetView view="pageBreakPreview" topLeftCell="A49" zoomScale="85" zoomScaleSheetLayoutView="85" workbookViewId="0">
      <selection activeCell="O70" sqref="O7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46106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3" si="0">(H7/1000*I7/1000)*J7</f>
        <v>0</v>
      </c>
      <c r="L7" s="26">
        <f>SUM(J7:J30)</f>
        <v>273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SUM(K7:K30)</f>
        <v>1826.1242720000002</v>
      </c>
    </row>
    <row r="9" spans="1:12" s="27" customFormat="1" ht="19.5" customHeight="1" x14ac:dyDescent="0.3">
      <c r="A9" s="17" t="s">
        <v>2368</v>
      </c>
      <c r="B9" s="93" t="s">
        <v>25</v>
      </c>
      <c r="C9" s="17">
        <v>5</v>
      </c>
      <c r="D9" s="18" t="s">
        <v>219</v>
      </c>
      <c r="E9" s="41">
        <v>24</v>
      </c>
      <c r="F9" s="82">
        <v>22.56</v>
      </c>
      <c r="G9" s="34" t="s">
        <v>18</v>
      </c>
      <c r="H9" s="35">
        <v>2134</v>
      </c>
      <c r="I9" s="36">
        <v>3353</v>
      </c>
      <c r="J9" s="37">
        <v>4</v>
      </c>
      <c r="K9" s="38">
        <f t="shared" si="0"/>
        <v>28.621207999999999</v>
      </c>
      <c r="L9" s="39"/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2358</v>
      </c>
      <c r="B11" s="93" t="s">
        <v>25</v>
      </c>
      <c r="C11" s="17">
        <v>5</v>
      </c>
      <c r="D11" s="18" t="s">
        <v>219</v>
      </c>
      <c r="E11" s="41">
        <v>80</v>
      </c>
      <c r="F11" s="42">
        <v>54.65</v>
      </c>
      <c r="G11" s="34" t="s">
        <v>18</v>
      </c>
      <c r="H11" s="35">
        <v>2438</v>
      </c>
      <c r="I11" s="36">
        <v>3353</v>
      </c>
      <c r="J11" s="37">
        <v>7</v>
      </c>
      <c r="K11" s="38">
        <f t="shared" si="0"/>
        <v>57.222298000000002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2366</v>
      </c>
      <c r="B13" s="16" t="s">
        <v>1819</v>
      </c>
      <c r="C13" s="17">
        <v>22</v>
      </c>
      <c r="D13" s="18" t="s">
        <v>17</v>
      </c>
      <c r="E13" s="41">
        <v>460</v>
      </c>
      <c r="F13" s="42">
        <v>860.6</v>
      </c>
      <c r="G13" s="34" t="s">
        <v>18</v>
      </c>
      <c r="H13" s="35">
        <v>1981</v>
      </c>
      <c r="I13" s="36">
        <v>3353</v>
      </c>
      <c r="J13" s="37">
        <v>142</v>
      </c>
      <c r="K13" s="38">
        <f t="shared" si="0"/>
        <v>943.2056060000001</v>
      </c>
      <c r="L13" s="39" t="s">
        <v>100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57</v>
      </c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ref="K15:K21" si="1">(H15/1000*I15/1000)*J15</f>
        <v>0</v>
      </c>
      <c r="L15" s="39"/>
    </row>
    <row r="16" spans="1:12" s="27" customFormat="1" ht="19.5" customHeight="1" x14ac:dyDescent="0.3">
      <c r="A16" s="95" t="s">
        <v>2366</v>
      </c>
      <c r="B16" s="29" t="s">
        <v>1819</v>
      </c>
      <c r="C16" s="30">
        <v>22</v>
      </c>
      <c r="D16" s="31" t="s">
        <v>17</v>
      </c>
      <c r="E16" s="81">
        <v>212</v>
      </c>
      <c r="F16" s="82">
        <v>329.22</v>
      </c>
      <c r="G16" s="43" t="s">
        <v>19</v>
      </c>
      <c r="H16" s="83">
        <v>1981</v>
      </c>
      <c r="I16" s="29">
        <v>3353</v>
      </c>
      <c r="J16" s="84">
        <v>53</v>
      </c>
      <c r="K16" s="85">
        <f t="shared" si="1"/>
        <v>352.04152900000003</v>
      </c>
      <c r="L16" s="86" t="s">
        <v>2381</v>
      </c>
    </row>
    <row r="17" spans="1:12" s="27" customFormat="1" ht="19.5" customHeight="1" x14ac:dyDescent="0.3">
      <c r="A17" s="28"/>
      <c r="B17" s="16"/>
      <c r="C17" s="17"/>
      <c r="D17" s="18"/>
      <c r="E17" s="81"/>
      <c r="F17" s="82"/>
      <c r="G17" s="34"/>
      <c r="H17" s="35"/>
      <c r="I17" s="36"/>
      <c r="J17" s="37"/>
      <c r="K17" s="38">
        <f t="shared" si="1"/>
        <v>0</v>
      </c>
      <c r="L17" s="39"/>
    </row>
    <row r="18" spans="1:12" s="27" customFormat="1" ht="19.5" customHeight="1" x14ac:dyDescent="0.3">
      <c r="A18" s="28" t="s">
        <v>2382</v>
      </c>
      <c r="B18" s="16" t="s">
        <v>2383</v>
      </c>
      <c r="C18" s="17">
        <v>22</v>
      </c>
      <c r="D18" s="18" t="s">
        <v>2384</v>
      </c>
      <c r="E18" s="81">
        <v>132</v>
      </c>
      <c r="F18" s="82">
        <v>402.6</v>
      </c>
      <c r="G18" s="43" t="s">
        <v>19</v>
      </c>
      <c r="H18" s="35">
        <v>1981</v>
      </c>
      <c r="I18" s="36">
        <v>3353</v>
      </c>
      <c r="J18" s="37">
        <v>67</v>
      </c>
      <c r="K18" s="38">
        <f t="shared" si="1"/>
        <v>445.03363100000001</v>
      </c>
      <c r="L18" s="39" t="s">
        <v>2385</v>
      </c>
    </row>
    <row r="19" spans="1:12" s="27" customFormat="1" ht="19.5" customHeight="1" x14ac:dyDescent="0.3">
      <c r="A19" s="28"/>
      <c r="B19" s="16"/>
      <c r="C19" s="17"/>
      <c r="D19" s="18"/>
      <c r="E19" s="81"/>
      <c r="F19" s="82"/>
      <c r="G19" s="34"/>
      <c r="H19" s="35"/>
      <c r="I19" s="36"/>
      <c r="J19" s="37"/>
      <c r="K19" s="38">
        <f t="shared" si="1"/>
        <v>0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/>
      <c r="H20" s="35"/>
      <c r="I20" s="36"/>
      <c r="J20" s="37"/>
      <c r="K20" s="38">
        <f t="shared" si="1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1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81"/>
      <c r="F28" s="8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43"/>
      <c r="H30" s="35"/>
      <c r="I30" s="36"/>
      <c r="J30" s="37"/>
      <c r="K30" s="38">
        <f t="shared" si="0"/>
        <v>0</v>
      </c>
      <c r="L30" s="39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2171</v>
      </c>
      <c r="B32" s="45" t="s">
        <v>21</v>
      </c>
      <c r="C32" s="46">
        <v>22</v>
      </c>
      <c r="D32" s="47" t="s">
        <v>228</v>
      </c>
      <c r="E32" s="48">
        <v>18</v>
      </c>
      <c r="F32" s="49">
        <v>19.8</v>
      </c>
      <c r="G32" s="50" t="s">
        <v>18</v>
      </c>
      <c r="H32" s="51">
        <v>2590</v>
      </c>
      <c r="I32" s="45">
        <v>3048</v>
      </c>
      <c r="J32" s="52">
        <v>6</v>
      </c>
      <c r="K32" s="53">
        <f t="shared" si="0"/>
        <v>47.365919999999996</v>
      </c>
      <c r="L32" s="54"/>
    </row>
    <row r="33" spans="1:12" s="55" customFormat="1" ht="19.5" customHeight="1" x14ac:dyDescent="0.3">
      <c r="A33" s="44"/>
      <c r="B33" s="45"/>
      <c r="C33" s="77">
        <v>22</v>
      </c>
      <c r="D33" s="47" t="s">
        <v>83</v>
      </c>
      <c r="E33" s="48">
        <v>18</v>
      </c>
      <c r="F33" s="49">
        <v>19.8</v>
      </c>
      <c r="G33" s="50" t="s">
        <v>19</v>
      </c>
      <c r="H33" s="51">
        <v>1981</v>
      </c>
      <c r="I33" s="45">
        <v>3353</v>
      </c>
      <c r="J33" s="52">
        <v>4</v>
      </c>
      <c r="K33" s="53">
        <f t="shared" si="0"/>
        <v>26.569172000000002</v>
      </c>
      <c r="L33" s="54"/>
    </row>
    <row r="34" spans="1:12" s="55" customFormat="1" ht="19.5" customHeight="1" x14ac:dyDescent="0.3">
      <c r="A34" s="44"/>
      <c r="B34" s="76"/>
      <c r="C34" s="77">
        <v>47.76</v>
      </c>
      <c r="D34" s="47" t="s">
        <v>272</v>
      </c>
      <c r="E34" s="48">
        <v>8</v>
      </c>
      <c r="F34" s="49">
        <v>3.6</v>
      </c>
      <c r="G34" s="50" t="s">
        <v>62</v>
      </c>
      <c r="H34" s="51">
        <v>1981</v>
      </c>
      <c r="I34" s="45">
        <v>3353</v>
      </c>
      <c r="J34" s="52">
        <v>4</v>
      </c>
      <c r="K34" s="53">
        <f t="shared" si="0"/>
        <v>26.569172000000002</v>
      </c>
      <c r="L34" s="54" t="s">
        <v>1425</v>
      </c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2203</v>
      </c>
      <c r="B36" s="45" t="s">
        <v>21</v>
      </c>
      <c r="C36" s="46">
        <v>22</v>
      </c>
      <c r="D36" s="47" t="s">
        <v>228</v>
      </c>
      <c r="E36" s="48">
        <v>18</v>
      </c>
      <c r="F36" s="49">
        <v>19.8</v>
      </c>
      <c r="G36" s="50" t="s">
        <v>18</v>
      </c>
      <c r="H36" s="51">
        <v>2590</v>
      </c>
      <c r="I36" s="45">
        <v>3048</v>
      </c>
      <c r="J36" s="52">
        <v>3</v>
      </c>
      <c r="K36" s="53">
        <f t="shared" si="0"/>
        <v>23.682959999999998</v>
      </c>
      <c r="L36" s="54"/>
    </row>
    <row r="37" spans="1:12" s="55" customFormat="1" ht="19.5" customHeight="1" x14ac:dyDescent="0.3">
      <c r="A37" s="44"/>
      <c r="B37" s="45"/>
      <c r="C37" s="77">
        <v>47.76</v>
      </c>
      <c r="D37" s="47" t="s">
        <v>272</v>
      </c>
      <c r="E37" s="48">
        <v>6</v>
      </c>
      <c r="F37" s="49">
        <v>2.7</v>
      </c>
      <c r="G37" s="50" t="s">
        <v>19</v>
      </c>
      <c r="H37" s="51">
        <v>1981</v>
      </c>
      <c r="I37" s="45">
        <v>3353</v>
      </c>
      <c r="J37" s="52">
        <v>4</v>
      </c>
      <c r="K37" s="53">
        <f t="shared" si="0"/>
        <v>26.569172000000002</v>
      </c>
      <c r="L37" s="54" t="s">
        <v>1425</v>
      </c>
    </row>
    <row r="38" spans="1:12" s="55" customFormat="1" ht="19.5" customHeight="1" x14ac:dyDescent="0.3">
      <c r="A38" s="44"/>
      <c r="B38" s="76"/>
      <c r="C38" s="77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2369</v>
      </c>
      <c r="B39" s="45" t="s">
        <v>2005</v>
      </c>
      <c r="C39" s="77">
        <v>28</v>
      </c>
      <c r="D39" s="47" t="s">
        <v>2370</v>
      </c>
      <c r="E39" s="48">
        <v>30</v>
      </c>
      <c r="F39" s="49">
        <v>24.85</v>
      </c>
      <c r="G39" s="50" t="s">
        <v>655</v>
      </c>
      <c r="H39" s="51">
        <v>1981</v>
      </c>
      <c r="I39" s="45">
        <v>3048</v>
      </c>
      <c r="J39" s="52">
        <v>4</v>
      </c>
      <c r="K39" s="53">
        <f t="shared" si="0"/>
        <v>24.152352000000004</v>
      </c>
      <c r="L39" s="54"/>
    </row>
    <row r="40" spans="1:12" s="55" customFormat="1" ht="19.5" customHeight="1" x14ac:dyDescent="0.3">
      <c r="A40" s="44"/>
      <c r="B40" s="45"/>
      <c r="C40" s="77"/>
      <c r="D40" s="47"/>
      <c r="E40" s="48"/>
      <c r="F40" s="49"/>
      <c r="G40" s="50" t="s">
        <v>655</v>
      </c>
      <c r="H40" s="51">
        <v>2134</v>
      </c>
      <c r="I40" s="45">
        <v>3048</v>
      </c>
      <c r="J40" s="52">
        <v>1</v>
      </c>
      <c r="K40" s="53">
        <f t="shared" si="0"/>
        <v>6.5044319999999995</v>
      </c>
      <c r="L40" s="54"/>
    </row>
    <row r="41" spans="1:12" s="55" customFormat="1" ht="19.5" customHeight="1" x14ac:dyDescent="0.3">
      <c r="A41" s="44"/>
      <c r="B41" s="76"/>
      <c r="C41" s="77"/>
      <c r="D41" s="47"/>
      <c r="E41" s="48"/>
      <c r="F41" s="49"/>
      <c r="G41" s="50" t="s">
        <v>189</v>
      </c>
      <c r="H41" s="51">
        <v>2134</v>
      </c>
      <c r="I41" s="45">
        <v>3353</v>
      </c>
      <c r="J41" s="52">
        <v>4</v>
      </c>
      <c r="K41" s="53">
        <f t="shared" si="0"/>
        <v>28.621207999999999</v>
      </c>
      <c r="L41" s="54"/>
    </row>
    <row r="42" spans="1:12" s="55" customFormat="1" ht="19.5" customHeight="1" x14ac:dyDescent="0.3">
      <c r="A42" s="44"/>
      <c r="B42" s="76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2371</v>
      </c>
      <c r="B43" s="45" t="s">
        <v>2005</v>
      </c>
      <c r="C43" s="77">
        <v>28</v>
      </c>
      <c r="D43" s="47" t="s">
        <v>2370</v>
      </c>
      <c r="E43" s="48">
        <v>30</v>
      </c>
      <c r="F43" s="49">
        <v>24.85</v>
      </c>
      <c r="G43" s="50" t="s">
        <v>655</v>
      </c>
      <c r="H43" s="51">
        <v>2134</v>
      </c>
      <c r="I43" s="45">
        <v>3048</v>
      </c>
      <c r="J43" s="52">
        <v>3</v>
      </c>
      <c r="K43" s="53">
        <f t="shared" si="0"/>
        <v>19.513295999999997</v>
      </c>
      <c r="L43" s="54"/>
    </row>
    <row r="44" spans="1:12" s="55" customFormat="1" ht="19.5" customHeight="1" x14ac:dyDescent="0.3">
      <c r="A44" s="44"/>
      <c r="B44" s="76"/>
      <c r="C44" s="46"/>
      <c r="D44" s="47"/>
      <c r="E44" s="48"/>
      <c r="F44" s="49"/>
      <c r="G44" s="50" t="s">
        <v>655</v>
      </c>
      <c r="H44" s="51">
        <v>2438</v>
      </c>
      <c r="I44" s="45">
        <v>3048</v>
      </c>
      <c r="J44" s="52">
        <v>1</v>
      </c>
      <c r="K44" s="53">
        <f t="shared" si="0"/>
        <v>7.4310240000000007</v>
      </c>
      <c r="L44" s="54"/>
    </row>
    <row r="45" spans="1:12" s="55" customFormat="1" ht="19.5" customHeight="1" x14ac:dyDescent="0.3">
      <c r="A45" s="44"/>
      <c r="B45" s="76"/>
      <c r="C45" s="46"/>
      <c r="D45" s="47"/>
      <c r="E45" s="48"/>
      <c r="F45" s="49"/>
      <c r="G45" s="50" t="s">
        <v>189</v>
      </c>
      <c r="H45" s="51">
        <v>2134</v>
      </c>
      <c r="I45" s="45">
        <v>3353</v>
      </c>
      <c r="J45" s="52">
        <v>4</v>
      </c>
      <c r="K45" s="53">
        <f t="shared" si="0"/>
        <v>28.621207999999999</v>
      </c>
      <c r="L45" s="54"/>
    </row>
    <row r="46" spans="1:12" s="55" customFormat="1" ht="19.5" customHeight="1" x14ac:dyDescent="0.3">
      <c r="A46" s="44"/>
      <c r="B46" s="76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2372</v>
      </c>
      <c r="B47" s="76" t="s">
        <v>110</v>
      </c>
      <c r="C47" s="46">
        <v>24</v>
      </c>
      <c r="D47" s="47" t="s">
        <v>1829</v>
      </c>
      <c r="E47" s="48">
        <v>24</v>
      </c>
      <c r="F47" s="49">
        <v>23.8</v>
      </c>
      <c r="G47" s="50" t="s">
        <v>170</v>
      </c>
      <c r="H47" s="51">
        <v>2134</v>
      </c>
      <c r="I47" s="45">
        <v>3048</v>
      </c>
      <c r="J47" s="52">
        <v>4</v>
      </c>
      <c r="K47" s="53">
        <f t="shared" si="0"/>
        <v>26.017727999999998</v>
      </c>
      <c r="L47" s="54"/>
    </row>
    <row r="48" spans="1:12" s="55" customFormat="1" ht="19.5" customHeight="1" x14ac:dyDescent="0.3">
      <c r="A48" s="44"/>
      <c r="B48" s="76"/>
      <c r="C48" s="46"/>
      <c r="D48" s="47"/>
      <c r="E48" s="48"/>
      <c r="F48" s="49"/>
      <c r="G48" s="50" t="s">
        <v>18</v>
      </c>
      <c r="H48" s="51">
        <v>2134</v>
      </c>
      <c r="I48" s="45">
        <v>3353</v>
      </c>
      <c r="J48" s="52">
        <v>4</v>
      </c>
      <c r="K48" s="53">
        <f t="shared" si="0"/>
        <v>28.621207999999999</v>
      </c>
      <c r="L48" s="54"/>
    </row>
    <row r="49" spans="1:12" s="55" customFormat="1" ht="19.5" customHeight="1" x14ac:dyDescent="0.3">
      <c r="A49" s="44"/>
      <c r="B49" s="76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668</v>
      </c>
      <c r="B50" s="76" t="s">
        <v>110</v>
      </c>
      <c r="C50" s="46">
        <v>24</v>
      </c>
      <c r="D50" s="47" t="s">
        <v>55</v>
      </c>
      <c r="E50" s="48">
        <v>31</v>
      </c>
      <c r="F50" s="49">
        <v>20.83</v>
      </c>
      <c r="G50" s="50" t="s">
        <v>56</v>
      </c>
      <c r="H50" s="51">
        <v>1981</v>
      </c>
      <c r="I50" s="45">
        <v>3353</v>
      </c>
      <c r="J50" s="52">
        <v>3</v>
      </c>
      <c r="K50" s="53">
        <f t="shared" ref="K50:K70" si="2">(H50/1000*I50/1000)*J50</f>
        <v>19.926879</v>
      </c>
      <c r="L50" s="54"/>
    </row>
    <row r="51" spans="1:12" s="55" customFormat="1" ht="19.5" customHeight="1" x14ac:dyDescent="0.3">
      <c r="A51" s="44"/>
      <c r="B51" s="76"/>
      <c r="C51" s="46"/>
      <c r="D51" s="47"/>
      <c r="E51" s="48"/>
      <c r="F51" s="49"/>
      <c r="G51" s="50" t="s">
        <v>18</v>
      </c>
      <c r="H51" s="51">
        <v>2134</v>
      </c>
      <c r="I51" s="45">
        <v>3353</v>
      </c>
      <c r="J51" s="52">
        <v>3</v>
      </c>
      <c r="K51" s="53">
        <f t="shared" si="2"/>
        <v>21.465906</v>
      </c>
      <c r="L51" s="54"/>
    </row>
    <row r="52" spans="1:12" s="55" customFormat="1" ht="19.5" customHeight="1" x14ac:dyDescent="0.3">
      <c r="A52" s="44"/>
      <c r="B52" s="76"/>
      <c r="C52" s="46"/>
      <c r="D52" s="47"/>
      <c r="E52" s="48"/>
      <c r="F52" s="49"/>
      <c r="G52" s="50"/>
      <c r="H52" s="51"/>
      <c r="I52" s="45"/>
      <c r="J52" s="52"/>
      <c r="K52" s="53">
        <f t="shared" si="2"/>
        <v>0</v>
      </c>
      <c r="L52" s="54"/>
    </row>
    <row r="53" spans="1:12" s="55" customFormat="1" ht="19.5" customHeight="1" x14ac:dyDescent="0.3">
      <c r="A53" s="44" t="s">
        <v>2373</v>
      </c>
      <c r="B53" s="76" t="s">
        <v>187</v>
      </c>
      <c r="C53" s="46">
        <v>28</v>
      </c>
      <c r="D53" s="47" t="s">
        <v>245</v>
      </c>
      <c r="E53" s="48">
        <v>1</v>
      </c>
      <c r="F53" s="49">
        <v>1.36</v>
      </c>
      <c r="G53" s="50" t="s">
        <v>560</v>
      </c>
      <c r="H53" s="51">
        <v>2440</v>
      </c>
      <c r="I53" s="45">
        <v>3050</v>
      </c>
      <c r="J53" s="52">
        <v>1</v>
      </c>
      <c r="K53" s="53">
        <f t="shared" si="2"/>
        <v>7.4420000000000002</v>
      </c>
      <c r="L53" s="54" t="s">
        <v>2375</v>
      </c>
    </row>
    <row r="54" spans="1:12" s="55" customFormat="1" ht="19.5" customHeight="1" x14ac:dyDescent="0.3">
      <c r="A54" s="44"/>
      <c r="B54" s="76"/>
      <c r="C54" s="46">
        <v>26</v>
      </c>
      <c r="D54" s="47" t="s">
        <v>2374</v>
      </c>
      <c r="E54" s="48">
        <v>1</v>
      </c>
      <c r="F54" s="49">
        <v>1.36</v>
      </c>
      <c r="G54" s="50"/>
      <c r="H54" s="51"/>
      <c r="I54" s="45"/>
      <c r="J54" s="52"/>
      <c r="K54" s="53">
        <f t="shared" si="2"/>
        <v>0</v>
      </c>
      <c r="L54" s="54" t="s">
        <v>31</v>
      </c>
    </row>
    <row r="55" spans="1:12" s="55" customFormat="1" ht="19.5" customHeight="1" x14ac:dyDescent="0.3">
      <c r="A55" s="44"/>
      <c r="B55" s="76"/>
      <c r="C55" s="46"/>
      <c r="D55" s="47"/>
      <c r="E55" s="48"/>
      <c r="F55" s="49"/>
      <c r="G55" s="50"/>
      <c r="H55" s="51"/>
      <c r="I55" s="45"/>
      <c r="J55" s="52"/>
      <c r="K55" s="53">
        <f t="shared" si="2"/>
        <v>0</v>
      </c>
      <c r="L55" s="54"/>
    </row>
    <row r="56" spans="1:12" s="55" customFormat="1" ht="19.5" customHeight="1" x14ac:dyDescent="0.3">
      <c r="A56" s="44" t="s">
        <v>2376</v>
      </c>
      <c r="B56" s="76" t="s">
        <v>2377</v>
      </c>
      <c r="C56" s="46">
        <v>26</v>
      </c>
      <c r="D56" s="47" t="s">
        <v>2378</v>
      </c>
      <c r="E56" s="48">
        <v>16</v>
      </c>
      <c r="F56" s="49">
        <v>10.63</v>
      </c>
      <c r="G56" s="50" t="s">
        <v>2379</v>
      </c>
      <c r="H56" s="51">
        <v>2438</v>
      </c>
      <c r="I56" s="45">
        <v>3353</v>
      </c>
      <c r="J56" s="52">
        <v>2</v>
      </c>
      <c r="K56" s="53">
        <f t="shared" ref="K56:K66" si="3">(H56/1000*I56/1000)*J56</f>
        <v>16.349228</v>
      </c>
      <c r="L56" s="54"/>
    </row>
    <row r="57" spans="1:12" s="55" customFormat="1" ht="19.5" customHeight="1" x14ac:dyDescent="0.3">
      <c r="A57" s="44"/>
      <c r="B57" s="76"/>
      <c r="C57" s="46"/>
      <c r="D57" s="47"/>
      <c r="E57" s="48"/>
      <c r="F57" s="49"/>
      <c r="G57" s="50" t="s">
        <v>2380</v>
      </c>
      <c r="H57" s="51">
        <v>2134</v>
      </c>
      <c r="I57" s="45">
        <v>3353</v>
      </c>
      <c r="J57" s="52">
        <v>2</v>
      </c>
      <c r="K57" s="53">
        <f t="shared" si="3"/>
        <v>14.310604</v>
      </c>
      <c r="L57" s="54"/>
    </row>
    <row r="58" spans="1:12" s="55" customFormat="1" ht="19.5" customHeight="1" x14ac:dyDescent="0.3">
      <c r="A58" s="44"/>
      <c r="B58" s="76"/>
      <c r="C58" s="46"/>
      <c r="D58" s="47"/>
      <c r="E58" s="48"/>
      <c r="F58" s="49"/>
      <c r="G58" s="50"/>
      <c r="H58" s="51"/>
      <c r="I58" s="45"/>
      <c r="J58" s="52"/>
      <c r="K58" s="53">
        <f t="shared" si="3"/>
        <v>0</v>
      </c>
      <c r="L58" s="54"/>
    </row>
    <row r="59" spans="1:12" s="55" customFormat="1" ht="19.5" customHeight="1" x14ac:dyDescent="0.3">
      <c r="A59" s="44" t="s">
        <v>2386</v>
      </c>
      <c r="B59" s="76"/>
      <c r="C59" s="46"/>
      <c r="D59" s="47"/>
      <c r="E59" s="48"/>
      <c r="F59" s="49"/>
      <c r="G59" s="50"/>
      <c r="H59" s="51"/>
      <c r="I59" s="45"/>
      <c r="J59" s="52"/>
      <c r="K59" s="53">
        <f t="shared" si="3"/>
        <v>0</v>
      </c>
      <c r="L59" s="54"/>
    </row>
    <row r="60" spans="1:12" s="55" customFormat="1" ht="19.5" customHeight="1" x14ac:dyDescent="0.3">
      <c r="A60" s="44" t="s">
        <v>2387</v>
      </c>
      <c r="B60" s="76" t="s">
        <v>2388</v>
      </c>
      <c r="C60" s="46">
        <v>5</v>
      </c>
      <c r="D60" s="47" t="s">
        <v>2389</v>
      </c>
      <c r="E60" s="48">
        <v>151</v>
      </c>
      <c r="F60" s="49">
        <v>144.19</v>
      </c>
      <c r="G60" s="50" t="s">
        <v>2380</v>
      </c>
      <c r="H60" s="51">
        <v>2134</v>
      </c>
      <c r="I60" s="45">
        <v>3353</v>
      </c>
      <c r="J60" s="52">
        <v>21</v>
      </c>
      <c r="K60" s="53">
        <f t="shared" si="3"/>
        <v>150.26134199999998</v>
      </c>
      <c r="L60" s="54"/>
    </row>
    <row r="61" spans="1:12" s="55" customFormat="1" ht="19.5" customHeight="1" x14ac:dyDescent="0.3">
      <c r="A61" s="44"/>
      <c r="B61" s="76"/>
      <c r="C61" s="46"/>
      <c r="D61" s="47"/>
      <c r="E61" s="48"/>
      <c r="F61" s="49"/>
      <c r="G61" s="50"/>
      <c r="H61" s="51"/>
      <c r="I61" s="45"/>
      <c r="J61" s="52"/>
      <c r="K61" s="53">
        <f t="shared" si="3"/>
        <v>0</v>
      </c>
      <c r="L61" s="54"/>
    </row>
    <row r="62" spans="1:12" s="55" customFormat="1" ht="19.5" customHeight="1" x14ac:dyDescent="0.3">
      <c r="A62" s="44" t="s">
        <v>2390</v>
      </c>
      <c r="B62" s="76" t="s">
        <v>2388</v>
      </c>
      <c r="C62" s="46">
        <v>5</v>
      </c>
      <c r="D62" s="47" t="s">
        <v>2389</v>
      </c>
      <c r="E62" s="48">
        <v>151</v>
      </c>
      <c r="F62" s="49">
        <v>144.07</v>
      </c>
      <c r="G62" s="50" t="s">
        <v>2380</v>
      </c>
      <c r="H62" s="51">
        <v>2134</v>
      </c>
      <c r="I62" s="45">
        <v>3353</v>
      </c>
      <c r="J62" s="52">
        <v>22</v>
      </c>
      <c r="K62" s="53">
        <f t="shared" si="3"/>
        <v>157.41664399999999</v>
      </c>
      <c r="L62" s="54"/>
    </row>
    <row r="63" spans="1:12" s="55" customFormat="1" ht="19.5" customHeight="1" x14ac:dyDescent="0.3">
      <c r="A63" s="44"/>
      <c r="B63" s="76"/>
      <c r="C63" s="46"/>
      <c r="D63" s="47"/>
      <c r="E63" s="48"/>
      <c r="F63" s="49"/>
      <c r="G63" s="50"/>
      <c r="H63" s="51"/>
      <c r="I63" s="45"/>
      <c r="J63" s="52"/>
      <c r="K63" s="53">
        <f t="shared" si="3"/>
        <v>0</v>
      </c>
      <c r="L63" s="54"/>
    </row>
    <row r="64" spans="1:12" s="55" customFormat="1" ht="19.5" customHeight="1" x14ac:dyDescent="0.3">
      <c r="A64" s="44" t="s">
        <v>2391</v>
      </c>
      <c r="B64" s="76" t="s">
        <v>2392</v>
      </c>
      <c r="C64" s="46">
        <v>28</v>
      </c>
      <c r="D64" s="47" t="s">
        <v>2393</v>
      </c>
      <c r="E64" s="48">
        <v>6</v>
      </c>
      <c r="F64" s="49">
        <v>20.16</v>
      </c>
      <c r="G64" s="50" t="s">
        <v>2396</v>
      </c>
      <c r="H64" s="51">
        <v>1829</v>
      </c>
      <c r="I64" s="45">
        <v>3353</v>
      </c>
      <c r="J64" s="52">
        <v>7</v>
      </c>
      <c r="K64" s="53">
        <f t="shared" si="3"/>
        <v>42.928458999999997</v>
      </c>
      <c r="L64" s="54" t="s">
        <v>2397</v>
      </c>
    </row>
    <row r="65" spans="1:12" s="55" customFormat="1" ht="19.5" customHeight="1" x14ac:dyDescent="0.3">
      <c r="A65" s="44"/>
      <c r="B65" s="76"/>
      <c r="C65" s="46">
        <v>28</v>
      </c>
      <c r="D65" s="47" t="s">
        <v>2394</v>
      </c>
      <c r="E65" s="48">
        <v>15</v>
      </c>
      <c r="F65" s="49">
        <v>73.540000000000006</v>
      </c>
      <c r="G65" s="50" t="s">
        <v>2396</v>
      </c>
      <c r="H65" s="51">
        <v>1981</v>
      </c>
      <c r="I65" s="45">
        <v>3353</v>
      </c>
      <c r="J65" s="52">
        <v>10</v>
      </c>
      <c r="K65" s="53">
        <f t="shared" si="3"/>
        <v>66.422930000000008</v>
      </c>
      <c r="L65" s="54" t="s">
        <v>2397</v>
      </c>
    </row>
    <row r="66" spans="1:12" s="55" customFormat="1" ht="19.5" customHeight="1" x14ac:dyDescent="0.3">
      <c r="A66" s="44"/>
      <c r="B66" s="76"/>
      <c r="C66" s="46">
        <v>26</v>
      </c>
      <c r="D66" s="47" t="s">
        <v>2395</v>
      </c>
      <c r="E66" s="48">
        <v>2</v>
      </c>
      <c r="F66" s="49">
        <v>12.16</v>
      </c>
      <c r="G66" s="50" t="s">
        <v>2380</v>
      </c>
      <c r="H66" s="51">
        <v>1981</v>
      </c>
      <c r="I66" s="45">
        <v>3353</v>
      </c>
      <c r="J66" s="52">
        <v>2</v>
      </c>
      <c r="K66" s="53">
        <f t="shared" si="3"/>
        <v>13.284586000000001</v>
      </c>
      <c r="L66" s="54" t="s">
        <v>2397</v>
      </c>
    </row>
    <row r="67" spans="1:12" s="55" customFormat="1" ht="19.5" customHeight="1" x14ac:dyDescent="0.3">
      <c r="A67" s="44"/>
      <c r="B67" s="76"/>
      <c r="C67" s="46"/>
      <c r="D67" s="47"/>
      <c r="E67" s="48"/>
      <c r="F67" s="49"/>
      <c r="G67" s="50"/>
      <c r="H67" s="51"/>
      <c r="I67" s="45"/>
      <c r="J67" s="52"/>
      <c r="K67" s="53">
        <f t="shared" si="2"/>
        <v>0</v>
      </c>
      <c r="L67" s="54"/>
    </row>
    <row r="68" spans="1:12" s="55" customFormat="1" ht="19.5" customHeight="1" x14ac:dyDescent="0.3">
      <c r="A68" s="44"/>
      <c r="B68" s="76"/>
      <c r="C68" s="46"/>
      <c r="D68" s="47"/>
      <c r="E68" s="48"/>
      <c r="F68" s="49"/>
      <c r="G68" s="50"/>
      <c r="H68" s="51"/>
      <c r="I68" s="45"/>
      <c r="J68" s="52"/>
      <c r="K68" s="53">
        <f t="shared" si="2"/>
        <v>0</v>
      </c>
      <c r="L68" s="54"/>
    </row>
    <row r="69" spans="1:12" s="55" customFormat="1" ht="19.5" customHeight="1" x14ac:dyDescent="0.3">
      <c r="A69" s="44"/>
      <c r="B69" s="76"/>
      <c r="C69" s="46"/>
      <c r="D69" s="47"/>
      <c r="E69" s="48"/>
      <c r="F69" s="49"/>
      <c r="G69" s="50"/>
      <c r="H69" s="51"/>
      <c r="I69" s="45"/>
      <c r="J69" s="52"/>
      <c r="K69" s="53">
        <f t="shared" si="2"/>
        <v>0</v>
      </c>
      <c r="L69" s="54"/>
    </row>
    <row r="70" spans="1:12" s="55" customFormat="1" ht="19.5" customHeight="1" x14ac:dyDescent="0.3">
      <c r="A70" s="44"/>
      <c r="B70" s="76"/>
      <c r="C70" s="46"/>
      <c r="D70" s="47"/>
      <c r="E70" s="48"/>
      <c r="F70" s="49"/>
      <c r="G70" s="50"/>
      <c r="H70" s="51"/>
      <c r="I70" s="45"/>
      <c r="J70" s="52"/>
      <c r="K70" s="53">
        <f t="shared" si="2"/>
        <v>0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9" customFormat="1" ht="20.100000000000001" customHeight="1" x14ac:dyDescent="0.3">
      <c r="A72" s="44"/>
      <c r="B72" s="45"/>
      <c r="C72" s="46"/>
      <c r="D72" s="47"/>
      <c r="E72" s="56"/>
      <c r="F72" s="57"/>
      <c r="G72" s="50"/>
      <c r="H72" s="51"/>
      <c r="I72" s="45"/>
      <c r="J72" s="52"/>
      <c r="K72" s="53">
        <f t="shared" si="0"/>
        <v>0</v>
      </c>
      <c r="L72" s="58">
        <f>SUM(J31:J73)</f>
        <v>119</v>
      </c>
    </row>
    <row r="73" spans="1:12" s="59" customFormat="1" ht="20.100000000000001" customHeight="1" x14ac:dyDescent="0.3">
      <c r="A73" s="44"/>
      <c r="B73" s="45"/>
      <c r="C73" s="46"/>
      <c r="D73" s="47"/>
      <c r="E73" s="60"/>
      <c r="F73" s="61"/>
      <c r="G73" s="62"/>
      <c r="H73" s="51"/>
      <c r="I73" s="45"/>
      <c r="J73" s="63"/>
      <c r="K73" s="53">
        <f t="shared" si="0"/>
        <v>0</v>
      </c>
      <c r="L73" s="64">
        <f>SUM(K31:K73)</f>
        <v>830.04743000000008</v>
      </c>
    </row>
    <row r="74" spans="1:12" s="59" customFormat="1" ht="20.100000000000001" customHeight="1" thickBot="1" x14ac:dyDescent="0.35">
      <c r="A74" s="114"/>
      <c r="B74" s="115"/>
      <c r="C74" s="115"/>
      <c r="D74" s="115"/>
      <c r="E74" s="115"/>
      <c r="F74" s="115"/>
      <c r="G74" s="115"/>
      <c r="H74" s="115"/>
      <c r="I74" s="115"/>
      <c r="J74" s="65">
        <f>SUM(J7:J73)</f>
        <v>392</v>
      </c>
      <c r="K74" s="66">
        <f>SUM(K7:K73)</f>
        <v>2656.1717020000001</v>
      </c>
      <c r="L74" s="67"/>
    </row>
    <row r="75" spans="1:12" s="59" customFormat="1" ht="20.100000000000001" customHeight="1" thickTop="1" thickBot="1" x14ac:dyDescent="0.35">
      <c r="A75" s="116" t="s">
        <v>52</v>
      </c>
      <c r="B75" s="117"/>
      <c r="C75" s="68"/>
      <c r="D75" s="118">
        <f>J74</f>
        <v>392</v>
      </c>
      <c r="E75" s="119"/>
      <c r="F75" s="119"/>
      <c r="G75" s="120"/>
      <c r="H75" s="121"/>
      <c r="I75" s="121"/>
      <c r="J75" s="122"/>
      <c r="K75" s="119"/>
      <c r="L75" s="123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71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72"/>
      <c r="F81" s="5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5"/>
      <c r="G82" s="73"/>
      <c r="H82" s="5"/>
      <c r="I82" s="74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72"/>
      <c r="I86" s="72"/>
      <c r="J86" s="5"/>
      <c r="K86" s="5"/>
      <c r="L86" s="5"/>
    </row>
    <row r="87" spans="1:12" ht="20.100000000000001" customHeight="1" x14ac:dyDescent="0.3">
      <c r="A87" s="113"/>
      <c r="B87" s="113"/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H89" s="72"/>
      <c r="I89" s="72"/>
    </row>
    <row r="90" spans="1:12" ht="20.100000000000001" customHeight="1" x14ac:dyDescent="0.3">
      <c r="A90" s="113"/>
      <c r="B90" s="113"/>
      <c r="H90" s="72"/>
      <c r="I90" s="72"/>
    </row>
    <row r="91" spans="1:12" ht="20.100000000000001" customHeight="1" x14ac:dyDescent="0.3">
      <c r="A91" s="113"/>
      <c r="B91" s="113"/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H94" s="72"/>
      <c r="I94" s="72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J95" s="5"/>
      <c r="K95" s="5"/>
      <c r="L95" s="5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5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5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5" customFormat="1" ht="19.5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2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2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ht="19.5" customHeight="1" x14ac:dyDescent="0.3"/>
    <row r="103" spans="1:12" ht="19.5" customHeight="1" x14ac:dyDescent="0.3"/>
    <row r="104" spans="1:12" ht="19.5" customHeight="1" x14ac:dyDescent="0.3"/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>
        <v>2</v>
      </c>
      <c r="C165" s="5"/>
      <c r="D165" s="5"/>
      <c r="E165" s="5"/>
      <c r="F165" s="70"/>
      <c r="G165" s="5"/>
      <c r="H165" s="5"/>
      <c r="I165" s="5"/>
      <c r="J165" s="5"/>
      <c r="K165" s="5"/>
      <c r="L165" s="5"/>
    </row>
  </sheetData>
  <mergeCells count="30">
    <mergeCell ref="A90:B90"/>
    <mergeCell ref="A91:B91"/>
    <mergeCell ref="A81:B81"/>
    <mergeCell ref="A82:B82"/>
    <mergeCell ref="A83:B83"/>
    <mergeCell ref="A85:B85"/>
    <mergeCell ref="A86:B86"/>
    <mergeCell ref="A87:B87"/>
    <mergeCell ref="A80:B8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4:I74"/>
    <mergeCell ref="A75:B75"/>
    <mergeCell ref="D75:G75"/>
    <mergeCell ref="H75:J75"/>
    <mergeCell ref="K75:L75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L153"/>
  <sheetViews>
    <sheetView view="pageBreakPreview" topLeftCell="F43" zoomScale="85" zoomScaleSheetLayoutView="85" workbookViewId="0">
      <selection activeCell="L60" sqref="L60:L6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46105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1" si="0">(H7/1000*I7/1000)*J7</f>
        <v>0</v>
      </c>
      <c r="L7" s="26">
        <f>SUM(J7:J39)</f>
        <v>0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SUM(K7:K39)</f>
        <v>0</v>
      </c>
    </row>
    <row r="9" spans="1:12" s="27" customFormat="1" ht="19.5" customHeight="1" x14ac:dyDescent="0.3">
      <c r="A9" s="17"/>
      <c r="B9" s="93"/>
      <c r="C9" s="17"/>
      <c r="D9" s="18"/>
      <c r="E9" s="41"/>
      <c r="F9" s="42"/>
      <c r="G9" s="34"/>
      <c r="H9" s="35"/>
      <c r="I9" s="36"/>
      <c r="J9" s="37"/>
      <c r="K9" s="38">
        <f t="shared" si="0"/>
        <v>0</v>
      </c>
      <c r="L9" s="39"/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81"/>
      <c r="F37" s="8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/>
      <c r="B39" s="29"/>
      <c r="C39" s="30"/>
      <c r="D39" s="31"/>
      <c r="E39" s="41"/>
      <c r="F39" s="42"/>
      <c r="G39" s="43"/>
      <c r="H39" s="35"/>
      <c r="I39" s="36"/>
      <c r="J39" s="37"/>
      <c r="K39" s="38">
        <f t="shared" si="0"/>
        <v>0</v>
      </c>
      <c r="L39" s="39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2365</v>
      </c>
      <c r="B41" s="45" t="s">
        <v>1819</v>
      </c>
      <c r="C41" s="46">
        <v>22</v>
      </c>
      <c r="D41" s="47" t="s">
        <v>17</v>
      </c>
      <c r="E41" s="48">
        <v>176</v>
      </c>
      <c r="F41" s="49">
        <v>325.36</v>
      </c>
      <c r="G41" s="50" t="s">
        <v>18</v>
      </c>
      <c r="H41" s="51">
        <v>1981</v>
      </c>
      <c r="I41" s="45">
        <v>3353</v>
      </c>
      <c r="J41" s="52">
        <v>55</v>
      </c>
      <c r="K41" s="53">
        <f t="shared" si="0"/>
        <v>365.32611500000002</v>
      </c>
      <c r="L41" s="54"/>
    </row>
    <row r="42" spans="1:12" s="55" customFormat="1" ht="19.5" customHeight="1" x14ac:dyDescent="0.3">
      <c r="A42" s="44"/>
      <c r="B42" s="45"/>
      <c r="C42" s="77"/>
      <c r="D42" s="47"/>
      <c r="E42" s="48"/>
      <c r="F42" s="49"/>
      <c r="G42" s="50" t="s">
        <v>19</v>
      </c>
      <c r="H42" s="51">
        <v>1981</v>
      </c>
      <c r="I42" s="45">
        <v>3353</v>
      </c>
      <c r="J42" s="52">
        <v>55</v>
      </c>
      <c r="K42" s="53">
        <f t="shared" si="0"/>
        <v>365.32611500000002</v>
      </c>
      <c r="L42" s="54"/>
    </row>
    <row r="43" spans="1:12" s="55" customFormat="1" ht="19.5" customHeight="1" x14ac:dyDescent="0.3">
      <c r="A43" s="44"/>
      <c r="B43" s="76"/>
      <c r="C43" s="77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2366</v>
      </c>
      <c r="B44" s="45" t="s">
        <v>1819</v>
      </c>
      <c r="C44" s="46">
        <v>22</v>
      </c>
      <c r="D44" s="47" t="s">
        <v>17</v>
      </c>
      <c r="E44" s="48">
        <v>248</v>
      </c>
      <c r="F44" s="49">
        <v>531.38</v>
      </c>
      <c r="G44" s="50" t="s">
        <v>19</v>
      </c>
      <c r="H44" s="51">
        <v>1981</v>
      </c>
      <c r="I44" s="45">
        <v>3353</v>
      </c>
      <c r="J44" s="52">
        <v>90</v>
      </c>
      <c r="K44" s="53">
        <f t="shared" si="0"/>
        <v>597.80637000000002</v>
      </c>
      <c r="L44" s="54" t="s">
        <v>2367</v>
      </c>
    </row>
    <row r="45" spans="1:12" s="55" customFormat="1" ht="19.5" customHeight="1" x14ac:dyDescent="0.3">
      <c r="A45" s="44"/>
      <c r="B45" s="45"/>
      <c r="C45" s="77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76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76"/>
      <c r="C50" s="77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76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76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76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76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76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76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76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76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9" customFormat="1" ht="20.100000000000001" customHeight="1" x14ac:dyDescent="0.3">
      <c r="A60" s="44"/>
      <c r="B60" s="45"/>
      <c r="C60" s="46"/>
      <c r="D60" s="47"/>
      <c r="E60" s="56"/>
      <c r="F60" s="57"/>
      <c r="G60" s="50"/>
      <c r="H60" s="51"/>
      <c r="I60" s="45"/>
      <c r="J60" s="52"/>
      <c r="K60" s="53">
        <f t="shared" si="0"/>
        <v>0</v>
      </c>
      <c r="L60" s="58">
        <f>SUM(J40:J61)</f>
        <v>200</v>
      </c>
    </row>
    <row r="61" spans="1:12" s="59" customFormat="1" ht="20.100000000000001" customHeight="1" x14ac:dyDescent="0.3">
      <c r="A61" s="44"/>
      <c r="B61" s="45"/>
      <c r="C61" s="46"/>
      <c r="D61" s="47"/>
      <c r="E61" s="60"/>
      <c r="F61" s="61"/>
      <c r="G61" s="62"/>
      <c r="H61" s="51"/>
      <c r="I61" s="45"/>
      <c r="J61" s="63"/>
      <c r="K61" s="53">
        <f t="shared" si="0"/>
        <v>0</v>
      </c>
      <c r="L61" s="64">
        <f>SUM(K40:K61)</f>
        <v>1328.4585999999999</v>
      </c>
    </row>
    <row r="62" spans="1:12" s="59" customFormat="1" ht="20.100000000000001" customHeight="1" thickBot="1" x14ac:dyDescent="0.35">
      <c r="A62" s="114"/>
      <c r="B62" s="115"/>
      <c r="C62" s="115"/>
      <c r="D62" s="115"/>
      <c r="E62" s="115"/>
      <c r="F62" s="115"/>
      <c r="G62" s="115"/>
      <c r="H62" s="115"/>
      <c r="I62" s="115"/>
      <c r="J62" s="65">
        <f>SUM(J7:J61)</f>
        <v>200</v>
      </c>
      <c r="K62" s="66">
        <f>SUM(K7:K61)</f>
        <v>1328.4585999999999</v>
      </c>
      <c r="L62" s="67"/>
    </row>
    <row r="63" spans="1:12" s="59" customFormat="1" ht="20.100000000000001" customHeight="1" thickTop="1" thickBot="1" x14ac:dyDescent="0.35">
      <c r="A63" s="116" t="s">
        <v>52</v>
      </c>
      <c r="B63" s="117"/>
      <c r="C63" s="68"/>
      <c r="D63" s="118">
        <f>J62</f>
        <v>200</v>
      </c>
      <c r="E63" s="119"/>
      <c r="F63" s="119"/>
      <c r="G63" s="120"/>
      <c r="H63" s="121"/>
      <c r="I63" s="121"/>
      <c r="J63" s="122"/>
      <c r="K63" s="119"/>
      <c r="L63" s="123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71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72"/>
      <c r="F69" s="5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5"/>
      <c r="G70" s="73"/>
      <c r="H70" s="5"/>
      <c r="I70" s="74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72"/>
      <c r="I74" s="72"/>
      <c r="J74" s="5"/>
      <c r="K74" s="5"/>
      <c r="L74" s="5"/>
    </row>
    <row r="75" spans="1:12" ht="20.100000000000001" customHeight="1" x14ac:dyDescent="0.3">
      <c r="A75" s="113"/>
      <c r="B75" s="113"/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A78" s="113"/>
      <c r="B78" s="113"/>
      <c r="H78" s="72"/>
      <c r="I78" s="72"/>
    </row>
    <row r="79" spans="1:12" ht="20.100000000000001" customHeight="1" x14ac:dyDescent="0.3">
      <c r="A79" s="113"/>
      <c r="B79" s="113"/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H82" s="72"/>
      <c r="I82" s="72"/>
    </row>
    <row r="83" spans="1:12" s="72" customFormat="1" ht="20.100000000000001" customHeight="1" x14ac:dyDescent="0.3">
      <c r="A83" s="69"/>
      <c r="B83" s="5"/>
      <c r="C83" s="5"/>
      <c r="D83" s="5"/>
      <c r="E83" s="5"/>
      <c r="F83" s="70"/>
      <c r="G83" s="5"/>
      <c r="J83" s="5"/>
      <c r="K83" s="5"/>
      <c r="L83" s="5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5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5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5" customFormat="1" ht="19.5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2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ht="19.5" customHeight="1" x14ac:dyDescent="0.3"/>
    <row r="91" spans="1:12" ht="19.5" customHeight="1" x14ac:dyDescent="0.3"/>
    <row r="92" spans="1:12" ht="19.5" customHeight="1" x14ac:dyDescent="0.3"/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>
        <v>2</v>
      </c>
      <c r="C153" s="5"/>
      <c r="D153" s="5"/>
      <c r="E153" s="5"/>
      <c r="F153" s="70"/>
      <c r="G153" s="5"/>
      <c r="H153" s="5"/>
      <c r="I153" s="5"/>
      <c r="J153" s="5"/>
      <c r="K153" s="5"/>
      <c r="L153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8:B6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2:I62"/>
    <mergeCell ref="A63:B63"/>
    <mergeCell ref="D63:G63"/>
    <mergeCell ref="H63:J63"/>
    <mergeCell ref="K63:L63"/>
    <mergeCell ref="A78:B78"/>
    <mergeCell ref="A79:B79"/>
    <mergeCell ref="A69:B69"/>
    <mergeCell ref="A70:B70"/>
    <mergeCell ref="A71:B71"/>
    <mergeCell ref="A73:B73"/>
    <mergeCell ref="A74:B74"/>
    <mergeCell ref="A75:B75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L175"/>
  <sheetViews>
    <sheetView view="pageBreakPreview" topLeftCell="E76" zoomScale="85" zoomScaleSheetLayoutView="85" workbookViewId="0">
      <selection activeCell="L82" sqref="L82:L8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46104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3" si="0">(H7/1000*I7/1000)*J7</f>
        <v>0</v>
      </c>
      <c r="L7" s="26">
        <f>SUM(J7:J39)</f>
        <v>0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SUM(K7:K39)</f>
        <v>0</v>
      </c>
    </row>
    <row r="9" spans="1:12" s="27" customFormat="1" ht="19.5" customHeight="1" x14ac:dyDescent="0.3">
      <c r="A9" s="17"/>
      <c r="B9" s="93"/>
      <c r="C9" s="17"/>
      <c r="D9" s="18"/>
      <c r="E9" s="41"/>
      <c r="F9" s="42"/>
      <c r="G9" s="34"/>
      <c r="H9" s="35"/>
      <c r="I9" s="36"/>
      <c r="J9" s="37"/>
      <c r="K9" s="38">
        <f t="shared" si="0"/>
        <v>0</v>
      </c>
      <c r="L9" s="39"/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81"/>
      <c r="F37" s="8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/>
      <c r="B39" s="29"/>
      <c r="C39" s="30"/>
      <c r="D39" s="31"/>
      <c r="E39" s="41"/>
      <c r="F39" s="42"/>
      <c r="G39" s="43"/>
      <c r="H39" s="35"/>
      <c r="I39" s="36"/>
      <c r="J39" s="37"/>
      <c r="K39" s="38">
        <f t="shared" si="0"/>
        <v>0</v>
      </c>
      <c r="L39" s="39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2321</v>
      </c>
      <c r="B41" s="45" t="s">
        <v>2322</v>
      </c>
      <c r="C41" s="46">
        <v>24</v>
      </c>
      <c r="D41" s="47" t="s">
        <v>2323</v>
      </c>
      <c r="E41" s="48">
        <v>6</v>
      </c>
      <c r="F41" s="49">
        <v>6.62</v>
      </c>
      <c r="G41" s="50" t="s">
        <v>2324</v>
      </c>
      <c r="H41" s="51">
        <v>2134</v>
      </c>
      <c r="I41" s="45">
        <v>3048</v>
      </c>
      <c r="J41" s="52">
        <v>1</v>
      </c>
      <c r="K41" s="53">
        <f t="shared" si="0"/>
        <v>6.5044319999999995</v>
      </c>
      <c r="L41" s="54"/>
    </row>
    <row r="42" spans="1:12" s="55" customFormat="1" ht="19.5" customHeight="1" x14ac:dyDescent="0.3">
      <c r="A42" s="44"/>
      <c r="B42" s="45"/>
      <c r="C42" s="77"/>
      <c r="D42" s="47"/>
      <c r="E42" s="48"/>
      <c r="F42" s="49"/>
      <c r="G42" s="50" t="s">
        <v>2325</v>
      </c>
      <c r="H42" s="51">
        <v>2438</v>
      </c>
      <c r="I42" s="45">
        <v>3353</v>
      </c>
      <c r="J42" s="52">
        <v>1</v>
      </c>
      <c r="K42" s="53">
        <f t="shared" si="0"/>
        <v>8.174614</v>
      </c>
      <c r="L42" s="54"/>
    </row>
    <row r="43" spans="1:12" s="55" customFormat="1" ht="19.5" customHeight="1" x14ac:dyDescent="0.3">
      <c r="A43" s="44"/>
      <c r="B43" s="76"/>
      <c r="C43" s="77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2326</v>
      </c>
      <c r="B44" s="45" t="s">
        <v>2327</v>
      </c>
      <c r="C44" s="46">
        <v>42</v>
      </c>
      <c r="D44" s="47" t="s">
        <v>2328</v>
      </c>
      <c r="E44" s="48">
        <v>10</v>
      </c>
      <c r="F44" s="49">
        <v>7.7</v>
      </c>
      <c r="G44" s="50" t="s">
        <v>2329</v>
      </c>
      <c r="H44" s="51">
        <v>2438</v>
      </c>
      <c r="I44" s="45">
        <v>3353</v>
      </c>
      <c r="J44" s="52">
        <v>2</v>
      </c>
      <c r="K44" s="53">
        <f t="shared" si="0"/>
        <v>16.349228</v>
      </c>
      <c r="L44" s="54"/>
    </row>
    <row r="45" spans="1:12" s="55" customFormat="1" ht="19.5" customHeight="1" x14ac:dyDescent="0.3">
      <c r="A45" s="44"/>
      <c r="B45" s="45"/>
      <c r="C45" s="77"/>
      <c r="D45" s="47"/>
      <c r="E45" s="48"/>
      <c r="F45" s="49"/>
      <c r="G45" s="50" t="s">
        <v>2330</v>
      </c>
      <c r="H45" s="51">
        <v>2438</v>
      </c>
      <c r="I45" s="45">
        <v>3353</v>
      </c>
      <c r="J45" s="52">
        <v>1</v>
      </c>
      <c r="K45" s="53">
        <f t="shared" si="0"/>
        <v>8.174614</v>
      </c>
      <c r="L45" s="54"/>
    </row>
    <row r="46" spans="1:12" s="55" customFormat="1" ht="19.5" customHeight="1" x14ac:dyDescent="0.3">
      <c r="A46" s="44"/>
      <c r="B46" s="45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2331</v>
      </c>
      <c r="B47" s="76" t="s">
        <v>2332</v>
      </c>
      <c r="C47" s="77">
        <v>25.76</v>
      </c>
      <c r="D47" s="47" t="s">
        <v>2333</v>
      </c>
      <c r="E47" s="48">
        <v>42</v>
      </c>
      <c r="F47" s="49">
        <v>20.04</v>
      </c>
      <c r="G47" s="50" t="s">
        <v>2334</v>
      </c>
      <c r="H47" s="51">
        <v>1829</v>
      </c>
      <c r="I47" s="45">
        <v>3353</v>
      </c>
      <c r="J47" s="52">
        <v>2</v>
      </c>
      <c r="K47" s="53">
        <f t="shared" si="0"/>
        <v>12.265274</v>
      </c>
      <c r="L47" s="54"/>
    </row>
    <row r="48" spans="1:12" s="55" customFormat="1" ht="19.5" customHeight="1" x14ac:dyDescent="0.3">
      <c r="A48" s="44"/>
      <c r="B48" s="45"/>
      <c r="C48" s="77"/>
      <c r="D48" s="47"/>
      <c r="E48" s="48"/>
      <c r="F48" s="49"/>
      <c r="G48" s="50" t="s">
        <v>2335</v>
      </c>
      <c r="H48" s="51">
        <v>1981</v>
      </c>
      <c r="I48" s="45">
        <v>3353</v>
      </c>
      <c r="J48" s="52">
        <v>2</v>
      </c>
      <c r="K48" s="53">
        <f t="shared" si="0"/>
        <v>13.284586000000001</v>
      </c>
      <c r="L48" s="54"/>
    </row>
    <row r="49" spans="1:12" s="55" customFormat="1" ht="19.5" customHeight="1" x14ac:dyDescent="0.3">
      <c r="A49" s="44"/>
      <c r="B49" s="45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2336</v>
      </c>
      <c r="B50" s="76" t="s">
        <v>2332</v>
      </c>
      <c r="C50" s="77">
        <v>25.76</v>
      </c>
      <c r="D50" s="47" t="s">
        <v>2333</v>
      </c>
      <c r="E50" s="48">
        <v>12</v>
      </c>
      <c r="F50" s="49">
        <v>4.8</v>
      </c>
      <c r="G50" s="50" t="s">
        <v>2334</v>
      </c>
      <c r="H50" s="51">
        <v>1829</v>
      </c>
      <c r="I50" s="45">
        <v>3353</v>
      </c>
      <c r="J50" s="52">
        <v>3</v>
      </c>
      <c r="K50" s="53">
        <f t="shared" si="0"/>
        <v>18.397911000000001</v>
      </c>
      <c r="L50" s="54" t="s">
        <v>2338</v>
      </c>
    </row>
    <row r="51" spans="1:12" s="55" customFormat="1" ht="19.5" customHeight="1" x14ac:dyDescent="0.3">
      <c r="A51" s="44" t="s">
        <v>2364</v>
      </c>
      <c r="B51" s="76" t="s">
        <v>2332</v>
      </c>
      <c r="C51" s="77">
        <v>25.76</v>
      </c>
      <c r="D51" s="47" t="s">
        <v>2333</v>
      </c>
      <c r="E51" s="48">
        <v>12</v>
      </c>
      <c r="F51" s="49">
        <v>4.8</v>
      </c>
      <c r="G51" s="50"/>
      <c r="H51" s="51"/>
      <c r="I51" s="45"/>
      <c r="J51" s="52"/>
      <c r="K51" s="53">
        <f t="shared" si="0"/>
        <v>0</v>
      </c>
      <c r="L51" s="54" t="s">
        <v>2338</v>
      </c>
    </row>
    <row r="52" spans="1:12" s="55" customFormat="1" ht="19.5" customHeight="1" x14ac:dyDescent="0.3">
      <c r="A52" s="44" t="s">
        <v>2337</v>
      </c>
      <c r="B52" s="76" t="s">
        <v>2332</v>
      </c>
      <c r="C52" s="77">
        <v>25.76</v>
      </c>
      <c r="D52" s="47" t="s">
        <v>2333</v>
      </c>
      <c r="E52" s="48">
        <v>12</v>
      </c>
      <c r="F52" s="49">
        <v>4.8</v>
      </c>
      <c r="G52" s="50"/>
      <c r="H52" s="51"/>
      <c r="I52" s="45"/>
      <c r="J52" s="52"/>
      <c r="K52" s="53">
        <f t="shared" si="0"/>
        <v>0</v>
      </c>
      <c r="L52" s="54" t="s">
        <v>2338</v>
      </c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2339</v>
      </c>
      <c r="B54" s="45" t="s">
        <v>2340</v>
      </c>
      <c r="C54" s="77">
        <v>24</v>
      </c>
      <c r="D54" s="47" t="s">
        <v>2341</v>
      </c>
      <c r="E54" s="48">
        <v>3</v>
      </c>
      <c r="F54" s="49">
        <v>1.26</v>
      </c>
      <c r="G54" s="50"/>
      <c r="H54" s="51"/>
      <c r="I54" s="45"/>
      <c r="J54" s="52"/>
      <c r="K54" s="53">
        <f t="shared" si="0"/>
        <v>0</v>
      </c>
      <c r="L54" s="54" t="s">
        <v>2342</v>
      </c>
    </row>
    <row r="55" spans="1:12" s="55" customFormat="1" ht="19.5" customHeight="1" x14ac:dyDescent="0.3">
      <c r="A55" s="44"/>
      <c r="B55" s="45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2343</v>
      </c>
      <c r="B56" s="76" t="s">
        <v>2344</v>
      </c>
      <c r="C56" s="77">
        <v>22</v>
      </c>
      <c r="D56" s="47" t="s">
        <v>2345</v>
      </c>
      <c r="E56" s="48">
        <v>24</v>
      </c>
      <c r="F56" s="49">
        <v>22.82</v>
      </c>
      <c r="G56" s="50" t="s">
        <v>2325</v>
      </c>
      <c r="H56" s="51">
        <v>2134</v>
      </c>
      <c r="I56" s="45">
        <v>3353</v>
      </c>
      <c r="J56" s="52">
        <v>2</v>
      </c>
      <c r="K56" s="53">
        <f t="shared" si="0"/>
        <v>14.310604</v>
      </c>
      <c r="L56" s="54"/>
    </row>
    <row r="57" spans="1:12" s="55" customFormat="1" ht="19.5" customHeight="1" x14ac:dyDescent="0.3">
      <c r="A57" s="44"/>
      <c r="B57" s="45"/>
      <c r="C57" s="77">
        <v>22</v>
      </c>
      <c r="D57" s="47" t="s">
        <v>2346</v>
      </c>
      <c r="E57" s="48">
        <v>4</v>
      </c>
      <c r="F57" s="49">
        <v>6.16</v>
      </c>
      <c r="G57" s="50" t="s">
        <v>2325</v>
      </c>
      <c r="H57" s="51">
        <v>1981</v>
      </c>
      <c r="I57" s="45">
        <v>3353</v>
      </c>
      <c r="J57" s="52">
        <v>2</v>
      </c>
      <c r="K57" s="53">
        <f t="shared" si="0"/>
        <v>13.284586000000001</v>
      </c>
      <c r="L57" s="54"/>
    </row>
    <row r="58" spans="1:12" s="55" customFormat="1" ht="19.5" customHeight="1" x14ac:dyDescent="0.3">
      <c r="A58" s="44"/>
      <c r="B58" s="45"/>
      <c r="C58" s="77"/>
      <c r="D58" s="47"/>
      <c r="E58" s="48"/>
      <c r="F58" s="49"/>
      <c r="G58" s="50" t="s">
        <v>2325</v>
      </c>
      <c r="H58" s="51">
        <v>2438</v>
      </c>
      <c r="I58" s="45">
        <v>3353</v>
      </c>
      <c r="J58" s="52">
        <v>2</v>
      </c>
      <c r="K58" s="53">
        <f t="shared" si="0"/>
        <v>16.349228</v>
      </c>
      <c r="L58" s="54"/>
    </row>
    <row r="59" spans="1:12" s="55" customFormat="1" ht="19.5" customHeight="1" x14ac:dyDescent="0.3">
      <c r="A59" s="44"/>
      <c r="B59" s="76"/>
      <c r="C59" s="77"/>
      <c r="D59" s="78"/>
      <c r="E59" s="48"/>
      <c r="F59" s="49"/>
      <c r="G59" s="50" t="s">
        <v>2335</v>
      </c>
      <c r="H59" s="51">
        <v>1981</v>
      </c>
      <c r="I59" s="45">
        <v>3353</v>
      </c>
      <c r="J59" s="52">
        <v>4</v>
      </c>
      <c r="K59" s="53">
        <f t="shared" si="0"/>
        <v>26.569172000000002</v>
      </c>
      <c r="L59" s="54"/>
    </row>
    <row r="60" spans="1:12" s="55" customFormat="1" ht="19.5" customHeight="1" x14ac:dyDescent="0.3">
      <c r="A60" s="44"/>
      <c r="B60" s="45"/>
      <c r="C60" s="77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2347</v>
      </c>
      <c r="B61" s="76" t="s">
        <v>2348</v>
      </c>
      <c r="C61" s="77">
        <v>26.76</v>
      </c>
      <c r="D61" s="78" t="s">
        <v>2352</v>
      </c>
      <c r="E61" s="48">
        <v>8</v>
      </c>
      <c r="F61" s="49">
        <v>12.83</v>
      </c>
      <c r="G61" s="50" t="s">
        <v>2330</v>
      </c>
      <c r="H61" s="51">
        <v>1981</v>
      </c>
      <c r="I61" s="45">
        <v>3048</v>
      </c>
      <c r="J61" s="52">
        <v>3</v>
      </c>
      <c r="K61" s="53">
        <f t="shared" si="0"/>
        <v>18.114264000000002</v>
      </c>
      <c r="L61" s="54"/>
    </row>
    <row r="62" spans="1:12" s="55" customFormat="1" ht="19.5" customHeight="1" x14ac:dyDescent="0.3">
      <c r="A62" s="44"/>
      <c r="B62" s="45"/>
      <c r="C62" s="77">
        <v>24</v>
      </c>
      <c r="D62" s="47" t="s">
        <v>2349</v>
      </c>
      <c r="E62" s="48">
        <v>8</v>
      </c>
      <c r="F62" s="49">
        <v>2.52</v>
      </c>
      <c r="G62" s="50" t="s">
        <v>2351</v>
      </c>
      <c r="H62" s="51">
        <v>2134</v>
      </c>
      <c r="I62" s="45">
        <v>3353</v>
      </c>
      <c r="J62" s="52">
        <v>4</v>
      </c>
      <c r="K62" s="53">
        <f t="shared" si="0"/>
        <v>28.621207999999999</v>
      </c>
      <c r="L62" s="54"/>
    </row>
    <row r="63" spans="1:12" s="55" customFormat="1" ht="19.5" customHeight="1" x14ac:dyDescent="0.3">
      <c r="A63" s="44"/>
      <c r="B63" s="45"/>
      <c r="C63" s="46">
        <v>24</v>
      </c>
      <c r="D63" s="47" t="s">
        <v>2350</v>
      </c>
      <c r="E63" s="48">
        <v>16</v>
      </c>
      <c r="F63" s="49">
        <v>11.14</v>
      </c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2353</v>
      </c>
      <c r="B65" s="76" t="s">
        <v>2348</v>
      </c>
      <c r="C65" s="46">
        <v>24</v>
      </c>
      <c r="D65" s="47" t="s">
        <v>2349</v>
      </c>
      <c r="E65" s="48">
        <v>12</v>
      </c>
      <c r="F65" s="49">
        <v>17.510000000000002</v>
      </c>
      <c r="G65" s="50" t="s">
        <v>2330</v>
      </c>
      <c r="H65" s="51">
        <v>1981</v>
      </c>
      <c r="I65" s="45">
        <v>3048</v>
      </c>
      <c r="J65" s="52">
        <v>7</v>
      </c>
      <c r="K65" s="53">
        <f t="shared" si="0"/>
        <v>42.266616000000006</v>
      </c>
      <c r="L65" s="54"/>
    </row>
    <row r="66" spans="1:12" s="55" customFormat="1" ht="19.5" customHeight="1" x14ac:dyDescent="0.3">
      <c r="A66" s="44"/>
      <c r="B66" s="76"/>
      <c r="C66" s="46"/>
      <c r="D66" s="47"/>
      <c r="E66" s="48"/>
      <c r="F66" s="49"/>
      <c r="G66" s="50"/>
      <c r="H66" s="51"/>
      <c r="I66" s="45"/>
      <c r="J66" s="52"/>
      <c r="K66" s="53">
        <f t="shared" ref="K66:K80" si="1">(H66/1000*I66/1000)*J66</f>
        <v>0</v>
      </c>
      <c r="L66" s="54"/>
    </row>
    <row r="67" spans="1:12" s="55" customFormat="1" ht="19.5" customHeight="1" x14ac:dyDescent="0.3">
      <c r="A67" s="44" t="s">
        <v>2354</v>
      </c>
      <c r="B67" s="76" t="s">
        <v>2355</v>
      </c>
      <c r="C67" s="46">
        <v>22</v>
      </c>
      <c r="D67" s="47" t="s">
        <v>2345</v>
      </c>
      <c r="E67" s="48">
        <v>9</v>
      </c>
      <c r="F67" s="49">
        <v>13.07</v>
      </c>
      <c r="G67" s="50" t="s">
        <v>2325</v>
      </c>
      <c r="H67" s="51">
        <v>1981</v>
      </c>
      <c r="I67" s="45">
        <v>3353</v>
      </c>
      <c r="J67" s="52">
        <v>3</v>
      </c>
      <c r="K67" s="53">
        <f t="shared" si="1"/>
        <v>19.926879</v>
      </c>
      <c r="L67" s="54"/>
    </row>
    <row r="68" spans="1:12" s="55" customFormat="1" ht="19.5" customHeight="1" x14ac:dyDescent="0.3">
      <c r="A68" s="44"/>
      <c r="B68" s="76"/>
      <c r="C68" s="46"/>
      <c r="D68" s="47"/>
      <c r="E68" s="48"/>
      <c r="F68" s="49"/>
      <c r="G68" s="50" t="s">
        <v>2356</v>
      </c>
      <c r="H68" s="51">
        <v>1829</v>
      </c>
      <c r="I68" s="45">
        <v>3353</v>
      </c>
      <c r="J68" s="52">
        <v>3</v>
      </c>
      <c r="K68" s="53">
        <f t="shared" si="1"/>
        <v>18.397911000000001</v>
      </c>
      <c r="L68" s="54"/>
    </row>
    <row r="69" spans="1:12" s="55" customFormat="1" ht="19.5" customHeight="1" x14ac:dyDescent="0.3">
      <c r="A69" s="44"/>
      <c r="B69" s="76"/>
      <c r="C69" s="46"/>
      <c r="D69" s="47"/>
      <c r="E69" s="48"/>
      <c r="F69" s="49"/>
      <c r="G69" s="50"/>
      <c r="H69" s="51"/>
      <c r="I69" s="45"/>
      <c r="J69" s="52"/>
      <c r="K69" s="53">
        <f t="shared" si="1"/>
        <v>0</v>
      </c>
      <c r="L69" s="54"/>
    </row>
    <row r="70" spans="1:12" s="55" customFormat="1" ht="19.5" customHeight="1" x14ac:dyDescent="0.3">
      <c r="A70" s="94" t="s">
        <v>2236</v>
      </c>
      <c r="B70" s="76" t="s">
        <v>2005</v>
      </c>
      <c r="C70" s="77">
        <v>28</v>
      </c>
      <c r="D70" s="78" t="s">
        <v>2006</v>
      </c>
      <c r="E70" s="48">
        <v>130</v>
      </c>
      <c r="F70" s="49">
        <v>123.58</v>
      </c>
      <c r="G70" s="50" t="s">
        <v>189</v>
      </c>
      <c r="H70" s="51">
        <v>1981</v>
      </c>
      <c r="I70" s="45">
        <v>3353</v>
      </c>
      <c r="J70" s="52">
        <v>19</v>
      </c>
      <c r="K70" s="53">
        <f t="shared" si="1"/>
        <v>126.20356700000001</v>
      </c>
      <c r="L70" s="64" t="s">
        <v>2357</v>
      </c>
    </row>
    <row r="71" spans="1:12" s="55" customFormat="1" ht="19.5" customHeight="1" x14ac:dyDescent="0.3">
      <c r="A71" s="44"/>
      <c r="B71" s="76"/>
      <c r="C71" s="46"/>
      <c r="D71" s="47"/>
      <c r="E71" s="48"/>
      <c r="F71" s="49"/>
      <c r="G71" s="50"/>
      <c r="H71" s="51"/>
      <c r="I71" s="45"/>
      <c r="J71" s="52"/>
      <c r="K71" s="53">
        <f t="shared" si="1"/>
        <v>0</v>
      </c>
      <c r="L71" s="54"/>
    </row>
    <row r="72" spans="1:12" s="55" customFormat="1" ht="19.5" customHeight="1" x14ac:dyDescent="0.3">
      <c r="A72" s="44" t="s">
        <v>2358</v>
      </c>
      <c r="B72" s="76" t="s">
        <v>2359</v>
      </c>
      <c r="C72" s="46">
        <v>24</v>
      </c>
      <c r="D72" s="47" t="s">
        <v>2360</v>
      </c>
      <c r="E72" s="48">
        <v>21</v>
      </c>
      <c r="F72" s="49">
        <v>18.18</v>
      </c>
      <c r="G72" s="50" t="s">
        <v>2325</v>
      </c>
      <c r="H72" s="51">
        <v>2438</v>
      </c>
      <c r="I72" s="45">
        <v>3353</v>
      </c>
      <c r="J72" s="52">
        <v>3</v>
      </c>
      <c r="K72" s="53">
        <f t="shared" si="1"/>
        <v>24.523842000000002</v>
      </c>
      <c r="L72" s="54"/>
    </row>
    <row r="73" spans="1:12" s="55" customFormat="1" ht="19.5" customHeight="1" x14ac:dyDescent="0.3">
      <c r="A73" s="44"/>
      <c r="B73" s="76"/>
      <c r="C73" s="46"/>
      <c r="D73" s="47"/>
      <c r="E73" s="48"/>
      <c r="F73" s="49"/>
      <c r="G73" s="50" t="s">
        <v>2361</v>
      </c>
      <c r="H73" s="51">
        <v>2438</v>
      </c>
      <c r="I73" s="45">
        <v>3353</v>
      </c>
      <c r="J73" s="52">
        <v>3</v>
      </c>
      <c r="K73" s="53">
        <f t="shared" si="1"/>
        <v>24.523842000000002</v>
      </c>
      <c r="L73" s="54"/>
    </row>
    <row r="74" spans="1:12" s="55" customFormat="1" ht="19.5" customHeight="1" x14ac:dyDescent="0.3">
      <c r="A74" s="44"/>
      <c r="B74" s="76"/>
      <c r="C74" s="46"/>
      <c r="D74" s="47"/>
      <c r="E74" s="48"/>
      <c r="F74" s="49"/>
      <c r="G74" s="50"/>
      <c r="H74" s="51"/>
      <c r="I74" s="45"/>
      <c r="J74" s="52"/>
      <c r="K74" s="53">
        <f t="shared" si="1"/>
        <v>0</v>
      </c>
      <c r="L74" s="54"/>
    </row>
    <row r="75" spans="1:12" s="55" customFormat="1" ht="19.5" customHeight="1" x14ac:dyDescent="0.3">
      <c r="A75" s="44" t="s">
        <v>2362</v>
      </c>
      <c r="B75" s="76" t="s">
        <v>2359</v>
      </c>
      <c r="C75" s="46">
        <v>24</v>
      </c>
      <c r="D75" s="47" t="s">
        <v>2360</v>
      </c>
      <c r="E75" s="48">
        <v>56</v>
      </c>
      <c r="F75" s="49">
        <v>53.81</v>
      </c>
      <c r="G75" s="50" t="s">
        <v>2325</v>
      </c>
      <c r="H75" s="51">
        <v>2438</v>
      </c>
      <c r="I75" s="45">
        <v>3353</v>
      </c>
      <c r="J75" s="52">
        <v>7</v>
      </c>
      <c r="K75" s="53">
        <f t="shared" si="1"/>
        <v>57.222298000000002</v>
      </c>
      <c r="L75" s="54"/>
    </row>
    <row r="76" spans="1:12" s="55" customFormat="1" ht="19.5" customHeight="1" x14ac:dyDescent="0.3">
      <c r="A76" s="44"/>
      <c r="B76" s="76"/>
      <c r="C76" s="46"/>
      <c r="D76" s="47"/>
      <c r="E76" s="48"/>
      <c r="F76" s="49"/>
      <c r="G76" s="50" t="s">
        <v>2361</v>
      </c>
      <c r="H76" s="51">
        <v>2438</v>
      </c>
      <c r="I76" s="45">
        <v>3353</v>
      </c>
      <c r="J76" s="52">
        <v>7</v>
      </c>
      <c r="K76" s="53">
        <f t="shared" si="1"/>
        <v>57.222298000000002</v>
      </c>
      <c r="L76" s="54"/>
    </row>
    <row r="77" spans="1:12" s="55" customFormat="1" ht="19.5" customHeight="1" x14ac:dyDescent="0.3">
      <c r="A77" s="44"/>
      <c r="B77" s="76"/>
      <c r="C77" s="46"/>
      <c r="D77" s="47"/>
      <c r="E77" s="48"/>
      <c r="F77" s="49"/>
      <c r="G77" s="50"/>
      <c r="H77" s="51"/>
      <c r="I77" s="45"/>
      <c r="J77" s="52"/>
      <c r="K77" s="53">
        <f t="shared" si="1"/>
        <v>0</v>
      </c>
      <c r="L77" s="54"/>
    </row>
    <row r="78" spans="1:12" s="55" customFormat="1" ht="19.5" customHeight="1" x14ac:dyDescent="0.3">
      <c r="A78" s="44" t="s">
        <v>2363</v>
      </c>
      <c r="B78" s="76" t="s">
        <v>2359</v>
      </c>
      <c r="C78" s="46">
        <v>24</v>
      </c>
      <c r="D78" s="47" t="s">
        <v>2360</v>
      </c>
      <c r="E78" s="48">
        <v>25</v>
      </c>
      <c r="F78" s="49">
        <v>26.94</v>
      </c>
      <c r="G78" s="50" t="s">
        <v>2325</v>
      </c>
      <c r="H78" s="51">
        <v>2438</v>
      </c>
      <c r="I78" s="45">
        <v>3353</v>
      </c>
      <c r="J78" s="52">
        <v>3</v>
      </c>
      <c r="K78" s="53">
        <f t="shared" si="1"/>
        <v>24.523842000000002</v>
      </c>
      <c r="L78" s="54"/>
    </row>
    <row r="79" spans="1:12" s="55" customFormat="1" ht="19.5" customHeight="1" x14ac:dyDescent="0.3">
      <c r="A79" s="44"/>
      <c r="B79" s="76"/>
      <c r="C79" s="46"/>
      <c r="D79" s="47"/>
      <c r="E79" s="48"/>
      <c r="F79" s="49"/>
      <c r="G79" s="50" t="s">
        <v>2361</v>
      </c>
      <c r="H79" s="51">
        <v>2438</v>
      </c>
      <c r="I79" s="45">
        <v>3353</v>
      </c>
      <c r="J79" s="52">
        <v>3</v>
      </c>
      <c r="K79" s="53">
        <f t="shared" si="1"/>
        <v>24.523842000000002</v>
      </c>
      <c r="L79" s="54"/>
    </row>
    <row r="80" spans="1:12" s="55" customFormat="1" ht="19.5" customHeight="1" x14ac:dyDescent="0.3">
      <c r="A80" s="44"/>
      <c r="B80" s="76"/>
      <c r="C80" s="46"/>
      <c r="D80" s="47"/>
      <c r="E80" s="48"/>
      <c r="F80" s="49"/>
      <c r="G80" s="50"/>
      <c r="H80" s="51"/>
      <c r="I80" s="45"/>
      <c r="J80" s="52"/>
      <c r="K80" s="53">
        <f t="shared" si="1"/>
        <v>0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9" customFormat="1" ht="20.100000000000001" customHeight="1" x14ac:dyDescent="0.3">
      <c r="A82" s="44"/>
      <c r="B82" s="45"/>
      <c r="C82" s="46"/>
      <c r="D82" s="47"/>
      <c r="E82" s="56"/>
      <c r="F82" s="57"/>
      <c r="G82" s="50"/>
      <c r="H82" s="51"/>
      <c r="I82" s="45"/>
      <c r="J82" s="52"/>
      <c r="K82" s="53">
        <f t="shared" si="0"/>
        <v>0</v>
      </c>
      <c r="L82" s="58">
        <f>SUM(J40:J83)</f>
        <v>87</v>
      </c>
    </row>
    <row r="83" spans="1:12" s="59" customFormat="1" ht="20.100000000000001" customHeight="1" x14ac:dyDescent="0.3">
      <c r="A83" s="44"/>
      <c r="B83" s="45"/>
      <c r="C83" s="46"/>
      <c r="D83" s="47"/>
      <c r="E83" s="60"/>
      <c r="F83" s="61"/>
      <c r="G83" s="62"/>
      <c r="H83" s="51"/>
      <c r="I83" s="45"/>
      <c r="J83" s="63"/>
      <c r="K83" s="53">
        <f t="shared" si="0"/>
        <v>0</v>
      </c>
      <c r="L83" s="64">
        <f>SUM(K40:K83)</f>
        <v>619.73465800000008</v>
      </c>
    </row>
    <row r="84" spans="1:12" s="59" customFormat="1" ht="20.100000000000001" customHeight="1" thickBot="1" x14ac:dyDescent="0.35">
      <c r="A84" s="114"/>
      <c r="B84" s="115"/>
      <c r="C84" s="115"/>
      <c r="D84" s="115"/>
      <c r="E84" s="115"/>
      <c r="F84" s="115"/>
      <c r="G84" s="115"/>
      <c r="H84" s="115"/>
      <c r="I84" s="115"/>
      <c r="J84" s="65">
        <f>SUM(J7:J83)</f>
        <v>87</v>
      </c>
      <c r="K84" s="66">
        <f>SUM(K7:K83)</f>
        <v>619.73465800000008</v>
      </c>
      <c r="L84" s="67"/>
    </row>
    <row r="85" spans="1:12" s="59" customFormat="1" ht="20.100000000000001" customHeight="1" thickTop="1" thickBot="1" x14ac:dyDescent="0.35">
      <c r="A85" s="116" t="s">
        <v>52</v>
      </c>
      <c r="B85" s="117"/>
      <c r="C85" s="68"/>
      <c r="D85" s="118">
        <f>J84</f>
        <v>87</v>
      </c>
      <c r="E85" s="119"/>
      <c r="F85" s="119"/>
      <c r="G85" s="120"/>
      <c r="H85" s="121"/>
      <c r="I85" s="121"/>
      <c r="J85" s="122"/>
      <c r="K85" s="119"/>
      <c r="L85" s="123"/>
    </row>
    <row r="86" spans="1:12" s="59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71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72"/>
      <c r="F91" s="5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5"/>
      <c r="G92" s="73"/>
      <c r="H92" s="5"/>
      <c r="I92" s="74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113"/>
      <c r="B95" s="113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72"/>
      <c r="I96" s="72"/>
      <c r="J96" s="5"/>
      <c r="K96" s="5"/>
      <c r="L96" s="5"/>
    </row>
    <row r="97" spans="1:12" ht="20.100000000000001" customHeight="1" x14ac:dyDescent="0.3">
      <c r="A97" s="113"/>
      <c r="B97" s="113"/>
      <c r="H97" s="72"/>
      <c r="I97" s="72"/>
    </row>
    <row r="98" spans="1:12" ht="20.100000000000001" customHeight="1" x14ac:dyDescent="0.3"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A100" s="113"/>
      <c r="B100" s="113"/>
      <c r="H100" s="72"/>
      <c r="I100" s="72"/>
    </row>
    <row r="101" spans="1:12" ht="20.100000000000001" customHeight="1" x14ac:dyDescent="0.3">
      <c r="A101" s="113"/>
      <c r="B101" s="113"/>
      <c r="H101" s="72"/>
      <c r="I101" s="72"/>
    </row>
    <row r="102" spans="1:12" ht="20.100000000000001" customHeight="1" x14ac:dyDescent="0.3"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H104" s="72"/>
      <c r="I104" s="72"/>
    </row>
    <row r="105" spans="1:12" s="72" customFormat="1" ht="20.100000000000001" customHeight="1" x14ac:dyDescent="0.3">
      <c r="A105" s="69"/>
      <c r="B105" s="5"/>
      <c r="C105" s="5"/>
      <c r="D105" s="5"/>
      <c r="E105" s="5"/>
      <c r="F105" s="70"/>
      <c r="G105" s="5"/>
      <c r="J105" s="5"/>
      <c r="K105" s="5"/>
      <c r="L105" s="5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5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5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5" customFormat="1" ht="19.5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2" customFormat="1" ht="20.100000000000001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ht="19.5" customHeight="1" x14ac:dyDescent="0.3"/>
    <row r="113" spans="2:12" ht="19.5" customHeight="1" x14ac:dyDescent="0.3"/>
    <row r="114" spans="2:12" ht="19.5" customHeight="1" x14ac:dyDescent="0.3"/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>
        <v>2</v>
      </c>
      <c r="C175" s="5"/>
      <c r="D175" s="5"/>
      <c r="E175" s="5"/>
      <c r="F175" s="70"/>
      <c r="G175" s="5"/>
      <c r="H175" s="5"/>
      <c r="I175" s="5"/>
      <c r="J175" s="5"/>
      <c r="K175" s="5"/>
      <c r="L175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0:B9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4:I84"/>
    <mergeCell ref="A85:B85"/>
    <mergeCell ref="D85:G85"/>
    <mergeCell ref="H85:J85"/>
    <mergeCell ref="K85:L85"/>
    <mergeCell ref="A100:B100"/>
    <mergeCell ref="A101:B101"/>
    <mergeCell ref="A91:B91"/>
    <mergeCell ref="A92:B92"/>
    <mergeCell ref="A93:B93"/>
    <mergeCell ref="A95:B95"/>
    <mergeCell ref="A96:B96"/>
    <mergeCell ref="A97:B97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L160"/>
  <sheetViews>
    <sheetView view="pageBreakPreview" topLeftCell="F16" zoomScale="85" zoomScaleSheetLayoutView="85" workbookViewId="0">
      <selection activeCell="L7" sqref="L7:L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46101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8" si="0">(H7/1000*I7/1000)*J7</f>
        <v>0</v>
      </c>
      <c r="L7" s="26">
        <f>SUM(J7:J39)</f>
        <v>99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SUM(K7:K39)</f>
        <v>670.80420300000003</v>
      </c>
    </row>
    <row r="9" spans="1:12" s="27" customFormat="1" ht="19.5" customHeight="1" x14ac:dyDescent="0.3">
      <c r="A9" s="17" t="s">
        <v>2287</v>
      </c>
      <c r="B9" s="93" t="s">
        <v>2288</v>
      </c>
      <c r="C9" s="17">
        <v>24</v>
      </c>
      <c r="D9" s="18" t="s">
        <v>2289</v>
      </c>
      <c r="E9" s="41">
        <v>12</v>
      </c>
      <c r="F9" s="42">
        <v>15.72</v>
      </c>
      <c r="G9" s="34" t="s">
        <v>2290</v>
      </c>
      <c r="H9" s="35">
        <v>2438</v>
      </c>
      <c r="I9" s="36">
        <v>3353</v>
      </c>
      <c r="J9" s="37">
        <v>3</v>
      </c>
      <c r="K9" s="38">
        <f t="shared" si="0"/>
        <v>24.523842000000002</v>
      </c>
      <c r="L9" s="39" t="s">
        <v>2294</v>
      </c>
    </row>
    <row r="10" spans="1:12" s="27" customFormat="1" ht="19.5" customHeight="1" x14ac:dyDescent="0.3">
      <c r="A10" s="28" t="s">
        <v>2291</v>
      </c>
      <c r="B10" s="16" t="s">
        <v>2292</v>
      </c>
      <c r="C10" s="17">
        <v>26</v>
      </c>
      <c r="D10" s="18" t="s">
        <v>2289</v>
      </c>
      <c r="E10" s="81">
        <v>1</v>
      </c>
      <c r="F10" s="82">
        <v>1.36</v>
      </c>
      <c r="G10" s="34" t="s">
        <v>2293</v>
      </c>
      <c r="H10" s="35">
        <v>2438</v>
      </c>
      <c r="I10" s="36">
        <v>3353</v>
      </c>
      <c r="J10" s="37">
        <v>3</v>
      </c>
      <c r="K10" s="38">
        <f t="shared" si="0"/>
        <v>24.523842000000002</v>
      </c>
      <c r="L10" s="39" t="s">
        <v>2294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2295</v>
      </c>
      <c r="B12" s="16" t="s">
        <v>2296</v>
      </c>
      <c r="C12" s="17">
        <v>8</v>
      </c>
      <c r="D12" s="18" t="s">
        <v>2297</v>
      </c>
      <c r="E12" s="41">
        <v>1</v>
      </c>
      <c r="F12" s="42">
        <v>3.36</v>
      </c>
      <c r="G12" s="34" t="s">
        <v>2298</v>
      </c>
      <c r="H12" s="35">
        <v>2438</v>
      </c>
      <c r="I12" s="36">
        <v>3048</v>
      </c>
      <c r="J12" s="37">
        <v>1</v>
      </c>
      <c r="K12" s="38">
        <f t="shared" si="0"/>
        <v>7.4310240000000007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2299</v>
      </c>
      <c r="B14" s="16" t="s">
        <v>2300</v>
      </c>
      <c r="C14" s="17">
        <v>28</v>
      </c>
      <c r="D14" s="18" t="s">
        <v>2301</v>
      </c>
      <c r="E14" s="41">
        <v>9</v>
      </c>
      <c r="F14" s="42">
        <v>43.55</v>
      </c>
      <c r="G14" s="34" t="s">
        <v>2304</v>
      </c>
      <c r="H14" s="35">
        <v>2438</v>
      </c>
      <c r="I14" s="36">
        <v>3353</v>
      </c>
      <c r="J14" s="37">
        <v>14</v>
      </c>
      <c r="K14" s="38">
        <f t="shared" si="0"/>
        <v>114.444596</v>
      </c>
      <c r="L14" s="39"/>
    </row>
    <row r="15" spans="1:12" s="27" customFormat="1" ht="19.5" customHeight="1" x14ac:dyDescent="0.3">
      <c r="A15" s="28"/>
      <c r="B15" s="16"/>
      <c r="C15" s="17">
        <v>28</v>
      </c>
      <c r="D15" s="18" t="s">
        <v>2302</v>
      </c>
      <c r="E15" s="41">
        <v>10</v>
      </c>
      <c r="F15" s="42">
        <v>44.2</v>
      </c>
      <c r="G15" s="34" t="s">
        <v>2305</v>
      </c>
      <c r="H15" s="35">
        <v>2134</v>
      </c>
      <c r="I15" s="36">
        <v>3353</v>
      </c>
      <c r="J15" s="37">
        <v>2</v>
      </c>
      <c r="K15" s="38">
        <f t="shared" si="0"/>
        <v>14.310604</v>
      </c>
      <c r="L15" s="39"/>
    </row>
    <row r="16" spans="1:12" s="27" customFormat="1" ht="19.5" customHeight="1" x14ac:dyDescent="0.3">
      <c r="A16" s="28"/>
      <c r="B16" s="16"/>
      <c r="C16" s="17">
        <v>26</v>
      </c>
      <c r="D16" s="18" t="s">
        <v>2303</v>
      </c>
      <c r="E16" s="81">
        <v>2</v>
      </c>
      <c r="F16" s="82">
        <v>11.32</v>
      </c>
      <c r="G16" s="34" t="s">
        <v>2305</v>
      </c>
      <c r="H16" s="35">
        <v>2438</v>
      </c>
      <c r="I16" s="36">
        <v>3353</v>
      </c>
      <c r="J16" s="37">
        <v>2</v>
      </c>
      <c r="K16" s="38">
        <f t="shared" si="0"/>
        <v>16.349228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 t="s">
        <v>2305</v>
      </c>
      <c r="H17" s="35">
        <v>1981</v>
      </c>
      <c r="I17" s="36">
        <v>3353</v>
      </c>
      <c r="J17" s="37">
        <v>11</v>
      </c>
      <c r="K17" s="38">
        <f t="shared" si="0"/>
        <v>73.065223000000003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2306</v>
      </c>
      <c r="H18" s="35">
        <v>2134</v>
      </c>
      <c r="I18" s="36">
        <v>3353</v>
      </c>
      <c r="J18" s="37">
        <v>2</v>
      </c>
      <c r="K18" s="38">
        <f t="shared" si="0"/>
        <v>14.310604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 t="s">
        <v>2293</v>
      </c>
      <c r="H19" s="35">
        <v>1981</v>
      </c>
      <c r="I19" s="36">
        <v>3353</v>
      </c>
      <c r="J19" s="37">
        <v>2</v>
      </c>
      <c r="K19" s="38">
        <f t="shared" si="0"/>
        <v>13.284586000000001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2307</v>
      </c>
      <c r="B21" s="16" t="s">
        <v>2308</v>
      </c>
      <c r="C21" s="17">
        <v>44</v>
      </c>
      <c r="D21" s="18" t="s">
        <v>2258</v>
      </c>
      <c r="E21" s="41">
        <v>2</v>
      </c>
      <c r="F21" s="42">
        <v>2.94</v>
      </c>
      <c r="G21" s="34"/>
      <c r="H21" s="35"/>
      <c r="I21" s="36"/>
      <c r="J21" s="37"/>
      <c r="K21" s="38">
        <f t="shared" si="0"/>
        <v>0</v>
      </c>
      <c r="L21" s="39" t="s">
        <v>2310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2311</v>
      </c>
      <c r="B23" s="16" t="s">
        <v>2312</v>
      </c>
      <c r="C23" s="17">
        <v>39</v>
      </c>
      <c r="D23" s="18" t="s">
        <v>2313</v>
      </c>
      <c r="E23" s="41">
        <v>5</v>
      </c>
      <c r="F23" s="42">
        <v>6.56</v>
      </c>
      <c r="G23" s="34" t="s">
        <v>2293</v>
      </c>
      <c r="H23" s="35">
        <v>2590</v>
      </c>
      <c r="I23" s="36">
        <v>3353</v>
      </c>
      <c r="J23" s="37">
        <v>1</v>
      </c>
      <c r="K23" s="38">
        <f t="shared" si="0"/>
        <v>8.6842699999999979</v>
      </c>
      <c r="L23" s="39" t="s">
        <v>2314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2315</v>
      </c>
      <c r="B25" s="16" t="s">
        <v>2316</v>
      </c>
      <c r="C25" s="17">
        <v>28</v>
      </c>
      <c r="D25" s="18" t="s">
        <v>2317</v>
      </c>
      <c r="E25" s="41">
        <v>193</v>
      </c>
      <c r="F25" s="42">
        <v>224.56</v>
      </c>
      <c r="G25" s="34" t="s">
        <v>2305</v>
      </c>
      <c r="H25" s="35">
        <v>1981</v>
      </c>
      <c r="I25" s="36">
        <v>3048</v>
      </c>
      <c r="J25" s="37">
        <v>42</v>
      </c>
      <c r="K25" s="38">
        <f t="shared" si="0"/>
        <v>253.59969600000005</v>
      </c>
      <c r="L25" s="39" t="s">
        <v>2318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 t="s">
        <v>2319</v>
      </c>
      <c r="B27" s="16" t="s">
        <v>2316</v>
      </c>
      <c r="C27" s="17">
        <v>28</v>
      </c>
      <c r="D27" s="18" t="s">
        <v>2317</v>
      </c>
      <c r="E27" s="41">
        <v>63</v>
      </c>
      <c r="F27" s="42">
        <v>100.98</v>
      </c>
      <c r="G27" s="34" t="s">
        <v>2305</v>
      </c>
      <c r="H27" s="35">
        <v>1981</v>
      </c>
      <c r="I27" s="36">
        <v>3353</v>
      </c>
      <c r="J27" s="37">
        <v>16</v>
      </c>
      <c r="K27" s="38">
        <f t="shared" si="0"/>
        <v>106.27668800000001</v>
      </c>
      <c r="L27" s="39" t="s">
        <v>2320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81"/>
      <c r="F37" s="8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/>
      <c r="B39" s="29"/>
      <c r="C39" s="30"/>
      <c r="D39" s="31"/>
      <c r="E39" s="41"/>
      <c r="F39" s="42"/>
      <c r="G39" s="43"/>
      <c r="H39" s="35"/>
      <c r="I39" s="36"/>
      <c r="J39" s="37"/>
      <c r="K39" s="38">
        <f t="shared" si="0"/>
        <v>0</v>
      </c>
      <c r="L39" s="39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/>
      <c r="B42" s="45"/>
      <c r="C42" s="77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/>
      <c r="B43" s="76"/>
      <c r="C43" s="77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/>
      <c r="B45" s="45"/>
      <c r="C45" s="77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76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45"/>
      <c r="C50" s="77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76"/>
      <c r="C51" s="77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77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77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77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76"/>
      <c r="C59" s="77"/>
      <c r="D59" s="78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77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76"/>
      <c r="C61" s="77"/>
      <c r="D61" s="78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77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9" customFormat="1" ht="20.100000000000001" customHeight="1" x14ac:dyDescent="0.3">
      <c r="A67" s="44"/>
      <c r="B67" s="45"/>
      <c r="C67" s="46"/>
      <c r="D67" s="47"/>
      <c r="E67" s="56"/>
      <c r="F67" s="57"/>
      <c r="G67" s="50"/>
      <c r="H67" s="51"/>
      <c r="I67" s="45"/>
      <c r="J67" s="52"/>
      <c r="K67" s="53">
        <f t="shared" si="0"/>
        <v>0</v>
      </c>
      <c r="L67" s="58">
        <f>SUM(J40:J68)</f>
        <v>0</v>
      </c>
    </row>
    <row r="68" spans="1:12" s="59" customFormat="1" ht="20.100000000000001" customHeight="1" x14ac:dyDescent="0.3">
      <c r="A68" s="44"/>
      <c r="B68" s="45"/>
      <c r="C68" s="46"/>
      <c r="D68" s="47"/>
      <c r="E68" s="60"/>
      <c r="F68" s="61"/>
      <c r="G68" s="62"/>
      <c r="H68" s="51"/>
      <c r="I68" s="45"/>
      <c r="J68" s="63"/>
      <c r="K68" s="53">
        <f t="shared" si="0"/>
        <v>0</v>
      </c>
      <c r="L68" s="64">
        <f>SUM(K40:K68)</f>
        <v>0</v>
      </c>
    </row>
    <row r="69" spans="1:12" s="59" customFormat="1" ht="20.100000000000001" customHeight="1" thickBot="1" x14ac:dyDescent="0.35">
      <c r="A69" s="114"/>
      <c r="B69" s="115"/>
      <c r="C69" s="115"/>
      <c r="D69" s="115"/>
      <c r="E69" s="115"/>
      <c r="F69" s="115"/>
      <c r="G69" s="115"/>
      <c r="H69" s="115"/>
      <c r="I69" s="115"/>
      <c r="J69" s="65">
        <f>SUM(J7:J68)</f>
        <v>99</v>
      </c>
      <c r="K69" s="66">
        <f>SUM(K7:K68)</f>
        <v>670.80420300000003</v>
      </c>
      <c r="L69" s="67"/>
    </row>
    <row r="70" spans="1:12" s="59" customFormat="1" ht="20.100000000000001" customHeight="1" thickTop="1" thickBot="1" x14ac:dyDescent="0.35">
      <c r="A70" s="116" t="s">
        <v>52</v>
      </c>
      <c r="B70" s="117"/>
      <c r="C70" s="68"/>
      <c r="D70" s="118">
        <f>J69</f>
        <v>99</v>
      </c>
      <c r="E70" s="119"/>
      <c r="F70" s="119"/>
      <c r="G70" s="120"/>
      <c r="H70" s="121"/>
      <c r="I70" s="121"/>
      <c r="J70" s="122"/>
      <c r="K70" s="119"/>
      <c r="L70" s="123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71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72"/>
      <c r="F76" s="5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5"/>
      <c r="G77" s="73"/>
      <c r="H77" s="5"/>
      <c r="I77" s="74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72"/>
      <c r="I81" s="72"/>
      <c r="J81" s="5"/>
      <c r="K81" s="5"/>
      <c r="L81" s="5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H89" s="72"/>
      <c r="I89" s="72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5" customFormat="1" ht="19.5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ht="19.5" customHeight="1" x14ac:dyDescent="0.3"/>
    <row r="98" spans="2:12" ht="19.5" customHeight="1" x14ac:dyDescent="0.3"/>
    <row r="99" spans="2:12" ht="19.5" customHeight="1" x14ac:dyDescent="0.3"/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>
        <v>2</v>
      </c>
      <c r="C160" s="5"/>
      <c r="D160" s="5"/>
      <c r="E160" s="5"/>
      <c r="F160" s="70"/>
      <c r="G160" s="5"/>
      <c r="H160" s="5"/>
      <c r="I160" s="5"/>
      <c r="J160" s="5"/>
      <c r="K160" s="5"/>
      <c r="L160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5:B7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9:I69"/>
    <mergeCell ref="A70:B70"/>
    <mergeCell ref="D70:G70"/>
    <mergeCell ref="H70:J70"/>
    <mergeCell ref="K70:L70"/>
    <mergeCell ref="A85:B85"/>
    <mergeCell ref="A86:B86"/>
    <mergeCell ref="A76:B76"/>
    <mergeCell ref="A77:B77"/>
    <mergeCell ref="A78:B78"/>
    <mergeCell ref="A80:B80"/>
    <mergeCell ref="A81:B81"/>
    <mergeCell ref="A82:B82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O160"/>
  <sheetViews>
    <sheetView view="pageBreakPreview" topLeftCell="F7" zoomScale="85" zoomScaleSheetLayoutView="85" workbookViewId="0">
      <selection activeCell="L7" sqref="L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4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4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4" ht="20.100000000000001" customHeight="1" thickBot="1" x14ac:dyDescent="0.35">
      <c r="A3" s="144" t="s">
        <v>1</v>
      </c>
      <c r="B3" s="145"/>
      <c r="C3" s="146">
        <v>46100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4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4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4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4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8" si="0">(H7/1000*I7/1000)*J7</f>
        <v>0</v>
      </c>
      <c r="L7" s="26">
        <f>SUM(J7:J39)</f>
        <v>46</v>
      </c>
    </row>
    <row r="8" spans="1:14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SUM(K7:K39)</f>
        <v>335.34184099999999</v>
      </c>
    </row>
    <row r="9" spans="1:14" s="27" customFormat="1" ht="19.5" customHeight="1" x14ac:dyDescent="0.3">
      <c r="A9" s="28" t="s">
        <v>2242</v>
      </c>
      <c r="B9" s="16" t="s">
        <v>2243</v>
      </c>
      <c r="C9" s="17">
        <v>5</v>
      </c>
      <c r="D9" s="18" t="s">
        <v>2244</v>
      </c>
      <c r="E9" s="41">
        <v>6</v>
      </c>
      <c r="F9" s="42">
        <v>12.07</v>
      </c>
      <c r="G9" s="34" t="s">
        <v>2245</v>
      </c>
      <c r="H9" s="35">
        <v>2590</v>
      </c>
      <c r="I9" s="36">
        <v>3048</v>
      </c>
      <c r="J9" s="37">
        <v>2</v>
      </c>
      <c r="K9" s="38">
        <f t="shared" si="0"/>
        <v>15.788639999999999</v>
      </c>
      <c r="L9" s="39"/>
      <c r="N9" s="91"/>
    </row>
    <row r="10" spans="1:14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39"/>
      <c r="N10" s="91"/>
    </row>
    <row r="11" spans="1:14" s="27" customFormat="1" ht="19.5" customHeight="1" x14ac:dyDescent="0.3">
      <c r="A11" s="28" t="s">
        <v>2246</v>
      </c>
      <c r="B11" s="16" t="s">
        <v>2247</v>
      </c>
      <c r="C11" s="17">
        <v>28</v>
      </c>
      <c r="D11" s="18" t="s">
        <v>2248</v>
      </c>
      <c r="E11" s="41">
        <v>19</v>
      </c>
      <c r="F11" s="42">
        <v>25.9</v>
      </c>
      <c r="G11" s="34" t="s">
        <v>2249</v>
      </c>
      <c r="H11" s="35">
        <v>2438</v>
      </c>
      <c r="I11" s="36">
        <v>3353</v>
      </c>
      <c r="J11" s="37">
        <v>4</v>
      </c>
      <c r="K11" s="38">
        <f t="shared" si="0"/>
        <v>32.698456</v>
      </c>
      <c r="L11" s="39"/>
      <c r="N11" s="91"/>
    </row>
    <row r="12" spans="1:14" s="27" customFormat="1" ht="19.5" customHeight="1" x14ac:dyDescent="0.3">
      <c r="A12" s="28"/>
      <c r="B12" s="16"/>
      <c r="C12" s="17"/>
      <c r="D12" s="18"/>
      <c r="E12" s="41"/>
      <c r="F12" s="42"/>
      <c r="G12" s="34" t="s">
        <v>2250</v>
      </c>
      <c r="H12" s="35">
        <v>2438</v>
      </c>
      <c r="I12" s="36">
        <v>3353</v>
      </c>
      <c r="J12" s="37">
        <v>4</v>
      </c>
      <c r="K12" s="38">
        <f t="shared" si="0"/>
        <v>32.698456</v>
      </c>
      <c r="L12" s="39"/>
      <c r="N12" s="91"/>
    </row>
    <row r="13" spans="1:14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  <c r="N13" s="91"/>
    </row>
    <row r="14" spans="1:14" s="27" customFormat="1" ht="19.5" customHeight="1" x14ac:dyDescent="0.3">
      <c r="A14" s="28" t="s">
        <v>2251</v>
      </c>
      <c r="B14" s="16" t="s">
        <v>2252</v>
      </c>
      <c r="C14" s="17">
        <v>28</v>
      </c>
      <c r="D14" s="18" t="s">
        <v>2284</v>
      </c>
      <c r="E14" s="41">
        <v>22</v>
      </c>
      <c r="F14" s="42">
        <v>25.49</v>
      </c>
      <c r="G14" s="34" t="s">
        <v>2250</v>
      </c>
      <c r="H14" s="35">
        <v>1981</v>
      </c>
      <c r="I14" s="36">
        <v>3048</v>
      </c>
      <c r="J14" s="37">
        <v>5</v>
      </c>
      <c r="K14" s="38">
        <f t="shared" si="0"/>
        <v>30.190440000000006</v>
      </c>
      <c r="L14" s="39" t="s">
        <v>2253</v>
      </c>
      <c r="N14" s="91"/>
    </row>
    <row r="15" spans="1:14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  <c r="N15" s="91"/>
    </row>
    <row r="16" spans="1:14" s="27" customFormat="1" ht="19.5" customHeight="1" x14ac:dyDescent="0.3">
      <c r="A16" s="28" t="s">
        <v>2254</v>
      </c>
      <c r="B16" s="16" t="s">
        <v>2247</v>
      </c>
      <c r="C16" s="17">
        <v>28</v>
      </c>
      <c r="D16" s="18" t="s">
        <v>2255</v>
      </c>
      <c r="E16" s="81">
        <v>1</v>
      </c>
      <c r="F16" s="82">
        <v>3.35</v>
      </c>
      <c r="G16" s="34" t="s">
        <v>2256</v>
      </c>
      <c r="H16" s="35">
        <v>3050</v>
      </c>
      <c r="I16" s="36">
        <v>4000</v>
      </c>
      <c r="J16" s="37">
        <v>1</v>
      </c>
      <c r="K16" s="38">
        <f t="shared" si="0"/>
        <v>12.2</v>
      </c>
      <c r="L16" s="39" t="s">
        <v>2257</v>
      </c>
      <c r="N16" s="91"/>
    </row>
    <row r="17" spans="1:14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38">
        <f t="shared" si="0"/>
        <v>0</v>
      </c>
      <c r="L17" s="39"/>
      <c r="N17" s="91"/>
    </row>
    <row r="18" spans="1:14" s="27" customFormat="1" ht="19.5" customHeight="1" x14ac:dyDescent="0.3">
      <c r="A18" s="28" t="s">
        <v>2254</v>
      </c>
      <c r="B18" s="16" t="s">
        <v>2247</v>
      </c>
      <c r="C18" s="17">
        <v>44</v>
      </c>
      <c r="D18" s="18" t="s">
        <v>2258</v>
      </c>
      <c r="E18" s="41">
        <v>2</v>
      </c>
      <c r="F18" s="42">
        <v>2.94</v>
      </c>
      <c r="G18" s="34" t="s">
        <v>2249</v>
      </c>
      <c r="H18" s="35">
        <v>2438</v>
      </c>
      <c r="I18" s="36">
        <v>3353</v>
      </c>
      <c r="J18" s="37">
        <v>1</v>
      </c>
      <c r="K18" s="38">
        <f t="shared" si="0"/>
        <v>8.174614</v>
      </c>
      <c r="L18" s="39" t="s">
        <v>2309</v>
      </c>
      <c r="N18" s="91"/>
    </row>
    <row r="19" spans="1:14" s="27" customFormat="1" ht="19.5" customHeight="1" x14ac:dyDescent="0.3">
      <c r="A19" s="28"/>
      <c r="B19" s="16"/>
      <c r="C19" s="17">
        <v>28</v>
      </c>
      <c r="D19" s="18" t="s">
        <v>2259</v>
      </c>
      <c r="E19" s="41">
        <v>1</v>
      </c>
      <c r="F19" s="42">
        <v>0.28000000000000003</v>
      </c>
      <c r="G19" s="34" t="s">
        <v>2261</v>
      </c>
      <c r="H19" s="35">
        <v>3050</v>
      </c>
      <c r="I19" s="36">
        <v>4000</v>
      </c>
      <c r="J19" s="37">
        <v>1</v>
      </c>
      <c r="K19" s="38">
        <f t="shared" si="0"/>
        <v>12.2</v>
      </c>
      <c r="L19" s="39"/>
      <c r="N19" s="91"/>
    </row>
    <row r="20" spans="1:14" s="27" customFormat="1" ht="19.5" customHeight="1" x14ac:dyDescent="0.3">
      <c r="A20" s="28"/>
      <c r="B20" s="16"/>
      <c r="C20" s="17">
        <v>28</v>
      </c>
      <c r="D20" s="18" t="s">
        <v>2255</v>
      </c>
      <c r="E20" s="41">
        <v>10</v>
      </c>
      <c r="F20" s="42">
        <v>29.04</v>
      </c>
      <c r="G20" s="34"/>
      <c r="H20" s="35"/>
      <c r="I20" s="36"/>
      <c r="J20" s="37"/>
      <c r="K20" s="38">
        <f t="shared" si="0"/>
        <v>0</v>
      </c>
      <c r="L20" s="39"/>
      <c r="N20" s="91"/>
    </row>
    <row r="21" spans="1:14" s="27" customFormat="1" ht="19.5" customHeight="1" x14ac:dyDescent="0.3">
      <c r="A21" s="28"/>
      <c r="B21" s="16"/>
      <c r="C21" s="17">
        <v>28</v>
      </c>
      <c r="D21" s="18" t="s">
        <v>2260</v>
      </c>
      <c r="E21" s="41">
        <v>2</v>
      </c>
      <c r="F21" s="42">
        <v>7.16</v>
      </c>
      <c r="G21" s="34"/>
      <c r="H21" s="35"/>
      <c r="I21" s="36"/>
      <c r="J21" s="37"/>
      <c r="K21" s="38">
        <f t="shared" si="0"/>
        <v>0</v>
      </c>
      <c r="L21" s="39"/>
      <c r="N21" s="91"/>
    </row>
    <row r="22" spans="1:14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  <c r="N22" s="91"/>
    </row>
    <row r="23" spans="1:14" s="27" customFormat="1" ht="19.5" customHeight="1" x14ac:dyDescent="0.3">
      <c r="A23" s="28" t="s">
        <v>2262</v>
      </c>
      <c r="B23" s="16" t="s">
        <v>2263</v>
      </c>
      <c r="C23" s="17">
        <v>24</v>
      </c>
      <c r="D23" s="18" t="s">
        <v>2264</v>
      </c>
      <c r="E23" s="41">
        <v>3</v>
      </c>
      <c r="F23" s="42">
        <v>0.87</v>
      </c>
      <c r="G23" s="34"/>
      <c r="H23" s="35"/>
      <c r="I23" s="36"/>
      <c r="J23" s="37"/>
      <c r="K23" s="38">
        <f t="shared" ref="K23:K26" si="1">(H23/1000*I23/1000)*J23</f>
        <v>0</v>
      </c>
      <c r="L23" s="39" t="s">
        <v>2265</v>
      </c>
      <c r="N23" s="91"/>
    </row>
    <row r="24" spans="1:14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1"/>
        <v>0</v>
      </c>
      <c r="L24" s="39"/>
      <c r="N24" s="91"/>
    </row>
    <row r="25" spans="1:14" s="27" customFormat="1" ht="19.5" customHeight="1" x14ac:dyDescent="0.3">
      <c r="A25" s="28" t="s">
        <v>2266</v>
      </c>
      <c r="B25" s="16" t="s">
        <v>2267</v>
      </c>
      <c r="C25" s="17">
        <v>22</v>
      </c>
      <c r="D25" s="18" t="s">
        <v>2268</v>
      </c>
      <c r="E25" s="41">
        <v>16</v>
      </c>
      <c r="F25" s="42">
        <v>12.32</v>
      </c>
      <c r="G25" s="34" t="s">
        <v>2245</v>
      </c>
      <c r="H25" s="35">
        <v>2590</v>
      </c>
      <c r="I25" s="36">
        <v>3353</v>
      </c>
      <c r="J25" s="37">
        <v>1</v>
      </c>
      <c r="K25" s="38">
        <f t="shared" si="1"/>
        <v>8.6842699999999979</v>
      </c>
      <c r="L25" s="39" t="s">
        <v>2275</v>
      </c>
      <c r="N25" s="91"/>
    </row>
    <row r="26" spans="1:14" s="27" customFormat="1" ht="19.5" customHeight="1" x14ac:dyDescent="0.3">
      <c r="A26" s="28"/>
      <c r="B26" s="16"/>
      <c r="C26" s="17">
        <v>5</v>
      </c>
      <c r="D26" s="18" t="s">
        <v>2269</v>
      </c>
      <c r="E26" s="41">
        <v>8</v>
      </c>
      <c r="F26" s="42">
        <v>2.48</v>
      </c>
      <c r="G26" s="34" t="s">
        <v>2273</v>
      </c>
      <c r="H26" s="35">
        <v>2134</v>
      </c>
      <c r="I26" s="36">
        <v>3353</v>
      </c>
      <c r="J26" s="37">
        <v>2</v>
      </c>
      <c r="K26" s="38">
        <f t="shared" si="1"/>
        <v>14.310604</v>
      </c>
      <c r="L26" s="39"/>
      <c r="N26" s="91"/>
    </row>
    <row r="27" spans="1:14" s="27" customFormat="1" ht="19.5" customHeight="1" x14ac:dyDescent="0.3">
      <c r="A27" s="28"/>
      <c r="B27" s="16"/>
      <c r="C27" s="17">
        <v>24</v>
      </c>
      <c r="D27" s="18" t="s">
        <v>2270</v>
      </c>
      <c r="E27" s="41">
        <v>17</v>
      </c>
      <c r="F27" s="42">
        <v>10.06</v>
      </c>
      <c r="G27" s="34" t="s">
        <v>2250</v>
      </c>
      <c r="H27" s="35">
        <v>2134</v>
      </c>
      <c r="I27" s="36">
        <v>3353</v>
      </c>
      <c r="J27" s="37">
        <v>2</v>
      </c>
      <c r="K27" s="38">
        <f t="shared" ref="K27:K35" si="2">(H27/1000*I27/1000)*J27</f>
        <v>14.310604</v>
      </c>
      <c r="L27" s="39"/>
      <c r="N27" s="91"/>
    </row>
    <row r="28" spans="1:14" s="27" customFormat="1" ht="19.5" customHeight="1" x14ac:dyDescent="0.3">
      <c r="A28" s="28"/>
      <c r="B28" s="16"/>
      <c r="C28" s="17">
        <v>24</v>
      </c>
      <c r="D28" s="18" t="s">
        <v>2271</v>
      </c>
      <c r="E28" s="41">
        <v>2</v>
      </c>
      <c r="F28" s="42">
        <v>0.69</v>
      </c>
      <c r="G28" s="34" t="s">
        <v>2274</v>
      </c>
      <c r="H28" s="35">
        <v>2134</v>
      </c>
      <c r="I28" s="36">
        <v>3048</v>
      </c>
      <c r="J28" s="37">
        <v>4</v>
      </c>
      <c r="K28" s="38">
        <f t="shared" si="2"/>
        <v>26.017727999999998</v>
      </c>
      <c r="L28" s="39"/>
      <c r="N28" s="91"/>
    </row>
    <row r="29" spans="1:14" s="27" customFormat="1" ht="19.5" customHeight="1" x14ac:dyDescent="0.3">
      <c r="A29" s="28"/>
      <c r="B29" s="16"/>
      <c r="C29" s="17">
        <v>10</v>
      </c>
      <c r="D29" s="18" t="s">
        <v>2272</v>
      </c>
      <c r="E29" s="41">
        <v>19</v>
      </c>
      <c r="F29" s="42">
        <v>22.82</v>
      </c>
      <c r="G29" s="34"/>
      <c r="H29" s="35"/>
      <c r="I29" s="36"/>
      <c r="J29" s="37"/>
      <c r="K29" s="38">
        <f t="shared" si="2"/>
        <v>0</v>
      </c>
      <c r="L29" s="39"/>
      <c r="N29" s="91"/>
    </row>
    <row r="30" spans="1:14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2"/>
        <v>0</v>
      </c>
      <c r="L30" s="39"/>
      <c r="N30" s="91"/>
    </row>
    <row r="31" spans="1:14" s="27" customFormat="1" ht="19.5" customHeight="1" x14ac:dyDescent="0.3">
      <c r="A31" s="28" t="s">
        <v>2276</v>
      </c>
      <c r="B31" s="16" t="s">
        <v>2277</v>
      </c>
      <c r="C31" s="17">
        <v>22</v>
      </c>
      <c r="D31" s="18" t="s">
        <v>2278</v>
      </c>
      <c r="E31" s="41">
        <v>3</v>
      </c>
      <c r="F31" s="42">
        <v>6.23</v>
      </c>
      <c r="G31" s="34" t="s">
        <v>2245</v>
      </c>
      <c r="H31" s="35">
        <v>2286</v>
      </c>
      <c r="I31" s="36">
        <v>3048</v>
      </c>
      <c r="J31" s="37">
        <v>1</v>
      </c>
      <c r="K31" s="38">
        <f t="shared" si="2"/>
        <v>6.9677280000000001</v>
      </c>
      <c r="L31" s="39"/>
      <c r="N31" s="91"/>
    </row>
    <row r="32" spans="1:14" s="27" customFormat="1" ht="19.5" customHeight="1" x14ac:dyDescent="0.3">
      <c r="A32" s="28"/>
      <c r="B32" s="16"/>
      <c r="C32" s="17">
        <v>25.76</v>
      </c>
      <c r="D32" s="18" t="s">
        <v>2279</v>
      </c>
      <c r="E32" s="41">
        <v>2</v>
      </c>
      <c r="F32" s="42">
        <v>2.19</v>
      </c>
      <c r="G32" s="34" t="s">
        <v>2245</v>
      </c>
      <c r="H32" s="35">
        <v>1981</v>
      </c>
      <c r="I32" s="36">
        <v>3353</v>
      </c>
      <c r="J32" s="37">
        <v>1</v>
      </c>
      <c r="K32" s="38">
        <f t="shared" si="2"/>
        <v>6.6422930000000004</v>
      </c>
      <c r="L32" s="39"/>
      <c r="N32" s="91"/>
    </row>
    <row r="33" spans="1:15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2"/>
        <v>0</v>
      </c>
      <c r="L33" s="39"/>
      <c r="N33" s="91"/>
    </row>
    <row r="34" spans="1:15" s="27" customFormat="1" ht="19.5" customHeight="1" x14ac:dyDescent="0.3">
      <c r="A34" s="28" t="s">
        <v>2280</v>
      </c>
      <c r="B34" s="16" t="s">
        <v>2281</v>
      </c>
      <c r="C34" s="17">
        <v>5</v>
      </c>
      <c r="D34" s="18" t="s">
        <v>2269</v>
      </c>
      <c r="E34" s="41">
        <v>64</v>
      </c>
      <c r="F34" s="42">
        <v>22.72</v>
      </c>
      <c r="G34" s="34" t="s">
        <v>2245</v>
      </c>
      <c r="H34" s="35">
        <v>2134</v>
      </c>
      <c r="I34" s="36">
        <v>3353</v>
      </c>
      <c r="J34" s="37">
        <v>3</v>
      </c>
      <c r="K34" s="38">
        <f t="shared" si="2"/>
        <v>21.465906</v>
      </c>
      <c r="L34" s="39"/>
      <c r="N34" s="91"/>
    </row>
    <row r="35" spans="1:15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2"/>
        <v>0</v>
      </c>
      <c r="L35" s="39"/>
      <c r="N35" s="91"/>
    </row>
    <row r="36" spans="1:15" s="27" customFormat="1" ht="19.5" customHeight="1" x14ac:dyDescent="0.3">
      <c r="A36" s="28" t="s">
        <v>2282</v>
      </c>
      <c r="B36" s="16" t="s">
        <v>2283</v>
      </c>
      <c r="C36" s="17">
        <v>22</v>
      </c>
      <c r="D36" s="18" t="s">
        <v>2268</v>
      </c>
      <c r="E36" s="41">
        <v>72</v>
      </c>
      <c r="F36" s="42">
        <v>77.64</v>
      </c>
      <c r="G36" s="34" t="s">
        <v>2245</v>
      </c>
      <c r="H36" s="35">
        <v>1981</v>
      </c>
      <c r="I36" s="36">
        <v>3353</v>
      </c>
      <c r="J36" s="37">
        <v>14</v>
      </c>
      <c r="K36" s="38">
        <f t="shared" si="0"/>
        <v>92.992102000000003</v>
      </c>
      <c r="L36" s="39" t="s">
        <v>2286</v>
      </c>
      <c r="N36" s="91"/>
    </row>
    <row r="37" spans="1:15" s="27" customFormat="1" ht="19.5" customHeight="1" x14ac:dyDescent="0.3">
      <c r="A37" s="28"/>
      <c r="B37" s="16"/>
      <c r="C37" s="17"/>
      <c r="D37" s="18"/>
      <c r="E37" s="81"/>
      <c r="F37" s="82"/>
      <c r="G37" s="34"/>
      <c r="H37" s="35"/>
      <c r="I37" s="36"/>
      <c r="J37" s="37"/>
      <c r="K37" s="38">
        <f t="shared" si="0"/>
        <v>0</v>
      </c>
      <c r="L37" s="39"/>
      <c r="N37" s="91"/>
    </row>
    <row r="38" spans="1:15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si="0"/>
        <v>0</v>
      </c>
      <c r="L38" s="39"/>
      <c r="N38" s="91"/>
      <c r="O38" s="92"/>
    </row>
    <row r="39" spans="1:15" s="27" customFormat="1" ht="19.5" customHeight="1" x14ac:dyDescent="0.3">
      <c r="A39" s="28"/>
      <c r="B39" s="29"/>
      <c r="C39" s="30"/>
      <c r="D39" s="31"/>
      <c r="E39" s="41"/>
      <c r="F39" s="42"/>
      <c r="G39" s="43"/>
      <c r="H39" s="35"/>
      <c r="I39" s="36"/>
      <c r="J39" s="37"/>
      <c r="K39" s="38">
        <f t="shared" si="0"/>
        <v>0</v>
      </c>
      <c r="L39" s="39"/>
      <c r="N39" s="91"/>
    </row>
    <row r="40" spans="1:15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  <c r="N40" s="91"/>
      <c r="O40" s="27"/>
    </row>
    <row r="41" spans="1:15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  <c r="N41" s="91"/>
      <c r="O41" s="27"/>
    </row>
    <row r="42" spans="1:15" s="55" customFormat="1" ht="19.5" customHeight="1" x14ac:dyDescent="0.3">
      <c r="A42" s="44"/>
      <c r="B42" s="45"/>
      <c r="C42" s="77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  <c r="N42" s="91"/>
      <c r="O42" s="27"/>
    </row>
    <row r="43" spans="1:15" s="55" customFormat="1" ht="19.5" customHeight="1" x14ac:dyDescent="0.3">
      <c r="A43" s="44"/>
      <c r="B43" s="76"/>
      <c r="C43" s="77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  <c r="N43" s="91"/>
      <c r="O43" s="27"/>
    </row>
    <row r="44" spans="1:15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  <c r="N44" s="91"/>
      <c r="O44" s="27"/>
    </row>
    <row r="45" spans="1:15" s="55" customFormat="1" ht="19.5" customHeight="1" x14ac:dyDescent="0.3">
      <c r="A45" s="44"/>
      <c r="B45" s="45"/>
      <c r="C45" s="77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  <c r="N45" s="91"/>
      <c r="O45" s="27"/>
    </row>
    <row r="46" spans="1:15" s="55" customFormat="1" ht="19.5" customHeight="1" x14ac:dyDescent="0.3">
      <c r="A46" s="44"/>
      <c r="B46" s="45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  <c r="N46" s="91"/>
      <c r="O46" s="27"/>
    </row>
    <row r="47" spans="1:15" s="55" customFormat="1" ht="19.5" customHeight="1" x14ac:dyDescent="0.3">
      <c r="A47" s="44"/>
      <c r="B47" s="76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  <c r="N47" s="91"/>
      <c r="O47" s="27"/>
    </row>
    <row r="48" spans="1:15" s="55" customFormat="1" ht="19.5" customHeight="1" x14ac:dyDescent="0.3">
      <c r="A48" s="44"/>
      <c r="B48" s="45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  <c r="N48" s="91"/>
      <c r="O48" s="27"/>
    </row>
    <row r="49" spans="1:15" s="55" customFormat="1" ht="19.5" customHeight="1" x14ac:dyDescent="0.3">
      <c r="A49" s="44"/>
      <c r="B49" s="45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  <c r="N49" s="91"/>
      <c r="O49" s="27"/>
    </row>
    <row r="50" spans="1:15" s="55" customFormat="1" ht="19.5" customHeight="1" x14ac:dyDescent="0.3">
      <c r="A50" s="44"/>
      <c r="B50" s="45"/>
      <c r="C50" s="77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  <c r="N50" s="91"/>
      <c r="O50" s="27"/>
    </row>
    <row r="51" spans="1:15" s="55" customFormat="1" ht="19.5" customHeight="1" x14ac:dyDescent="0.3">
      <c r="A51" s="44"/>
      <c r="B51" s="76"/>
      <c r="C51" s="77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  <c r="N51" s="91"/>
      <c r="O51" s="27"/>
    </row>
    <row r="52" spans="1:15" s="55" customFormat="1" ht="19.5" customHeight="1" x14ac:dyDescent="0.3">
      <c r="A52" s="44"/>
      <c r="B52" s="45"/>
      <c r="C52" s="77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  <c r="N52" s="91"/>
      <c r="O52" s="27"/>
    </row>
    <row r="53" spans="1:15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  <c r="N53" s="91"/>
      <c r="O53" s="27"/>
    </row>
    <row r="54" spans="1:15" s="55" customFormat="1" ht="19.5" customHeight="1" x14ac:dyDescent="0.3">
      <c r="A54" s="44"/>
      <c r="B54" s="45"/>
      <c r="C54" s="77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  <c r="N54" s="91"/>
      <c r="O54" s="27"/>
    </row>
    <row r="55" spans="1:15" s="55" customFormat="1" ht="19.5" customHeight="1" x14ac:dyDescent="0.3">
      <c r="A55" s="44"/>
      <c r="B55" s="45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  <c r="N55" s="91"/>
      <c r="O55" s="27"/>
    </row>
    <row r="56" spans="1:15" s="55" customFormat="1" ht="19.5" customHeight="1" x14ac:dyDescent="0.3">
      <c r="A56" s="44"/>
      <c r="B56" s="76"/>
      <c r="C56" s="77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  <c r="N56" s="91"/>
      <c r="O56" s="27"/>
    </row>
    <row r="57" spans="1:15" s="55" customFormat="1" ht="19.5" customHeight="1" x14ac:dyDescent="0.3">
      <c r="A57" s="44"/>
      <c r="B57" s="45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  <c r="N57" s="91"/>
      <c r="O57" s="27"/>
    </row>
    <row r="58" spans="1:15" s="55" customFormat="1" ht="19.5" customHeight="1" x14ac:dyDescent="0.3">
      <c r="A58" s="44"/>
      <c r="B58" s="45"/>
      <c r="C58" s="77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  <c r="N58" s="91"/>
      <c r="O58" s="27"/>
    </row>
    <row r="59" spans="1:15" s="55" customFormat="1" ht="19.5" customHeight="1" x14ac:dyDescent="0.3">
      <c r="A59" s="44"/>
      <c r="B59" s="76"/>
      <c r="C59" s="77"/>
      <c r="D59" s="78"/>
      <c r="E59" s="48"/>
      <c r="F59" s="49"/>
      <c r="G59" s="50"/>
      <c r="H59" s="51"/>
      <c r="I59" s="45"/>
      <c r="J59" s="52"/>
      <c r="K59" s="53">
        <f t="shared" si="0"/>
        <v>0</v>
      </c>
      <c r="L59" s="54"/>
      <c r="N59" s="91"/>
      <c r="O59" s="27"/>
    </row>
    <row r="60" spans="1:15" s="55" customFormat="1" ht="19.5" customHeight="1" x14ac:dyDescent="0.3">
      <c r="A60" s="44"/>
      <c r="B60" s="45"/>
      <c r="C60" s="77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  <c r="N60" s="91"/>
      <c r="O60" s="27"/>
    </row>
    <row r="61" spans="1:15" s="55" customFormat="1" ht="19.5" customHeight="1" x14ac:dyDescent="0.3">
      <c r="A61" s="44"/>
      <c r="B61" s="76"/>
      <c r="C61" s="77"/>
      <c r="D61" s="78"/>
      <c r="E61" s="48"/>
      <c r="F61" s="49"/>
      <c r="G61" s="50"/>
      <c r="H61" s="51"/>
      <c r="I61" s="45"/>
      <c r="J61" s="52"/>
      <c r="K61" s="53">
        <f t="shared" si="0"/>
        <v>0</v>
      </c>
      <c r="L61" s="54"/>
      <c r="N61" s="91"/>
      <c r="O61" s="27"/>
    </row>
    <row r="62" spans="1:15" s="55" customFormat="1" ht="19.5" customHeight="1" x14ac:dyDescent="0.3">
      <c r="A62" s="44"/>
      <c r="B62" s="45"/>
      <c r="C62" s="77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  <c r="N62" s="91"/>
      <c r="O62" s="27"/>
    </row>
    <row r="63" spans="1:15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  <c r="N63" s="91"/>
      <c r="O63" s="27"/>
    </row>
    <row r="64" spans="1:15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  <c r="N64" s="91"/>
      <c r="O64" s="27"/>
    </row>
    <row r="65" spans="1:15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  <c r="N65" s="91"/>
      <c r="O65" s="27"/>
    </row>
    <row r="66" spans="1:15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  <c r="N66" s="91"/>
      <c r="O66" s="27"/>
    </row>
    <row r="67" spans="1:15" s="59" customFormat="1" ht="20.100000000000001" customHeight="1" x14ac:dyDescent="0.3">
      <c r="A67" s="44"/>
      <c r="B67" s="45"/>
      <c r="C67" s="46"/>
      <c r="D67" s="47"/>
      <c r="E67" s="56"/>
      <c r="F67" s="57"/>
      <c r="G67" s="50"/>
      <c r="H67" s="51"/>
      <c r="I67" s="45"/>
      <c r="J67" s="52"/>
      <c r="K67" s="53">
        <f t="shared" si="0"/>
        <v>0</v>
      </c>
      <c r="L67" s="58">
        <f>SUM(J40:J68)</f>
        <v>0</v>
      </c>
    </row>
    <row r="68" spans="1:15" s="59" customFormat="1" ht="20.100000000000001" customHeight="1" x14ac:dyDescent="0.3">
      <c r="A68" s="44"/>
      <c r="B68" s="45"/>
      <c r="C68" s="46"/>
      <c r="D68" s="47"/>
      <c r="E68" s="60"/>
      <c r="F68" s="61"/>
      <c r="G68" s="62"/>
      <c r="H68" s="51"/>
      <c r="I68" s="45"/>
      <c r="J68" s="63"/>
      <c r="K68" s="53">
        <f t="shared" si="0"/>
        <v>0</v>
      </c>
      <c r="L68" s="64">
        <f>SUM(K40:K68)</f>
        <v>0</v>
      </c>
    </row>
    <row r="69" spans="1:15" s="59" customFormat="1" ht="20.100000000000001" customHeight="1" thickBot="1" x14ac:dyDescent="0.35">
      <c r="A69" s="114"/>
      <c r="B69" s="115"/>
      <c r="C69" s="115"/>
      <c r="D69" s="115"/>
      <c r="E69" s="115"/>
      <c r="F69" s="115"/>
      <c r="G69" s="115"/>
      <c r="H69" s="115"/>
      <c r="I69" s="115"/>
      <c r="J69" s="65">
        <f>SUM(J7:J68)</f>
        <v>46</v>
      </c>
      <c r="K69" s="66">
        <f>SUM(K7:K68)</f>
        <v>335.34184099999999</v>
      </c>
      <c r="L69" s="67"/>
    </row>
    <row r="70" spans="1:15" s="59" customFormat="1" ht="20.100000000000001" customHeight="1" thickTop="1" thickBot="1" x14ac:dyDescent="0.35">
      <c r="A70" s="116" t="s">
        <v>52</v>
      </c>
      <c r="B70" s="117"/>
      <c r="C70" s="68"/>
      <c r="D70" s="118">
        <f>J69</f>
        <v>46</v>
      </c>
      <c r="E70" s="119"/>
      <c r="F70" s="119"/>
      <c r="G70" s="120"/>
      <c r="H70" s="121"/>
      <c r="I70" s="121"/>
      <c r="J70" s="122"/>
      <c r="K70" s="119"/>
      <c r="L70" s="123"/>
    </row>
    <row r="71" spans="1:15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71"/>
    </row>
    <row r="72" spans="1:15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5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5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5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5" s="59" customFormat="1" ht="20.100000000000001" customHeight="1" x14ac:dyDescent="0.3">
      <c r="A76" s="113"/>
      <c r="B76" s="113"/>
      <c r="C76" s="5"/>
      <c r="D76" s="5"/>
      <c r="E76" s="72"/>
      <c r="F76" s="5"/>
      <c r="G76" s="5"/>
      <c r="H76" s="5"/>
      <c r="I76" s="5"/>
      <c r="J76" s="5"/>
      <c r="K76" s="5"/>
      <c r="L76" s="5"/>
    </row>
    <row r="77" spans="1:15" s="59" customFormat="1" ht="20.100000000000001" customHeight="1" x14ac:dyDescent="0.3">
      <c r="A77" s="113"/>
      <c r="B77" s="113"/>
      <c r="C77" s="5"/>
      <c r="D77" s="5"/>
      <c r="E77" s="5"/>
      <c r="F77" s="5"/>
      <c r="G77" s="73"/>
      <c r="H77" s="5"/>
      <c r="I77" s="74"/>
      <c r="J77" s="5"/>
      <c r="K77" s="5"/>
      <c r="L77" s="5"/>
    </row>
    <row r="78" spans="1:15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5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5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72"/>
      <c r="I81" s="72"/>
      <c r="J81" s="5"/>
      <c r="K81" s="5"/>
      <c r="L81" s="5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H89" s="72"/>
      <c r="I89" s="72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5" customFormat="1" ht="19.5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ht="19.5" customHeight="1" x14ac:dyDescent="0.3"/>
    <row r="98" spans="2:12" ht="19.5" customHeight="1" x14ac:dyDescent="0.3"/>
    <row r="99" spans="2:12" ht="19.5" customHeight="1" x14ac:dyDescent="0.3"/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>
        <v>2</v>
      </c>
      <c r="C160" s="5"/>
      <c r="D160" s="5"/>
      <c r="E160" s="5"/>
      <c r="F160" s="70"/>
      <c r="G160" s="5"/>
      <c r="H160" s="5"/>
      <c r="I160" s="5"/>
      <c r="J160" s="5"/>
      <c r="K160" s="5"/>
      <c r="L160" s="5"/>
    </row>
  </sheetData>
  <mergeCells count="30">
    <mergeCell ref="A85:B85"/>
    <mergeCell ref="A86:B86"/>
    <mergeCell ref="A76:B76"/>
    <mergeCell ref="A77:B77"/>
    <mergeCell ref="A78:B78"/>
    <mergeCell ref="A80:B80"/>
    <mergeCell ref="A81:B81"/>
    <mergeCell ref="A82:B82"/>
    <mergeCell ref="A75:B75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9:I69"/>
    <mergeCell ref="A70:B70"/>
    <mergeCell ref="D70:G70"/>
    <mergeCell ref="H70:J70"/>
    <mergeCell ref="K70:L70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L148"/>
  <sheetViews>
    <sheetView view="pageBreakPreview" topLeftCell="E34" zoomScale="85" zoomScaleSheetLayoutView="85" workbookViewId="0">
      <selection activeCell="L55" sqref="L55:L56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46099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6" si="0">(H7/1000*I7/1000)*J7</f>
        <v>0</v>
      </c>
      <c r="L7" s="26">
        <f>SUM(J7:J27)</f>
        <v>115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SUM(K7:K27)</f>
        <v>802.83786400000008</v>
      </c>
    </row>
    <row r="9" spans="1:12" s="27" customFormat="1" ht="19.5" customHeight="1" x14ac:dyDescent="0.3">
      <c r="A9" s="28" t="s">
        <v>2204</v>
      </c>
      <c r="B9" s="16" t="s">
        <v>2205</v>
      </c>
      <c r="C9" s="17">
        <v>25.76</v>
      </c>
      <c r="D9" s="18" t="s">
        <v>2206</v>
      </c>
      <c r="E9" s="41">
        <v>108</v>
      </c>
      <c r="F9" s="42">
        <v>62.64</v>
      </c>
      <c r="G9" s="34" t="s">
        <v>2207</v>
      </c>
      <c r="H9" s="35">
        <v>2286</v>
      </c>
      <c r="I9" s="36">
        <v>3048</v>
      </c>
      <c r="J9" s="37">
        <v>9</v>
      </c>
      <c r="K9" s="38">
        <f t="shared" si="0"/>
        <v>62.709552000000002</v>
      </c>
      <c r="L9" s="39"/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 t="s">
        <v>2208</v>
      </c>
      <c r="H10" s="35">
        <v>1981</v>
      </c>
      <c r="I10" s="36">
        <v>3353</v>
      </c>
      <c r="J10" s="37">
        <v>1</v>
      </c>
      <c r="K10" s="38">
        <f t="shared" si="0"/>
        <v>6.6422930000000004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2209</v>
      </c>
      <c r="B12" s="16" t="s">
        <v>2210</v>
      </c>
      <c r="C12" s="17">
        <v>12</v>
      </c>
      <c r="D12" s="18" t="s">
        <v>2211</v>
      </c>
      <c r="E12" s="41">
        <v>10</v>
      </c>
      <c r="F12" s="42">
        <v>18.2</v>
      </c>
      <c r="G12" s="34" t="s">
        <v>2212</v>
      </c>
      <c r="H12" s="35">
        <v>2743</v>
      </c>
      <c r="I12" s="36">
        <v>3353</v>
      </c>
      <c r="J12" s="37">
        <v>2</v>
      </c>
      <c r="K12" s="38">
        <f t="shared" si="0"/>
        <v>18.394558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2213</v>
      </c>
      <c r="B14" s="16" t="s">
        <v>2205</v>
      </c>
      <c r="C14" s="17">
        <v>22</v>
      </c>
      <c r="D14" s="18" t="s">
        <v>2214</v>
      </c>
      <c r="E14" s="41">
        <v>144</v>
      </c>
      <c r="F14" s="42">
        <v>116.1</v>
      </c>
      <c r="G14" s="34" t="s">
        <v>2215</v>
      </c>
      <c r="H14" s="35">
        <v>2590</v>
      </c>
      <c r="I14" s="36">
        <v>3048</v>
      </c>
      <c r="J14" s="37">
        <v>16</v>
      </c>
      <c r="K14" s="38">
        <f t="shared" si="0"/>
        <v>126.30911999999999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2208</v>
      </c>
      <c r="H15" s="35">
        <v>1981</v>
      </c>
      <c r="I15" s="36">
        <v>3353</v>
      </c>
      <c r="J15" s="37">
        <v>18</v>
      </c>
      <c r="K15" s="38">
        <f t="shared" si="0"/>
        <v>119.56127400000001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2216</v>
      </c>
      <c r="B17" s="16" t="s">
        <v>2217</v>
      </c>
      <c r="C17" s="17">
        <v>39</v>
      </c>
      <c r="D17" s="18" t="s">
        <v>2219</v>
      </c>
      <c r="E17" s="41">
        <v>111</v>
      </c>
      <c r="F17" s="42">
        <v>146.07</v>
      </c>
      <c r="G17" s="34" t="s">
        <v>2218</v>
      </c>
      <c r="H17" s="35">
        <v>1829</v>
      </c>
      <c r="I17" s="36">
        <v>3353</v>
      </c>
      <c r="J17" s="37">
        <v>13</v>
      </c>
      <c r="K17" s="38">
        <f t="shared" si="0"/>
        <v>79.724281000000005</v>
      </c>
      <c r="L17" s="39" t="s">
        <v>2220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2218</v>
      </c>
      <c r="H18" s="35">
        <v>1981</v>
      </c>
      <c r="I18" s="36">
        <v>3353</v>
      </c>
      <c r="J18" s="37">
        <v>12</v>
      </c>
      <c r="K18" s="38">
        <f t="shared" si="0"/>
        <v>79.707515999999998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2221</v>
      </c>
      <c r="B20" s="16" t="s">
        <v>2205</v>
      </c>
      <c r="C20" s="17">
        <v>22</v>
      </c>
      <c r="D20" s="18" t="s">
        <v>2214</v>
      </c>
      <c r="E20" s="41">
        <v>120</v>
      </c>
      <c r="F20" s="42">
        <v>104.04</v>
      </c>
      <c r="G20" s="34" t="s">
        <v>2215</v>
      </c>
      <c r="H20" s="35">
        <v>2590</v>
      </c>
      <c r="I20" s="36">
        <v>3048</v>
      </c>
      <c r="J20" s="37">
        <v>14</v>
      </c>
      <c r="K20" s="38">
        <f t="shared" si="0"/>
        <v>110.52047999999999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 t="s">
        <v>2208</v>
      </c>
      <c r="H21" s="35">
        <v>1981</v>
      </c>
      <c r="I21" s="36">
        <v>3353</v>
      </c>
      <c r="J21" s="37">
        <v>16</v>
      </c>
      <c r="K21" s="38">
        <f t="shared" si="0"/>
        <v>106.27668800000001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2241</v>
      </c>
      <c r="B23" s="16" t="s">
        <v>2205</v>
      </c>
      <c r="C23" s="17">
        <v>22</v>
      </c>
      <c r="D23" s="18" t="s">
        <v>2214</v>
      </c>
      <c r="E23" s="41">
        <v>72</v>
      </c>
      <c r="F23" s="42">
        <v>77.64</v>
      </c>
      <c r="G23" s="34" t="s">
        <v>2208</v>
      </c>
      <c r="H23" s="35">
        <v>1981</v>
      </c>
      <c r="I23" s="36">
        <v>3353</v>
      </c>
      <c r="J23" s="37">
        <v>14</v>
      </c>
      <c r="K23" s="38">
        <f t="shared" si="0"/>
        <v>92.992102000000003</v>
      </c>
      <c r="L23" s="39" t="s">
        <v>2220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81"/>
      <c r="F25" s="8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29"/>
      <c r="C27" s="30"/>
      <c r="D27" s="31"/>
      <c r="E27" s="41"/>
      <c r="F27" s="42"/>
      <c r="G27" s="43"/>
      <c r="H27" s="35"/>
      <c r="I27" s="36"/>
      <c r="J27" s="37"/>
      <c r="K27" s="38">
        <f t="shared" si="0"/>
        <v>0</v>
      </c>
      <c r="L27" s="39"/>
    </row>
    <row r="28" spans="1:12" s="55" customFormat="1" ht="19.5" customHeight="1" x14ac:dyDescent="0.3">
      <c r="A28" s="44"/>
      <c r="B28" s="45"/>
      <c r="C28" s="46"/>
      <c r="D28" s="47"/>
      <c r="E28" s="48"/>
      <c r="F28" s="49"/>
      <c r="G28" s="50"/>
      <c r="H28" s="51"/>
      <c r="I28" s="45"/>
      <c r="J28" s="52"/>
      <c r="K28" s="53">
        <f t="shared" si="0"/>
        <v>0</v>
      </c>
      <c r="L28" s="54"/>
    </row>
    <row r="29" spans="1:12" s="55" customFormat="1" ht="19.5" customHeight="1" x14ac:dyDescent="0.3">
      <c r="A29" s="44" t="s">
        <v>2223</v>
      </c>
      <c r="B29" s="45" t="s">
        <v>21</v>
      </c>
      <c r="C29" s="46">
        <v>22</v>
      </c>
      <c r="D29" s="47" t="s">
        <v>17</v>
      </c>
      <c r="E29" s="48">
        <v>72</v>
      </c>
      <c r="F29" s="49">
        <v>85.44</v>
      </c>
      <c r="G29" s="50" t="s">
        <v>18</v>
      </c>
      <c r="H29" s="51">
        <v>2590</v>
      </c>
      <c r="I29" s="45">
        <v>3353</v>
      </c>
      <c r="J29" s="52">
        <v>12</v>
      </c>
      <c r="K29" s="53">
        <f t="shared" si="0"/>
        <v>104.21123999999998</v>
      </c>
      <c r="L29" s="54"/>
    </row>
    <row r="30" spans="1:12" s="55" customFormat="1" ht="19.5" customHeight="1" x14ac:dyDescent="0.3">
      <c r="A30" s="44"/>
      <c r="B30" s="45"/>
      <c r="C30" s="77"/>
      <c r="D30" s="47"/>
      <c r="E30" s="48"/>
      <c r="F30" s="49"/>
      <c r="G30" s="50" t="s">
        <v>19</v>
      </c>
      <c r="H30" s="51">
        <v>1981</v>
      </c>
      <c r="I30" s="45">
        <v>3353</v>
      </c>
      <c r="J30" s="52">
        <v>16</v>
      </c>
      <c r="K30" s="53">
        <f t="shared" si="0"/>
        <v>106.27668800000001</v>
      </c>
      <c r="L30" s="54"/>
    </row>
    <row r="31" spans="1:12" s="55" customFormat="1" ht="19.5" customHeight="1" x14ac:dyDescent="0.3">
      <c r="A31" s="44"/>
      <c r="B31" s="76"/>
      <c r="C31" s="77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2222</v>
      </c>
      <c r="B32" s="45" t="s">
        <v>21</v>
      </c>
      <c r="C32" s="46">
        <v>22</v>
      </c>
      <c r="D32" s="47" t="s">
        <v>17</v>
      </c>
      <c r="E32" s="48">
        <v>72</v>
      </c>
      <c r="F32" s="49">
        <v>85.44</v>
      </c>
      <c r="G32" s="50" t="s">
        <v>18</v>
      </c>
      <c r="H32" s="51">
        <v>2590</v>
      </c>
      <c r="I32" s="45">
        <v>3353</v>
      </c>
      <c r="J32" s="52">
        <v>11</v>
      </c>
      <c r="K32" s="53">
        <f t="shared" si="0"/>
        <v>95.526969999999977</v>
      </c>
      <c r="L32" s="54"/>
    </row>
    <row r="33" spans="1:12" s="55" customFormat="1" ht="19.5" customHeight="1" x14ac:dyDescent="0.3">
      <c r="A33" s="44"/>
      <c r="B33" s="45"/>
      <c r="C33" s="77"/>
      <c r="D33" s="47"/>
      <c r="E33" s="48"/>
      <c r="F33" s="49"/>
      <c r="G33" s="50" t="s">
        <v>19</v>
      </c>
      <c r="H33" s="51">
        <v>1981</v>
      </c>
      <c r="I33" s="45">
        <v>3353</v>
      </c>
      <c r="J33" s="52">
        <v>16</v>
      </c>
      <c r="K33" s="53">
        <f t="shared" si="0"/>
        <v>106.27668800000001</v>
      </c>
      <c r="L33" s="54"/>
    </row>
    <row r="34" spans="1:12" s="55" customFormat="1" ht="19.5" customHeight="1" x14ac:dyDescent="0.3">
      <c r="A34" s="44"/>
      <c r="B34" s="45"/>
      <c r="C34" s="77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2224</v>
      </c>
      <c r="B35" s="76" t="s">
        <v>2225</v>
      </c>
      <c r="C35" s="77">
        <v>24</v>
      </c>
      <c r="D35" s="47" t="s">
        <v>2226</v>
      </c>
      <c r="E35" s="48">
        <v>3</v>
      </c>
      <c r="F35" s="49">
        <v>1.25</v>
      </c>
      <c r="G35" s="50"/>
      <c r="H35" s="51"/>
      <c r="I35" s="45"/>
      <c r="J35" s="52"/>
      <c r="K35" s="53">
        <f t="shared" si="0"/>
        <v>0</v>
      </c>
      <c r="L35" s="54" t="s">
        <v>2227</v>
      </c>
    </row>
    <row r="36" spans="1:12" s="55" customFormat="1" ht="19.5" customHeight="1" x14ac:dyDescent="0.3">
      <c r="A36" s="44"/>
      <c r="B36" s="45"/>
      <c r="C36" s="77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2228</v>
      </c>
      <c r="B37" s="45" t="s">
        <v>2229</v>
      </c>
      <c r="C37" s="77">
        <v>24</v>
      </c>
      <c r="D37" s="47" t="s">
        <v>2230</v>
      </c>
      <c r="E37" s="48">
        <v>2</v>
      </c>
      <c r="F37" s="49">
        <v>1.01</v>
      </c>
      <c r="G37" s="50"/>
      <c r="H37" s="51"/>
      <c r="I37" s="45"/>
      <c r="J37" s="52"/>
      <c r="K37" s="53">
        <f t="shared" si="0"/>
        <v>0</v>
      </c>
      <c r="L37" s="54" t="s">
        <v>2231</v>
      </c>
    </row>
    <row r="38" spans="1:12" s="55" customFormat="1" ht="19.5" customHeight="1" x14ac:dyDescent="0.3">
      <c r="A38" s="44"/>
      <c r="B38" s="45"/>
      <c r="C38" s="77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2232</v>
      </c>
      <c r="B39" s="76" t="s">
        <v>2233</v>
      </c>
      <c r="C39" s="77">
        <v>28</v>
      </c>
      <c r="D39" s="47" t="s">
        <v>2234</v>
      </c>
      <c r="E39" s="48">
        <v>193</v>
      </c>
      <c r="F39" s="49">
        <v>224.56</v>
      </c>
      <c r="G39" s="50" t="s">
        <v>2235</v>
      </c>
      <c r="H39" s="51">
        <v>1981</v>
      </c>
      <c r="I39" s="45">
        <v>3048</v>
      </c>
      <c r="J39" s="52">
        <v>42</v>
      </c>
      <c r="K39" s="53">
        <f t="shared" si="0"/>
        <v>253.59969600000005</v>
      </c>
      <c r="L39" s="54" t="s">
        <v>2220</v>
      </c>
    </row>
    <row r="40" spans="1:12" s="55" customFormat="1" ht="19.5" customHeight="1" x14ac:dyDescent="0.3">
      <c r="A40" s="44"/>
      <c r="B40" s="45"/>
      <c r="C40" s="77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2236</v>
      </c>
      <c r="B41" s="76" t="s">
        <v>2233</v>
      </c>
      <c r="C41" s="77">
        <v>28</v>
      </c>
      <c r="D41" s="47" t="s">
        <v>2234</v>
      </c>
      <c r="E41" s="48">
        <v>193</v>
      </c>
      <c r="F41" s="49">
        <v>224.56</v>
      </c>
      <c r="G41" s="50" t="s">
        <v>2235</v>
      </c>
      <c r="H41" s="51">
        <v>1981</v>
      </c>
      <c r="I41" s="45">
        <v>3048</v>
      </c>
      <c r="J41" s="52">
        <v>29</v>
      </c>
      <c r="K41" s="53">
        <f t="shared" si="0"/>
        <v>175.10455200000004</v>
      </c>
      <c r="L41" s="54" t="s">
        <v>2220</v>
      </c>
    </row>
    <row r="42" spans="1:12" s="55" customFormat="1" ht="19.5" customHeight="1" x14ac:dyDescent="0.3">
      <c r="A42" s="44"/>
      <c r="B42" s="45"/>
      <c r="C42" s="77">
        <v>26</v>
      </c>
      <c r="D42" s="47" t="s">
        <v>2237</v>
      </c>
      <c r="E42" s="48">
        <v>1</v>
      </c>
      <c r="F42" s="49">
        <v>1.89</v>
      </c>
      <c r="G42" s="50" t="s">
        <v>2235</v>
      </c>
      <c r="H42" s="51">
        <v>2134</v>
      </c>
      <c r="I42" s="45">
        <v>3048</v>
      </c>
      <c r="J42" s="52">
        <v>13</v>
      </c>
      <c r="K42" s="53">
        <f t="shared" si="0"/>
        <v>84.557615999999996</v>
      </c>
      <c r="L42" s="54" t="s">
        <v>2231</v>
      </c>
    </row>
    <row r="43" spans="1:12" s="55" customFormat="1" ht="19.5" customHeight="1" x14ac:dyDescent="0.3">
      <c r="A43" s="44"/>
      <c r="B43" s="45"/>
      <c r="C43" s="77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2240</v>
      </c>
      <c r="B44" s="76" t="s">
        <v>2233</v>
      </c>
      <c r="C44" s="77">
        <v>28</v>
      </c>
      <c r="D44" s="47" t="s">
        <v>2234</v>
      </c>
      <c r="E44" s="48">
        <v>22</v>
      </c>
      <c r="F44" s="49">
        <v>25.49</v>
      </c>
      <c r="G44" s="50" t="s">
        <v>2235</v>
      </c>
      <c r="H44" s="51">
        <v>1981</v>
      </c>
      <c r="I44" s="45">
        <v>3048</v>
      </c>
      <c r="J44" s="52">
        <v>4</v>
      </c>
      <c r="K44" s="53">
        <f t="shared" si="0"/>
        <v>24.152352000000004</v>
      </c>
      <c r="L44" s="54" t="s">
        <v>2220</v>
      </c>
    </row>
    <row r="45" spans="1:12" s="55" customFormat="1" ht="19.5" customHeight="1" x14ac:dyDescent="0.3">
      <c r="A45" s="44"/>
      <c r="B45" s="45"/>
      <c r="C45" s="77"/>
      <c r="D45" s="47"/>
      <c r="E45" s="48"/>
      <c r="F45" s="49"/>
      <c r="G45" s="50" t="s">
        <v>2235</v>
      </c>
      <c r="H45" s="51">
        <v>2134</v>
      </c>
      <c r="I45" s="45">
        <v>3048</v>
      </c>
      <c r="J45" s="52">
        <v>1</v>
      </c>
      <c r="K45" s="53">
        <f t="shared" si="0"/>
        <v>6.5044319999999995</v>
      </c>
      <c r="L45" s="54"/>
    </row>
    <row r="46" spans="1:12" s="55" customFormat="1" ht="19.5" customHeight="1" x14ac:dyDescent="0.3">
      <c r="A46" s="44"/>
      <c r="B46" s="45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2238</v>
      </c>
      <c r="B47" s="76" t="s">
        <v>21</v>
      </c>
      <c r="C47" s="77">
        <v>25.76</v>
      </c>
      <c r="D47" s="78" t="s">
        <v>227</v>
      </c>
      <c r="E47" s="48">
        <v>42</v>
      </c>
      <c r="F47" s="49">
        <v>24.96</v>
      </c>
      <c r="G47" s="50" t="s">
        <v>286</v>
      </c>
      <c r="H47" s="51">
        <v>1829</v>
      </c>
      <c r="I47" s="45">
        <v>3353</v>
      </c>
      <c r="J47" s="52">
        <v>5</v>
      </c>
      <c r="K47" s="53">
        <f t="shared" si="0"/>
        <v>30.663184999999999</v>
      </c>
      <c r="L47" s="54"/>
    </row>
    <row r="48" spans="1:12" s="55" customFormat="1" ht="19.5" customHeight="1" x14ac:dyDescent="0.3">
      <c r="A48" s="44"/>
      <c r="B48" s="45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2239</v>
      </c>
      <c r="B49" s="76" t="s">
        <v>21</v>
      </c>
      <c r="C49" s="77">
        <v>25.76</v>
      </c>
      <c r="D49" s="78" t="s">
        <v>227</v>
      </c>
      <c r="E49" s="48">
        <v>54</v>
      </c>
      <c r="F49" s="49">
        <v>27.72</v>
      </c>
      <c r="G49" s="50" t="s">
        <v>286</v>
      </c>
      <c r="H49" s="51">
        <v>1829</v>
      </c>
      <c r="I49" s="45">
        <v>3353</v>
      </c>
      <c r="J49" s="52">
        <v>6</v>
      </c>
      <c r="K49" s="53">
        <f t="shared" si="0"/>
        <v>36.795822000000001</v>
      </c>
      <c r="L49" s="54"/>
    </row>
    <row r="50" spans="1:12" s="55" customFormat="1" ht="19.5" customHeight="1" x14ac:dyDescent="0.3">
      <c r="A50" s="44"/>
      <c r="B50" s="45"/>
      <c r="C50" s="77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9" customFormat="1" ht="20.100000000000001" customHeight="1" x14ac:dyDescent="0.3">
      <c r="A55" s="44"/>
      <c r="B55" s="45"/>
      <c r="C55" s="46"/>
      <c r="D55" s="47"/>
      <c r="E55" s="56"/>
      <c r="F55" s="57"/>
      <c r="G55" s="50"/>
      <c r="H55" s="51"/>
      <c r="I55" s="45"/>
      <c r="J55" s="52"/>
      <c r="K55" s="53">
        <f t="shared" si="0"/>
        <v>0</v>
      </c>
      <c r="L55" s="58">
        <f>SUM(J28:J56)</f>
        <v>155</v>
      </c>
    </row>
    <row r="56" spans="1:12" s="59" customFormat="1" ht="20.100000000000001" customHeight="1" x14ac:dyDescent="0.3">
      <c r="A56" s="44"/>
      <c r="B56" s="45"/>
      <c r="C56" s="46"/>
      <c r="D56" s="47"/>
      <c r="E56" s="60"/>
      <c r="F56" s="61"/>
      <c r="G56" s="62"/>
      <c r="H56" s="51"/>
      <c r="I56" s="45"/>
      <c r="J56" s="63"/>
      <c r="K56" s="53">
        <f t="shared" si="0"/>
        <v>0</v>
      </c>
      <c r="L56" s="64">
        <f>SUM(K28:K56)</f>
        <v>1023.6692410000001</v>
      </c>
    </row>
    <row r="57" spans="1:12" s="59" customFormat="1" ht="20.100000000000001" customHeight="1" thickBot="1" x14ac:dyDescent="0.35">
      <c r="A57" s="114"/>
      <c r="B57" s="115"/>
      <c r="C57" s="115"/>
      <c r="D57" s="115"/>
      <c r="E57" s="115"/>
      <c r="F57" s="115"/>
      <c r="G57" s="115"/>
      <c r="H57" s="115"/>
      <c r="I57" s="115"/>
      <c r="J57" s="65">
        <f>SUM(J7:J56)</f>
        <v>270</v>
      </c>
      <c r="K57" s="66">
        <f>SUM(K7:K56)</f>
        <v>1826.5071050000001</v>
      </c>
      <c r="L57" s="67"/>
    </row>
    <row r="58" spans="1:12" s="59" customFormat="1" ht="20.100000000000001" customHeight="1" thickTop="1" thickBot="1" x14ac:dyDescent="0.35">
      <c r="A58" s="116" t="s">
        <v>52</v>
      </c>
      <c r="B58" s="117"/>
      <c r="C58" s="68"/>
      <c r="D58" s="118">
        <f>J57</f>
        <v>270</v>
      </c>
      <c r="E58" s="119"/>
      <c r="F58" s="119"/>
      <c r="G58" s="120"/>
      <c r="H58" s="121"/>
      <c r="I58" s="121"/>
      <c r="J58" s="122"/>
      <c r="K58" s="119"/>
      <c r="L58" s="123"/>
    </row>
    <row r="59" spans="1:12" s="59" customFormat="1" ht="20.100000000000001" customHeight="1" x14ac:dyDescent="0.3">
      <c r="A59" s="69"/>
      <c r="B59" s="5"/>
      <c r="C59" s="5"/>
      <c r="D59" s="5"/>
      <c r="E59" s="5"/>
      <c r="F59" s="70"/>
      <c r="G59" s="5"/>
      <c r="H59" s="5"/>
      <c r="I59" s="5"/>
      <c r="J59" s="5"/>
      <c r="K59" s="5"/>
      <c r="L59" s="71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72"/>
      <c r="F64" s="5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5"/>
      <c r="F65" s="5"/>
      <c r="G65" s="73"/>
      <c r="H65" s="5"/>
      <c r="I65" s="74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72"/>
      <c r="I69" s="72"/>
      <c r="J69" s="5"/>
      <c r="K69" s="5"/>
      <c r="L69" s="5"/>
    </row>
    <row r="70" spans="1:12" ht="20.100000000000001" customHeight="1" x14ac:dyDescent="0.3">
      <c r="A70" s="113"/>
      <c r="B70" s="113"/>
      <c r="H70" s="72"/>
      <c r="I70" s="72"/>
    </row>
    <row r="71" spans="1:12" ht="20.100000000000001" customHeight="1" x14ac:dyDescent="0.3">
      <c r="H71" s="72"/>
      <c r="I71" s="72"/>
    </row>
    <row r="72" spans="1:12" ht="20.100000000000001" customHeight="1" x14ac:dyDescent="0.3">
      <c r="H72" s="72"/>
      <c r="I72" s="72"/>
    </row>
    <row r="73" spans="1:12" ht="20.100000000000001" customHeight="1" x14ac:dyDescent="0.3">
      <c r="A73" s="113"/>
      <c r="B73" s="113"/>
      <c r="H73" s="72"/>
      <c r="I73" s="72"/>
    </row>
    <row r="74" spans="1:12" ht="20.100000000000001" customHeight="1" x14ac:dyDescent="0.3">
      <c r="A74" s="113"/>
      <c r="B74" s="113"/>
      <c r="H74" s="72"/>
      <c r="I74" s="72"/>
    </row>
    <row r="75" spans="1:12" ht="20.100000000000001" customHeight="1" x14ac:dyDescent="0.3"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H77" s="72"/>
      <c r="I77" s="72"/>
    </row>
    <row r="78" spans="1:12" s="72" customFormat="1" ht="20.100000000000001" customHeight="1" x14ac:dyDescent="0.3">
      <c r="A78" s="69"/>
      <c r="B78" s="5"/>
      <c r="C78" s="5"/>
      <c r="D78" s="5"/>
      <c r="E78" s="5"/>
      <c r="F78" s="70"/>
      <c r="G78" s="5"/>
      <c r="J78" s="5"/>
      <c r="K78" s="5"/>
      <c r="L78" s="5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75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5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5" customFormat="1" ht="19.5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2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ht="19.5" customHeight="1" x14ac:dyDescent="0.3"/>
    <row r="86" spans="1:12" ht="19.5" customHeight="1" x14ac:dyDescent="0.3"/>
    <row r="87" spans="1:12" ht="19.5" customHeight="1" x14ac:dyDescent="0.3"/>
    <row r="88" spans="1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>
        <v>2</v>
      </c>
      <c r="C148" s="5"/>
      <c r="D148" s="5"/>
      <c r="E148" s="5"/>
      <c r="F148" s="70"/>
      <c r="G148" s="5"/>
      <c r="H148" s="5"/>
      <c r="I148" s="5"/>
      <c r="J148" s="5"/>
      <c r="K148" s="5"/>
      <c r="L148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3:B63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7:I57"/>
    <mergeCell ref="A58:B58"/>
    <mergeCell ref="D58:G58"/>
    <mergeCell ref="H58:J58"/>
    <mergeCell ref="K58:L58"/>
    <mergeCell ref="A73:B73"/>
    <mergeCell ref="A74:B74"/>
    <mergeCell ref="A64:B64"/>
    <mergeCell ref="A65:B65"/>
    <mergeCell ref="A66:B66"/>
    <mergeCell ref="A68:B68"/>
    <mergeCell ref="A69:B69"/>
    <mergeCell ref="A70:B70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L164"/>
  <sheetViews>
    <sheetView view="pageBreakPreview" topLeftCell="F49" zoomScale="85" zoomScaleSheetLayoutView="85" workbookViewId="0">
      <selection activeCell="L71" sqref="L71:L72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46098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2" si="0">(H7/1000*I7/1000)*J7</f>
        <v>0</v>
      </c>
      <c r="L7" s="26">
        <f>SUM(J7:J39)</f>
        <v>106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SUM(K7:K39)</f>
        <v>764.84829200000001</v>
      </c>
    </row>
    <row r="9" spans="1:12" s="27" customFormat="1" ht="19.5" customHeight="1" x14ac:dyDescent="0.3">
      <c r="A9" s="28" t="s">
        <v>2143</v>
      </c>
      <c r="B9" s="16" t="s">
        <v>2144</v>
      </c>
      <c r="C9" s="17">
        <v>43</v>
      </c>
      <c r="D9" s="18" t="s">
        <v>2145</v>
      </c>
      <c r="E9" s="41">
        <v>1</v>
      </c>
      <c r="F9" s="42">
        <v>3.13</v>
      </c>
      <c r="G9" s="34" t="s">
        <v>2146</v>
      </c>
      <c r="H9" s="35">
        <v>2438</v>
      </c>
      <c r="I9" s="36">
        <v>3353</v>
      </c>
      <c r="J9" s="37">
        <v>1</v>
      </c>
      <c r="K9" s="38">
        <f t="shared" si="0"/>
        <v>8.174614</v>
      </c>
      <c r="L9" s="39" t="s">
        <v>2169</v>
      </c>
    </row>
    <row r="10" spans="1:12" s="27" customFormat="1" ht="19.5" customHeight="1" x14ac:dyDescent="0.3">
      <c r="A10" s="28" t="s">
        <v>2166</v>
      </c>
      <c r="B10" s="16" t="s">
        <v>2167</v>
      </c>
      <c r="C10" s="17">
        <v>43</v>
      </c>
      <c r="D10" s="18" t="s">
        <v>2168</v>
      </c>
      <c r="E10" s="81">
        <v>1</v>
      </c>
      <c r="F10" s="82">
        <v>1.45</v>
      </c>
      <c r="G10" s="34" t="s">
        <v>2147</v>
      </c>
      <c r="H10" s="35">
        <v>2134</v>
      </c>
      <c r="I10" s="36">
        <v>3353</v>
      </c>
      <c r="J10" s="37">
        <v>1</v>
      </c>
      <c r="K10" s="38">
        <f t="shared" si="0"/>
        <v>7.1553019999999998</v>
      </c>
      <c r="L10" s="39" t="s">
        <v>2170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2148</v>
      </c>
      <c r="B12" s="16" t="s">
        <v>2149</v>
      </c>
      <c r="C12" s="17">
        <v>23</v>
      </c>
      <c r="D12" s="18" t="s">
        <v>2150</v>
      </c>
      <c r="E12" s="41">
        <v>19</v>
      </c>
      <c r="F12" s="42">
        <v>8.5399999999999991</v>
      </c>
      <c r="G12" s="34" t="s">
        <v>2151</v>
      </c>
      <c r="H12" s="35">
        <v>2134</v>
      </c>
      <c r="I12" s="36">
        <v>3353</v>
      </c>
      <c r="J12" s="37">
        <v>2</v>
      </c>
      <c r="K12" s="38">
        <f t="shared" si="0"/>
        <v>14.310604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2147</v>
      </c>
      <c r="H13" s="35">
        <v>1981</v>
      </c>
      <c r="I13" s="36">
        <v>3353</v>
      </c>
      <c r="J13" s="37">
        <v>2</v>
      </c>
      <c r="K13" s="38">
        <f t="shared" si="0"/>
        <v>13.284586000000001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2152</v>
      </c>
      <c r="B15" s="16" t="s">
        <v>2153</v>
      </c>
      <c r="C15" s="17">
        <v>26</v>
      </c>
      <c r="D15" s="18" t="s">
        <v>2154</v>
      </c>
      <c r="E15" s="41">
        <v>1</v>
      </c>
      <c r="F15" s="42">
        <v>0.47</v>
      </c>
      <c r="G15" s="34"/>
      <c r="H15" s="35"/>
      <c r="I15" s="36"/>
      <c r="J15" s="37"/>
      <c r="K15" s="38">
        <f t="shared" si="0"/>
        <v>0</v>
      </c>
      <c r="L15" s="39" t="s">
        <v>2155</v>
      </c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2156</v>
      </c>
      <c r="B17" s="16" t="s">
        <v>2157</v>
      </c>
      <c r="C17" s="17">
        <v>22</v>
      </c>
      <c r="D17" s="18" t="s">
        <v>2158</v>
      </c>
      <c r="E17" s="41">
        <v>18</v>
      </c>
      <c r="F17" s="42">
        <v>19.8</v>
      </c>
      <c r="G17" s="34" t="s">
        <v>2147</v>
      </c>
      <c r="H17" s="35">
        <v>2590</v>
      </c>
      <c r="I17" s="36">
        <v>3048</v>
      </c>
      <c r="J17" s="37">
        <v>3</v>
      </c>
      <c r="K17" s="38">
        <f t="shared" si="0"/>
        <v>23.682959999999998</v>
      </c>
      <c r="L17" s="39"/>
    </row>
    <row r="18" spans="1:12" s="27" customFormat="1" ht="19.5" customHeight="1" x14ac:dyDescent="0.3">
      <c r="A18" s="28"/>
      <c r="B18" s="16"/>
      <c r="C18" s="17">
        <v>46.76</v>
      </c>
      <c r="D18" s="18" t="s">
        <v>2159</v>
      </c>
      <c r="E18" s="41">
        <v>6</v>
      </c>
      <c r="F18" s="42">
        <v>2.7</v>
      </c>
      <c r="G18" s="34" t="s">
        <v>2160</v>
      </c>
      <c r="H18" s="35">
        <v>1981</v>
      </c>
      <c r="I18" s="36">
        <v>3353</v>
      </c>
      <c r="J18" s="37">
        <v>4</v>
      </c>
      <c r="K18" s="38">
        <f t="shared" si="0"/>
        <v>26.569172000000002</v>
      </c>
      <c r="L18" s="39" t="s">
        <v>2161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2162</v>
      </c>
      <c r="B20" s="16" t="s">
        <v>2157</v>
      </c>
      <c r="C20" s="17">
        <v>22</v>
      </c>
      <c r="D20" s="18" t="s">
        <v>2158</v>
      </c>
      <c r="E20" s="41">
        <v>24</v>
      </c>
      <c r="F20" s="42">
        <v>33.840000000000003</v>
      </c>
      <c r="G20" s="34" t="s">
        <v>2147</v>
      </c>
      <c r="H20" s="35">
        <v>2590</v>
      </c>
      <c r="I20" s="36">
        <v>3353</v>
      </c>
      <c r="J20" s="37">
        <v>4</v>
      </c>
      <c r="K20" s="38">
        <f t="shared" si="0"/>
        <v>34.737079999999992</v>
      </c>
      <c r="L20" s="39"/>
    </row>
    <row r="21" spans="1:12" s="27" customFormat="1" ht="19.5" customHeight="1" x14ac:dyDescent="0.3">
      <c r="A21" s="28"/>
      <c r="B21" s="16"/>
      <c r="C21" s="17">
        <v>46.76</v>
      </c>
      <c r="D21" s="18" t="s">
        <v>2159</v>
      </c>
      <c r="E21" s="41">
        <v>12</v>
      </c>
      <c r="F21" s="42">
        <v>4.8</v>
      </c>
      <c r="G21" s="34" t="s">
        <v>2160</v>
      </c>
      <c r="H21" s="35">
        <v>1981</v>
      </c>
      <c r="I21" s="36">
        <v>3353</v>
      </c>
      <c r="J21" s="37">
        <v>6</v>
      </c>
      <c r="K21" s="38">
        <f t="shared" si="0"/>
        <v>39.853757999999999</v>
      </c>
      <c r="L21" s="39" t="s">
        <v>2161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2163</v>
      </c>
      <c r="B23" s="16" t="s">
        <v>2157</v>
      </c>
      <c r="C23" s="17">
        <v>22</v>
      </c>
      <c r="D23" s="18" t="s">
        <v>2158</v>
      </c>
      <c r="E23" s="41">
        <v>12</v>
      </c>
      <c r="F23" s="42">
        <v>16.920000000000002</v>
      </c>
      <c r="G23" s="34" t="s">
        <v>2147</v>
      </c>
      <c r="H23" s="35">
        <v>2590</v>
      </c>
      <c r="I23" s="36">
        <v>3353</v>
      </c>
      <c r="J23" s="37">
        <v>2</v>
      </c>
      <c r="K23" s="38">
        <f t="shared" si="0"/>
        <v>17.368539999999996</v>
      </c>
      <c r="L23" s="39"/>
    </row>
    <row r="24" spans="1:12" s="27" customFormat="1" ht="19.5" customHeight="1" x14ac:dyDescent="0.3">
      <c r="A24" s="28"/>
      <c r="B24" s="16"/>
      <c r="C24" s="17">
        <v>46.76</v>
      </c>
      <c r="D24" s="18" t="s">
        <v>2159</v>
      </c>
      <c r="E24" s="41">
        <v>6</v>
      </c>
      <c r="F24" s="42">
        <v>2.7</v>
      </c>
      <c r="G24" s="34" t="s">
        <v>2160</v>
      </c>
      <c r="H24" s="35">
        <v>1981</v>
      </c>
      <c r="I24" s="36">
        <v>3353</v>
      </c>
      <c r="J24" s="37">
        <v>3</v>
      </c>
      <c r="K24" s="38">
        <f t="shared" si="0"/>
        <v>19.926879</v>
      </c>
      <c r="L24" s="39" t="s">
        <v>2161</v>
      </c>
    </row>
    <row r="25" spans="1:12" s="27" customFormat="1" ht="19.5" customHeight="1" x14ac:dyDescent="0.3">
      <c r="A25" s="28"/>
      <c r="B25" s="16"/>
      <c r="C25" s="17"/>
      <c r="D25" s="18"/>
      <c r="E25" s="81"/>
      <c r="F25" s="8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 t="s">
        <v>2164</v>
      </c>
      <c r="B26" s="16" t="s">
        <v>2157</v>
      </c>
      <c r="C26" s="17">
        <v>22</v>
      </c>
      <c r="D26" s="18" t="s">
        <v>2158</v>
      </c>
      <c r="E26" s="81">
        <v>18</v>
      </c>
      <c r="F26" s="82">
        <v>19.8</v>
      </c>
      <c r="G26" s="34" t="s">
        <v>2147</v>
      </c>
      <c r="H26" s="35">
        <v>2590</v>
      </c>
      <c r="I26" s="36">
        <v>3048</v>
      </c>
      <c r="J26" s="37">
        <v>3</v>
      </c>
      <c r="K26" s="38">
        <f t="shared" si="0"/>
        <v>23.682959999999998</v>
      </c>
      <c r="L26" s="39"/>
    </row>
    <row r="27" spans="1:12" s="27" customFormat="1" ht="19.5" customHeight="1" x14ac:dyDescent="0.3">
      <c r="A27" s="28"/>
      <c r="B27" s="16"/>
      <c r="C27" s="17">
        <v>46.76</v>
      </c>
      <c r="D27" s="18" t="s">
        <v>2159</v>
      </c>
      <c r="E27" s="81">
        <v>6</v>
      </c>
      <c r="F27" s="82">
        <v>2.7</v>
      </c>
      <c r="G27" s="34" t="s">
        <v>2160</v>
      </c>
      <c r="H27" s="35">
        <v>1981</v>
      </c>
      <c r="I27" s="36">
        <v>3353</v>
      </c>
      <c r="J27" s="37">
        <v>4</v>
      </c>
      <c r="K27" s="38">
        <f t="shared" si="0"/>
        <v>26.569172000000002</v>
      </c>
      <c r="L27" s="39" t="s">
        <v>2161</v>
      </c>
    </row>
    <row r="28" spans="1:12" s="27" customFormat="1" ht="19.5" customHeight="1" x14ac:dyDescent="0.3">
      <c r="A28" s="28"/>
      <c r="B28" s="16"/>
      <c r="C28" s="17"/>
      <c r="D28" s="18"/>
      <c r="E28" s="81"/>
      <c r="F28" s="8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 t="s">
        <v>2156</v>
      </c>
      <c r="B29" s="16" t="s">
        <v>2157</v>
      </c>
      <c r="C29" s="17">
        <v>46.76</v>
      </c>
      <c r="D29" s="18" t="s">
        <v>2159</v>
      </c>
      <c r="E29" s="41">
        <v>6</v>
      </c>
      <c r="F29" s="42">
        <v>2.7</v>
      </c>
      <c r="G29" s="34" t="s">
        <v>2146</v>
      </c>
      <c r="H29" s="35">
        <v>1829</v>
      </c>
      <c r="I29" s="36">
        <v>3048</v>
      </c>
      <c r="J29" s="37">
        <v>2</v>
      </c>
      <c r="K29" s="38">
        <f t="shared" ref="K29:K34" si="1">(H29/1000*I29/1000)*J29</f>
        <v>11.149583999999999</v>
      </c>
      <c r="L29" s="39" t="s">
        <v>2165</v>
      </c>
    </row>
    <row r="30" spans="1:12" s="27" customFormat="1" ht="19.5" customHeight="1" x14ac:dyDescent="0.3">
      <c r="A30" s="28" t="s">
        <v>2162</v>
      </c>
      <c r="B30" s="16" t="s">
        <v>2157</v>
      </c>
      <c r="C30" s="17">
        <v>46.76</v>
      </c>
      <c r="D30" s="18" t="s">
        <v>2159</v>
      </c>
      <c r="E30" s="41">
        <v>12</v>
      </c>
      <c r="F30" s="42">
        <v>4.8</v>
      </c>
      <c r="G30" s="34"/>
      <c r="H30" s="35"/>
      <c r="I30" s="36"/>
      <c r="J30" s="37"/>
      <c r="K30" s="38">
        <f t="shared" si="1"/>
        <v>0</v>
      </c>
      <c r="L30" s="39" t="s">
        <v>2165</v>
      </c>
    </row>
    <row r="31" spans="1:12" s="27" customFormat="1" ht="19.5" customHeight="1" x14ac:dyDescent="0.3">
      <c r="A31" s="28" t="s">
        <v>2163</v>
      </c>
      <c r="B31" s="16" t="s">
        <v>2157</v>
      </c>
      <c r="C31" s="17">
        <v>46.76</v>
      </c>
      <c r="D31" s="18" t="s">
        <v>2159</v>
      </c>
      <c r="E31" s="41">
        <v>6</v>
      </c>
      <c r="F31" s="42">
        <v>2.7</v>
      </c>
      <c r="G31" s="34"/>
      <c r="H31" s="35"/>
      <c r="I31" s="36"/>
      <c r="J31" s="37"/>
      <c r="K31" s="38">
        <f t="shared" si="1"/>
        <v>0</v>
      </c>
      <c r="L31" s="39" t="s">
        <v>2165</v>
      </c>
    </row>
    <row r="32" spans="1:12" s="27" customFormat="1" ht="19.5" customHeight="1" x14ac:dyDescent="0.3">
      <c r="A32" s="28" t="s">
        <v>2164</v>
      </c>
      <c r="B32" s="16" t="s">
        <v>2157</v>
      </c>
      <c r="C32" s="17">
        <v>46.76</v>
      </c>
      <c r="D32" s="18" t="s">
        <v>2159</v>
      </c>
      <c r="E32" s="81">
        <v>6</v>
      </c>
      <c r="F32" s="82">
        <v>2.7</v>
      </c>
      <c r="G32" s="34"/>
      <c r="H32" s="35"/>
      <c r="I32" s="36"/>
      <c r="J32" s="37"/>
      <c r="K32" s="38">
        <f t="shared" si="1"/>
        <v>0</v>
      </c>
      <c r="L32" s="39" t="s">
        <v>2165</v>
      </c>
    </row>
    <row r="33" spans="1:12" s="27" customFormat="1" ht="19.5" customHeight="1" x14ac:dyDescent="0.3">
      <c r="A33" s="28"/>
      <c r="B33" s="16"/>
      <c r="C33" s="17"/>
      <c r="D33" s="18"/>
      <c r="E33" s="81"/>
      <c r="F33" s="82"/>
      <c r="G33" s="34"/>
      <c r="H33" s="35"/>
      <c r="I33" s="36"/>
      <c r="J33" s="37"/>
      <c r="K33" s="38">
        <f t="shared" si="1"/>
        <v>0</v>
      </c>
      <c r="L33" s="39"/>
    </row>
    <row r="34" spans="1:12" s="27" customFormat="1" ht="19.5" customHeight="1" x14ac:dyDescent="0.3">
      <c r="A34" s="28" t="s">
        <v>2171</v>
      </c>
      <c r="B34" s="16" t="s">
        <v>2157</v>
      </c>
      <c r="C34" s="17">
        <v>22</v>
      </c>
      <c r="D34" s="18" t="s">
        <v>2172</v>
      </c>
      <c r="E34" s="81">
        <v>252</v>
      </c>
      <c r="F34" s="82">
        <v>228.48</v>
      </c>
      <c r="G34" s="34" t="s">
        <v>2147</v>
      </c>
      <c r="H34" s="35">
        <v>2590</v>
      </c>
      <c r="I34" s="36">
        <v>3048</v>
      </c>
      <c r="J34" s="37">
        <v>32</v>
      </c>
      <c r="K34" s="38">
        <f t="shared" si="1"/>
        <v>252.61823999999999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 t="s">
        <v>2160</v>
      </c>
      <c r="H35" s="35">
        <v>1981</v>
      </c>
      <c r="I35" s="36">
        <v>3353</v>
      </c>
      <c r="J35" s="37">
        <v>37</v>
      </c>
      <c r="K35" s="38">
        <f t="shared" si="0"/>
        <v>245.76484100000002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/>
      <c r="B39" s="29"/>
      <c r="C39" s="30"/>
      <c r="D39" s="31"/>
      <c r="E39" s="41"/>
      <c r="F39" s="42"/>
      <c r="G39" s="43"/>
      <c r="H39" s="35"/>
      <c r="I39" s="36"/>
      <c r="J39" s="37"/>
      <c r="K39" s="38">
        <f t="shared" si="0"/>
        <v>0</v>
      </c>
      <c r="L39" s="39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2173</v>
      </c>
      <c r="B41" s="76" t="s">
        <v>2174</v>
      </c>
      <c r="C41" s="77">
        <v>24</v>
      </c>
      <c r="D41" s="47" t="s">
        <v>2175</v>
      </c>
      <c r="E41" s="48">
        <v>14</v>
      </c>
      <c r="F41" s="49">
        <v>17.82</v>
      </c>
      <c r="G41" s="50" t="s">
        <v>2147</v>
      </c>
      <c r="H41" s="51">
        <v>2134</v>
      </c>
      <c r="I41" s="45">
        <v>3353</v>
      </c>
      <c r="J41" s="52">
        <v>2</v>
      </c>
      <c r="K41" s="53">
        <f t="shared" si="0"/>
        <v>14.310604</v>
      </c>
      <c r="L41" s="54"/>
    </row>
    <row r="42" spans="1:12" s="55" customFormat="1" ht="19.5" customHeight="1" x14ac:dyDescent="0.3">
      <c r="A42" s="44"/>
      <c r="B42" s="45"/>
      <c r="C42" s="77"/>
      <c r="D42" s="47"/>
      <c r="E42" s="48"/>
      <c r="F42" s="49"/>
      <c r="G42" s="50" t="s">
        <v>2147</v>
      </c>
      <c r="H42" s="51">
        <v>1981</v>
      </c>
      <c r="I42" s="45">
        <v>3353</v>
      </c>
      <c r="J42" s="52">
        <v>1</v>
      </c>
      <c r="K42" s="53">
        <f t="shared" si="0"/>
        <v>6.6422930000000004</v>
      </c>
      <c r="L42" s="54"/>
    </row>
    <row r="43" spans="1:12" s="55" customFormat="1" ht="19.5" customHeight="1" x14ac:dyDescent="0.3">
      <c r="A43" s="44"/>
      <c r="B43" s="76"/>
      <c r="C43" s="77"/>
      <c r="D43" s="47"/>
      <c r="E43" s="48"/>
      <c r="F43" s="49"/>
      <c r="G43" s="50" t="s">
        <v>2176</v>
      </c>
      <c r="H43" s="51">
        <v>2134</v>
      </c>
      <c r="I43" s="45">
        <v>3048</v>
      </c>
      <c r="J43" s="52">
        <v>4</v>
      </c>
      <c r="K43" s="53">
        <f t="shared" si="0"/>
        <v>26.017727999999998</v>
      </c>
      <c r="L43" s="54"/>
    </row>
    <row r="44" spans="1:12" s="55" customFormat="1" ht="19.5" customHeight="1" x14ac:dyDescent="0.3">
      <c r="A44" s="44"/>
      <c r="B44" s="76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2177</v>
      </c>
      <c r="B45" s="45" t="s">
        <v>2178</v>
      </c>
      <c r="C45" s="77">
        <v>28</v>
      </c>
      <c r="D45" s="47" t="s">
        <v>2179</v>
      </c>
      <c r="E45" s="48">
        <v>1</v>
      </c>
      <c r="F45" s="49">
        <v>1.29</v>
      </c>
      <c r="G45" s="50"/>
      <c r="H45" s="51"/>
      <c r="I45" s="45"/>
      <c r="J45" s="52"/>
      <c r="K45" s="53">
        <f t="shared" si="0"/>
        <v>0</v>
      </c>
      <c r="L45" s="54" t="s">
        <v>2180</v>
      </c>
    </row>
    <row r="46" spans="1:12" s="55" customFormat="1" ht="19.5" customHeight="1" x14ac:dyDescent="0.3">
      <c r="A46" s="44"/>
      <c r="B46" s="45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2181</v>
      </c>
      <c r="B47" s="76" t="s">
        <v>2182</v>
      </c>
      <c r="C47" s="77">
        <v>24</v>
      </c>
      <c r="D47" s="47" t="s">
        <v>2183</v>
      </c>
      <c r="E47" s="48">
        <v>1</v>
      </c>
      <c r="F47" s="49">
        <v>1.65</v>
      </c>
      <c r="G47" s="50"/>
      <c r="H47" s="51"/>
      <c r="I47" s="45"/>
      <c r="J47" s="52"/>
      <c r="K47" s="53">
        <f t="shared" si="0"/>
        <v>0</v>
      </c>
      <c r="L47" s="54" t="s">
        <v>2180</v>
      </c>
    </row>
    <row r="48" spans="1:12" s="55" customFormat="1" ht="19.5" customHeight="1" x14ac:dyDescent="0.3">
      <c r="A48" s="44"/>
      <c r="B48" s="45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2184</v>
      </c>
      <c r="B49" s="45" t="s">
        <v>2185</v>
      </c>
      <c r="C49" s="77">
        <v>24</v>
      </c>
      <c r="D49" s="47" t="s">
        <v>2186</v>
      </c>
      <c r="E49" s="48">
        <v>1</v>
      </c>
      <c r="F49" s="49">
        <v>1.2</v>
      </c>
      <c r="G49" s="50"/>
      <c r="H49" s="51"/>
      <c r="I49" s="45"/>
      <c r="J49" s="52"/>
      <c r="K49" s="53">
        <f t="shared" si="0"/>
        <v>0</v>
      </c>
      <c r="L49" s="54" t="s">
        <v>2180</v>
      </c>
    </row>
    <row r="50" spans="1:12" s="55" customFormat="1" ht="19.5" customHeight="1" x14ac:dyDescent="0.3">
      <c r="A50" s="44"/>
      <c r="B50" s="45"/>
      <c r="C50" s="77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2187</v>
      </c>
      <c r="B51" s="76" t="s">
        <v>2188</v>
      </c>
      <c r="C51" s="77">
        <v>22</v>
      </c>
      <c r="D51" s="47" t="s">
        <v>2172</v>
      </c>
      <c r="E51" s="48">
        <v>1</v>
      </c>
      <c r="F51" s="49">
        <v>1.42</v>
      </c>
      <c r="G51" s="50"/>
      <c r="H51" s="51"/>
      <c r="I51" s="45"/>
      <c r="J51" s="52"/>
      <c r="K51" s="53">
        <f t="shared" si="0"/>
        <v>0</v>
      </c>
      <c r="L51" s="54" t="s">
        <v>2180</v>
      </c>
    </row>
    <row r="52" spans="1:12" s="55" customFormat="1" ht="19.5" customHeight="1" x14ac:dyDescent="0.3">
      <c r="A52" s="44"/>
      <c r="B52" s="45"/>
      <c r="C52" s="77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2189</v>
      </c>
      <c r="B53" s="45" t="s">
        <v>2190</v>
      </c>
      <c r="C53" s="77">
        <v>31.52</v>
      </c>
      <c r="D53" s="47" t="s">
        <v>2191</v>
      </c>
      <c r="E53" s="48">
        <v>2</v>
      </c>
      <c r="F53" s="49">
        <v>9.16</v>
      </c>
      <c r="G53" s="50" t="s">
        <v>2192</v>
      </c>
      <c r="H53" s="51">
        <v>2438</v>
      </c>
      <c r="I53" s="45">
        <v>3353</v>
      </c>
      <c r="J53" s="52">
        <v>2</v>
      </c>
      <c r="K53" s="53">
        <f t="shared" si="0"/>
        <v>16.349228</v>
      </c>
      <c r="L53" s="54" t="s">
        <v>2193</v>
      </c>
    </row>
    <row r="54" spans="1:12" s="55" customFormat="1" ht="19.5" customHeight="1" x14ac:dyDescent="0.3">
      <c r="A54" s="44"/>
      <c r="B54" s="45"/>
      <c r="C54" s="77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2194</v>
      </c>
      <c r="B55" s="45" t="s">
        <v>2195</v>
      </c>
      <c r="C55" s="77">
        <v>24</v>
      </c>
      <c r="D55" s="47" t="s">
        <v>2183</v>
      </c>
      <c r="E55" s="48">
        <v>34</v>
      </c>
      <c r="F55" s="49">
        <v>32.090000000000003</v>
      </c>
      <c r="G55" s="50" t="s">
        <v>2196</v>
      </c>
      <c r="H55" s="51">
        <v>2438</v>
      </c>
      <c r="I55" s="45">
        <v>3353</v>
      </c>
      <c r="J55" s="52">
        <v>5</v>
      </c>
      <c r="K55" s="53">
        <f t="shared" si="0"/>
        <v>40.873069999999998</v>
      </c>
      <c r="L55" s="54"/>
    </row>
    <row r="56" spans="1:12" s="55" customFormat="1" ht="19.5" customHeight="1" x14ac:dyDescent="0.3">
      <c r="A56" s="44"/>
      <c r="B56" s="45"/>
      <c r="C56" s="77"/>
      <c r="D56" s="47"/>
      <c r="E56" s="48"/>
      <c r="F56" s="49"/>
      <c r="G56" s="50" t="s">
        <v>2147</v>
      </c>
      <c r="H56" s="51">
        <v>2438</v>
      </c>
      <c r="I56" s="45">
        <v>3353</v>
      </c>
      <c r="J56" s="52">
        <v>5</v>
      </c>
      <c r="K56" s="53">
        <f t="shared" si="0"/>
        <v>40.873069999999998</v>
      </c>
      <c r="L56" s="54"/>
    </row>
    <row r="57" spans="1:12" s="55" customFormat="1" ht="19.5" customHeight="1" x14ac:dyDescent="0.3">
      <c r="A57" s="44"/>
      <c r="B57" s="45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2197</v>
      </c>
      <c r="B58" s="45" t="s">
        <v>2195</v>
      </c>
      <c r="C58" s="77">
        <v>24</v>
      </c>
      <c r="D58" s="47" t="s">
        <v>2183</v>
      </c>
      <c r="E58" s="48">
        <v>45</v>
      </c>
      <c r="F58" s="49">
        <v>47.43</v>
      </c>
      <c r="G58" s="50" t="s">
        <v>2196</v>
      </c>
      <c r="H58" s="51">
        <v>2438</v>
      </c>
      <c r="I58" s="45">
        <v>3353</v>
      </c>
      <c r="J58" s="52">
        <v>6</v>
      </c>
      <c r="K58" s="53">
        <f t="shared" si="0"/>
        <v>49.047684000000004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 t="s">
        <v>2147</v>
      </c>
      <c r="H59" s="51">
        <v>2438</v>
      </c>
      <c r="I59" s="45">
        <v>3353</v>
      </c>
      <c r="J59" s="52">
        <v>6</v>
      </c>
      <c r="K59" s="53">
        <f t="shared" si="0"/>
        <v>49.047684000000004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ref="K60:K70" si="2">(H60/1000*I60/1000)*J60</f>
        <v>0</v>
      </c>
      <c r="L60" s="54"/>
    </row>
    <row r="61" spans="1:12" s="55" customFormat="1" ht="19.5" customHeight="1" x14ac:dyDescent="0.3">
      <c r="A61" s="44" t="s">
        <v>2198</v>
      </c>
      <c r="B61" s="45" t="s">
        <v>2195</v>
      </c>
      <c r="C61" s="77">
        <v>24</v>
      </c>
      <c r="D61" s="47" t="s">
        <v>2183</v>
      </c>
      <c r="E61" s="48">
        <v>82</v>
      </c>
      <c r="F61" s="49">
        <v>62.75</v>
      </c>
      <c r="G61" s="50" t="s">
        <v>2196</v>
      </c>
      <c r="H61" s="51">
        <v>1981</v>
      </c>
      <c r="I61" s="45">
        <v>3353</v>
      </c>
      <c r="J61" s="52">
        <v>10</v>
      </c>
      <c r="K61" s="53">
        <f t="shared" si="2"/>
        <v>66.422930000000008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 t="s">
        <v>2147</v>
      </c>
      <c r="H62" s="51">
        <v>1981</v>
      </c>
      <c r="I62" s="45">
        <v>3353</v>
      </c>
      <c r="J62" s="52">
        <v>10</v>
      </c>
      <c r="K62" s="53">
        <f t="shared" si="2"/>
        <v>66.422930000000008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2"/>
        <v>0</v>
      </c>
      <c r="L63" s="54"/>
    </row>
    <row r="64" spans="1:12" s="55" customFormat="1" ht="19.5" customHeight="1" x14ac:dyDescent="0.3">
      <c r="A64" s="44" t="s">
        <v>2199</v>
      </c>
      <c r="B64" s="45" t="s">
        <v>2200</v>
      </c>
      <c r="C64" s="46">
        <v>28</v>
      </c>
      <c r="D64" s="47" t="s">
        <v>2201</v>
      </c>
      <c r="E64" s="48">
        <v>4</v>
      </c>
      <c r="F64" s="49">
        <v>5.55</v>
      </c>
      <c r="G64" s="50" t="s">
        <v>2202</v>
      </c>
      <c r="H64" s="51">
        <v>1981</v>
      </c>
      <c r="I64" s="45">
        <v>3048</v>
      </c>
      <c r="J64" s="52">
        <v>1</v>
      </c>
      <c r="K64" s="53">
        <f t="shared" si="2"/>
        <v>6.038088000000001</v>
      </c>
      <c r="L64" s="54" t="s">
        <v>2193</v>
      </c>
    </row>
    <row r="65" spans="1:12" s="55" customFormat="1" ht="19.5" customHeight="1" x14ac:dyDescent="0.3">
      <c r="A65" s="44"/>
      <c r="B65" s="45"/>
      <c r="C65" s="46">
        <v>28</v>
      </c>
      <c r="D65" s="47" t="s">
        <v>2201</v>
      </c>
      <c r="E65" s="48">
        <v>1</v>
      </c>
      <c r="F65" s="49">
        <v>0.51</v>
      </c>
      <c r="G65" s="50"/>
      <c r="H65" s="51"/>
      <c r="I65" s="45"/>
      <c r="J65" s="52"/>
      <c r="K65" s="53">
        <f t="shared" ref="K65:K68" si="3">(H65/1000*I65/1000)*J65</f>
        <v>0</v>
      </c>
      <c r="L65" s="54" t="s">
        <v>2193</v>
      </c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3"/>
        <v>0</v>
      </c>
      <c r="L66" s="54"/>
    </row>
    <row r="67" spans="1:12" s="55" customFormat="1" ht="19.5" customHeight="1" x14ac:dyDescent="0.3">
      <c r="A67" s="44" t="s">
        <v>2203</v>
      </c>
      <c r="B67" s="45" t="s">
        <v>2157</v>
      </c>
      <c r="C67" s="46">
        <v>22</v>
      </c>
      <c r="D67" s="47" t="s">
        <v>2172</v>
      </c>
      <c r="E67" s="48">
        <v>162</v>
      </c>
      <c r="F67" s="49">
        <v>133.02000000000001</v>
      </c>
      <c r="G67" s="50" t="s">
        <v>2147</v>
      </c>
      <c r="H67" s="51">
        <v>2590</v>
      </c>
      <c r="I67" s="45">
        <v>3353</v>
      </c>
      <c r="J67" s="52">
        <v>17</v>
      </c>
      <c r="K67" s="53">
        <f t="shared" si="3"/>
        <v>147.63258999999996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 t="s">
        <v>2160</v>
      </c>
      <c r="H68" s="51">
        <v>1981</v>
      </c>
      <c r="I68" s="45">
        <v>3353</v>
      </c>
      <c r="J68" s="52">
        <v>22</v>
      </c>
      <c r="K68" s="53">
        <f t="shared" si="3"/>
        <v>146.13044600000001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2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2"/>
        <v>0</v>
      </c>
      <c r="L70" s="54"/>
    </row>
    <row r="71" spans="1:12" s="59" customFormat="1" ht="20.100000000000001" customHeight="1" x14ac:dyDescent="0.3">
      <c r="A71" s="44"/>
      <c r="B71" s="45"/>
      <c r="C71" s="46"/>
      <c r="D71" s="47"/>
      <c r="E71" s="56"/>
      <c r="F71" s="57"/>
      <c r="G71" s="50"/>
      <c r="H71" s="51"/>
      <c r="I71" s="45"/>
      <c r="J71" s="52"/>
      <c r="K71" s="53">
        <f t="shared" si="0"/>
        <v>0</v>
      </c>
      <c r="L71" s="58">
        <f>SUM(J40:J72)</f>
        <v>91</v>
      </c>
    </row>
    <row r="72" spans="1:12" s="59" customFormat="1" ht="20.100000000000001" customHeight="1" x14ac:dyDescent="0.3">
      <c r="A72" s="44"/>
      <c r="B72" s="45"/>
      <c r="C72" s="46"/>
      <c r="D72" s="47"/>
      <c r="E72" s="60"/>
      <c r="F72" s="61"/>
      <c r="G72" s="62"/>
      <c r="H72" s="51"/>
      <c r="I72" s="45"/>
      <c r="J72" s="63"/>
      <c r="K72" s="53">
        <f t="shared" si="0"/>
        <v>0</v>
      </c>
      <c r="L72" s="64">
        <f>SUM(K40:K72)</f>
        <v>675.80834500000003</v>
      </c>
    </row>
    <row r="73" spans="1:12" s="59" customFormat="1" ht="20.100000000000001" customHeight="1" thickBot="1" x14ac:dyDescent="0.35">
      <c r="A73" s="114"/>
      <c r="B73" s="115"/>
      <c r="C73" s="115"/>
      <c r="D73" s="115"/>
      <c r="E73" s="115"/>
      <c r="F73" s="115"/>
      <c r="G73" s="115"/>
      <c r="H73" s="115"/>
      <c r="I73" s="115"/>
      <c r="J73" s="65">
        <f>SUM(J7:J72)</f>
        <v>197</v>
      </c>
      <c r="K73" s="66">
        <f>SUM(K7:K72)</f>
        <v>1440.656637</v>
      </c>
      <c r="L73" s="67"/>
    </row>
    <row r="74" spans="1:12" s="59" customFormat="1" ht="20.100000000000001" customHeight="1" thickTop="1" thickBot="1" x14ac:dyDescent="0.35">
      <c r="A74" s="116" t="s">
        <v>52</v>
      </c>
      <c r="B74" s="117"/>
      <c r="C74" s="68"/>
      <c r="D74" s="118">
        <f>J73</f>
        <v>197</v>
      </c>
      <c r="E74" s="119"/>
      <c r="F74" s="119"/>
      <c r="G74" s="120"/>
      <c r="H74" s="121"/>
      <c r="I74" s="121"/>
      <c r="J74" s="122"/>
      <c r="K74" s="119"/>
      <c r="L74" s="123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71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72"/>
      <c r="F80" s="5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5"/>
      <c r="G81" s="73"/>
      <c r="H81" s="5"/>
      <c r="I81" s="74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70"/>
      <c r="G85" s="5"/>
      <c r="H85" s="72"/>
      <c r="I85" s="72"/>
      <c r="J85" s="5"/>
      <c r="K85" s="5"/>
      <c r="L85" s="5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A89" s="113"/>
      <c r="B89" s="113"/>
      <c r="H89" s="72"/>
      <c r="I89" s="72"/>
    </row>
    <row r="90" spans="1:12" ht="20.100000000000001" customHeight="1" x14ac:dyDescent="0.3">
      <c r="A90" s="113"/>
      <c r="B90" s="113"/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H93" s="72"/>
      <c r="I93" s="72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5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5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5" customFormat="1" ht="19.5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2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ht="19.5" customHeight="1" x14ac:dyDescent="0.3"/>
    <row r="102" spans="1:12" ht="19.5" customHeight="1" x14ac:dyDescent="0.3"/>
    <row r="103" spans="1:12" ht="19.5" customHeight="1" x14ac:dyDescent="0.3"/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>
        <v>2</v>
      </c>
      <c r="C164" s="5"/>
      <c r="D164" s="5"/>
      <c r="E164" s="5"/>
      <c r="F164" s="70"/>
      <c r="G164" s="5"/>
      <c r="H164" s="5"/>
      <c r="I164" s="5"/>
      <c r="J164" s="5"/>
      <c r="K164" s="5"/>
      <c r="L164" s="5"/>
    </row>
  </sheetData>
  <mergeCells count="30">
    <mergeCell ref="A89:B89"/>
    <mergeCell ref="A90:B90"/>
    <mergeCell ref="A80:B80"/>
    <mergeCell ref="A81:B81"/>
    <mergeCell ref="A82:B82"/>
    <mergeCell ref="A84:B84"/>
    <mergeCell ref="A85:B85"/>
    <mergeCell ref="A86:B86"/>
    <mergeCell ref="A79:B7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3:I73"/>
    <mergeCell ref="A74:B74"/>
    <mergeCell ref="D74:G74"/>
    <mergeCell ref="H74:J74"/>
    <mergeCell ref="K74:L74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L148"/>
  <sheetViews>
    <sheetView view="pageBreakPreview" topLeftCell="E34" zoomScale="85" zoomScaleSheetLayoutView="85" workbookViewId="0">
      <selection activeCell="L55" sqref="L55:L56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46097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6" si="0">(H7/1000*I7/1000)*J7</f>
        <v>0</v>
      </c>
      <c r="L7" s="26">
        <f>SUM(J7:J34)</f>
        <v>117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SUM(K7:K34)</f>
        <v>856.53009300000031</v>
      </c>
    </row>
    <row r="9" spans="1:12" s="27" customFormat="1" ht="19.5" customHeight="1" x14ac:dyDescent="0.3">
      <c r="A9" s="28" t="s">
        <v>2096</v>
      </c>
      <c r="B9" s="16" t="s">
        <v>2097</v>
      </c>
      <c r="C9" s="17">
        <v>25.76</v>
      </c>
      <c r="D9" s="18" t="s">
        <v>2098</v>
      </c>
      <c r="E9" s="41">
        <v>42</v>
      </c>
      <c r="F9" s="42">
        <v>24.96</v>
      </c>
      <c r="G9" s="34" t="s">
        <v>2100</v>
      </c>
      <c r="H9" s="35">
        <v>2590</v>
      </c>
      <c r="I9" s="36">
        <v>3048</v>
      </c>
      <c r="J9" s="37">
        <v>18</v>
      </c>
      <c r="K9" s="38">
        <f t="shared" si="0"/>
        <v>142.09775999999999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2099</v>
      </c>
      <c r="E10" s="41">
        <v>162</v>
      </c>
      <c r="F10" s="42">
        <v>133.02000000000001</v>
      </c>
      <c r="G10" s="34" t="s">
        <v>2101</v>
      </c>
      <c r="H10" s="35">
        <v>1981</v>
      </c>
      <c r="I10" s="36">
        <v>3353</v>
      </c>
      <c r="J10" s="37">
        <v>22</v>
      </c>
      <c r="K10" s="38">
        <f t="shared" si="0"/>
        <v>146.13044600000001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 t="s">
        <v>2102</v>
      </c>
      <c r="H11" s="35">
        <v>2134</v>
      </c>
      <c r="I11" s="36">
        <v>3353</v>
      </c>
      <c r="J11" s="37">
        <v>4</v>
      </c>
      <c r="K11" s="38">
        <f t="shared" si="0"/>
        <v>28.621207999999999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2103</v>
      </c>
      <c r="B13" s="16" t="s">
        <v>2104</v>
      </c>
      <c r="C13" s="17">
        <v>22</v>
      </c>
      <c r="D13" s="18" t="s">
        <v>2142</v>
      </c>
      <c r="E13" s="41">
        <v>296</v>
      </c>
      <c r="F13" s="42">
        <v>177.6</v>
      </c>
      <c r="G13" s="34" t="s">
        <v>2105</v>
      </c>
      <c r="H13" s="35">
        <v>2438</v>
      </c>
      <c r="I13" s="36">
        <v>3048</v>
      </c>
      <c r="J13" s="37">
        <v>25</v>
      </c>
      <c r="K13" s="38">
        <f t="shared" si="0"/>
        <v>185.77560000000003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2106</v>
      </c>
      <c r="H14" s="35">
        <v>2438</v>
      </c>
      <c r="I14" s="36">
        <v>3048</v>
      </c>
      <c r="J14" s="37">
        <v>25</v>
      </c>
      <c r="K14" s="38">
        <f t="shared" si="0"/>
        <v>185.77560000000003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2107</v>
      </c>
      <c r="B16" s="16" t="s">
        <v>2108</v>
      </c>
      <c r="C16" s="17">
        <v>24</v>
      </c>
      <c r="D16" s="18" t="s">
        <v>2109</v>
      </c>
      <c r="E16" s="81">
        <v>1</v>
      </c>
      <c r="F16" s="82">
        <v>1.82</v>
      </c>
      <c r="G16" s="34"/>
      <c r="H16" s="35"/>
      <c r="I16" s="36"/>
      <c r="J16" s="37"/>
      <c r="K16" s="38">
        <f t="shared" si="0"/>
        <v>0</v>
      </c>
      <c r="L16" s="39" t="s">
        <v>2110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2111</v>
      </c>
      <c r="B18" s="16" t="s">
        <v>2112</v>
      </c>
      <c r="C18" s="17">
        <v>22</v>
      </c>
      <c r="D18" s="18" t="s">
        <v>2113</v>
      </c>
      <c r="E18" s="41">
        <v>1</v>
      </c>
      <c r="F18" s="42">
        <v>0.72</v>
      </c>
      <c r="G18" s="34"/>
      <c r="H18" s="35"/>
      <c r="I18" s="36"/>
      <c r="J18" s="37"/>
      <c r="K18" s="38">
        <f t="shared" si="0"/>
        <v>0</v>
      </c>
      <c r="L18" s="39" t="s">
        <v>2110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2114</v>
      </c>
      <c r="B20" s="16" t="s">
        <v>2115</v>
      </c>
      <c r="C20" s="17">
        <v>5</v>
      </c>
      <c r="D20" s="18" t="s">
        <v>2116</v>
      </c>
      <c r="E20" s="41">
        <v>30</v>
      </c>
      <c r="F20" s="42">
        <v>39.32</v>
      </c>
      <c r="G20" s="34" t="s">
        <v>2100</v>
      </c>
      <c r="H20" s="35">
        <v>2438</v>
      </c>
      <c r="I20" s="36">
        <v>3353</v>
      </c>
      <c r="J20" s="37">
        <f>6</f>
        <v>6</v>
      </c>
      <c r="K20" s="38">
        <f t="shared" si="0"/>
        <v>49.047684000000004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 t="s">
        <v>2100</v>
      </c>
      <c r="H21" s="35">
        <v>1981</v>
      </c>
      <c r="I21" s="36">
        <v>3353</v>
      </c>
      <c r="J21" s="37">
        <v>1</v>
      </c>
      <c r="K21" s="38">
        <f t="shared" si="0"/>
        <v>6.6422930000000004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2117</v>
      </c>
      <c r="B23" s="16" t="s">
        <v>2118</v>
      </c>
      <c r="C23" s="17">
        <v>22</v>
      </c>
      <c r="D23" s="18" t="s">
        <v>2119</v>
      </c>
      <c r="E23" s="41">
        <v>2</v>
      </c>
      <c r="F23" s="42">
        <v>5.0199999999999996</v>
      </c>
      <c r="G23" s="34" t="s">
        <v>2105</v>
      </c>
      <c r="H23" s="35">
        <v>1829</v>
      </c>
      <c r="I23" s="36">
        <v>3353</v>
      </c>
      <c r="J23" s="37">
        <v>1</v>
      </c>
      <c r="K23" s="38">
        <f t="shared" si="0"/>
        <v>6.1326369999999999</v>
      </c>
      <c r="L23" s="39" t="s">
        <v>2120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2102</v>
      </c>
      <c r="H24" s="35">
        <v>1829</v>
      </c>
      <c r="I24" s="36">
        <v>3353</v>
      </c>
      <c r="J24" s="37">
        <v>1</v>
      </c>
      <c r="K24" s="38">
        <f t="shared" si="0"/>
        <v>6.1326369999999999</v>
      </c>
      <c r="L24" s="39" t="s">
        <v>2120</v>
      </c>
    </row>
    <row r="25" spans="1:12" s="27" customFormat="1" ht="19.5" customHeight="1" x14ac:dyDescent="0.3">
      <c r="A25" s="28"/>
      <c r="B25" s="16"/>
      <c r="C25" s="17"/>
      <c r="D25" s="18"/>
      <c r="E25" s="81"/>
      <c r="F25" s="8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 t="s">
        <v>2121</v>
      </c>
      <c r="B26" s="16" t="s">
        <v>2097</v>
      </c>
      <c r="C26" s="17">
        <v>25.76</v>
      </c>
      <c r="D26" s="18" t="s">
        <v>2098</v>
      </c>
      <c r="E26" s="81">
        <v>54</v>
      </c>
      <c r="F26" s="82">
        <v>31.32</v>
      </c>
      <c r="G26" s="34" t="s">
        <v>2102</v>
      </c>
      <c r="H26" s="35">
        <v>2134</v>
      </c>
      <c r="I26" s="36">
        <v>3353</v>
      </c>
      <c r="J26" s="37">
        <v>5</v>
      </c>
      <c r="K26" s="38">
        <f t="shared" si="0"/>
        <v>35.776510000000002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81"/>
      <c r="F27" s="8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 t="s">
        <v>2122</v>
      </c>
      <c r="B28" s="16" t="s">
        <v>2097</v>
      </c>
      <c r="C28" s="17">
        <v>25.76</v>
      </c>
      <c r="D28" s="18" t="s">
        <v>2098</v>
      </c>
      <c r="E28" s="81">
        <v>96</v>
      </c>
      <c r="F28" s="82">
        <v>47.64</v>
      </c>
      <c r="G28" s="34" t="s">
        <v>2102</v>
      </c>
      <c r="H28" s="35">
        <v>2134</v>
      </c>
      <c r="I28" s="36">
        <v>3353</v>
      </c>
      <c r="J28" s="37">
        <v>7</v>
      </c>
      <c r="K28" s="38">
        <f t="shared" si="0"/>
        <v>50.087114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81"/>
      <c r="F29" s="8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 t="s">
        <v>2123</v>
      </c>
      <c r="B30" s="16" t="s">
        <v>2097</v>
      </c>
      <c r="C30" s="17">
        <v>25.76</v>
      </c>
      <c r="D30" s="18" t="s">
        <v>2098</v>
      </c>
      <c r="E30" s="41">
        <v>42</v>
      </c>
      <c r="F30" s="42">
        <v>20.04</v>
      </c>
      <c r="G30" s="34" t="s">
        <v>2102</v>
      </c>
      <c r="H30" s="35">
        <v>2134</v>
      </c>
      <c r="I30" s="36">
        <v>3353</v>
      </c>
      <c r="J30" s="37">
        <v>2</v>
      </c>
      <c r="K30" s="38">
        <f t="shared" si="0"/>
        <v>14.310604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38">
        <f t="shared" si="0"/>
        <v>0</v>
      </c>
      <c r="L34" s="39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2103</v>
      </c>
      <c r="B36" s="76" t="s">
        <v>2104</v>
      </c>
      <c r="C36" s="77">
        <v>27.76</v>
      </c>
      <c r="D36" s="47" t="s">
        <v>2124</v>
      </c>
      <c r="E36" s="48">
        <v>296</v>
      </c>
      <c r="F36" s="49">
        <v>198.32</v>
      </c>
      <c r="G36" s="50" t="s">
        <v>2106</v>
      </c>
      <c r="H36" s="51">
        <v>2590</v>
      </c>
      <c r="I36" s="45">
        <v>3353</v>
      </c>
      <c r="J36" s="52">
        <v>25</v>
      </c>
      <c r="K36" s="53">
        <f t="shared" si="0"/>
        <v>217.10674999999995</v>
      </c>
      <c r="L36" s="54"/>
    </row>
    <row r="37" spans="1:12" s="55" customFormat="1" ht="19.5" customHeight="1" x14ac:dyDescent="0.3">
      <c r="A37" s="44"/>
      <c r="B37" s="45"/>
      <c r="C37" s="77">
        <v>22</v>
      </c>
      <c r="D37" s="47" t="s">
        <v>2099</v>
      </c>
      <c r="E37" s="48">
        <v>296</v>
      </c>
      <c r="F37" s="49">
        <v>384.8</v>
      </c>
      <c r="G37" s="50" t="s">
        <v>2106</v>
      </c>
      <c r="H37" s="51">
        <v>2134</v>
      </c>
      <c r="I37" s="45">
        <v>3048</v>
      </c>
      <c r="J37" s="52">
        <v>6</v>
      </c>
      <c r="K37" s="53">
        <f t="shared" si="0"/>
        <v>39.026591999999994</v>
      </c>
      <c r="L37" s="54" t="s">
        <v>2125</v>
      </c>
    </row>
    <row r="38" spans="1:12" s="55" customFormat="1" ht="19.5" customHeight="1" x14ac:dyDescent="0.3">
      <c r="A38" s="44"/>
      <c r="B38" s="76"/>
      <c r="C38" s="77"/>
      <c r="D38" s="47"/>
      <c r="E38" s="48"/>
      <c r="F38" s="49"/>
      <c r="G38" s="50" t="s">
        <v>2106</v>
      </c>
      <c r="H38" s="51">
        <v>1981</v>
      </c>
      <c r="I38" s="45">
        <v>3048</v>
      </c>
      <c r="J38" s="52">
        <v>68</v>
      </c>
      <c r="K38" s="53">
        <f t="shared" si="0"/>
        <v>410.58998400000007</v>
      </c>
      <c r="L38" s="54"/>
    </row>
    <row r="39" spans="1:12" s="55" customFormat="1" ht="19.5" customHeight="1" x14ac:dyDescent="0.3">
      <c r="A39" s="44"/>
      <c r="B39" s="76"/>
      <c r="C39" s="77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2093</v>
      </c>
      <c r="B40" s="45" t="s">
        <v>59</v>
      </c>
      <c r="C40" s="77">
        <v>22</v>
      </c>
      <c r="D40" s="47" t="s">
        <v>17</v>
      </c>
      <c r="E40" s="48">
        <f>296-148</f>
        <v>148</v>
      </c>
      <c r="F40" s="49">
        <f>384.8-192.4</f>
        <v>192.4</v>
      </c>
      <c r="G40" s="50" t="s">
        <v>18</v>
      </c>
      <c r="H40" s="51">
        <v>1829</v>
      </c>
      <c r="I40" s="45">
        <v>3048</v>
      </c>
      <c r="J40" s="52">
        <v>37</v>
      </c>
      <c r="K40" s="53">
        <f t="shared" si="0"/>
        <v>206.267304</v>
      </c>
      <c r="L40" s="54" t="s">
        <v>2126</v>
      </c>
    </row>
    <row r="41" spans="1:12" s="55" customFormat="1" ht="19.5" customHeight="1" x14ac:dyDescent="0.3">
      <c r="A41" s="44"/>
      <c r="B41" s="45"/>
      <c r="C41" s="77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2127</v>
      </c>
      <c r="B42" s="76" t="s">
        <v>2128</v>
      </c>
      <c r="C42" s="77">
        <v>24</v>
      </c>
      <c r="D42" s="47" t="s">
        <v>2129</v>
      </c>
      <c r="E42" s="48">
        <v>4</v>
      </c>
      <c r="F42" s="49">
        <v>12.56</v>
      </c>
      <c r="G42" s="50" t="s">
        <v>2105</v>
      </c>
      <c r="H42" s="51">
        <v>1981</v>
      </c>
      <c r="I42" s="45">
        <v>3353</v>
      </c>
      <c r="J42" s="52">
        <v>2</v>
      </c>
      <c r="K42" s="53">
        <f t="shared" si="0"/>
        <v>13.284586000000001</v>
      </c>
      <c r="L42" s="54" t="s">
        <v>2130</v>
      </c>
    </row>
    <row r="43" spans="1:12" s="55" customFormat="1" ht="19.5" customHeight="1" x14ac:dyDescent="0.3">
      <c r="A43" s="44"/>
      <c r="B43" s="45"/>
      <c r="C43" s="77"/>
      <c r="D43" s="47"/>
      <c r="E43" s="48"/>
      <c r="F43" s="49"/>
      <c r="G43" s="50" t="s">
        <v>2106</v>
      </c>
      <c r="H43" s="51">
        <v>1981</v>
      </c>
      <c r="I43" s="45">
        <v>3353</v>
      </c>
      <c r="J43" s="52">
        <v>2</v>
      </c>
      <c r="K43" s="53">
        <f t="shared" si="0"/>
        <v>13.284586000000001</v>
      </c>
      <c r="L43" s="54"/>
    </row>
    <row r="44" spans="1:12" s="55" customFormat="1" ht="19.5" customHeight="1" x14ac:dyDescent="0.3">
      <c r="A44" s="44"/>
      <c r="B44" s="45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2131</v>
      </c>
      <c r="B45" s="45" t="s">
        <v>2132</v>
      </c>
      <c r="C45" s="77">
        <v>28</v>
      </c>
      <c r="D45" s="47" t="s">
        <v>2133</v>
      </c>
      <c r="E45" s="48">
        <v>9</v>
      </c>
      <c r="F45" s="49">
        <v>13.75</v>
      </c>
      <c r="G45" s="50" t="s">
        <v>2134</v>
      </c>
      <c r="H45" s="51">
        <v>1981</v>
      </c>
      <c r="I45" s="45">
        <v>3048</v>
      </c>
      <c r="J45" s="52">
        <v>2</v>
      </c>
      <c r="K45" s="53">
        <f t="shared" si="0"/>
        <v>12.076176000000002</v>
      </c>
      <c r="L45" s="54" t="s">
        <v>2135</v>
      </c>
    </row>
    <row r="46" spans="1:12" s="55" customFormat="1" ht="19.5" customHeight="1" x14ac:dyDescent="0.3">
      <c r="A46" s="44"/>
      <c r="B46" s="76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2136</v>
      </c>
      <c r="B47" s="45" t="s">
        <v>2137</v>
      </c>
      <c r="C47" s="77">
        <v>24</v>
      </c>
      <c r="D47" s="47" t="s">
        <v>2138</v>
      </c>
      <c r="E47" s="48">
        <v>82</v>
      </c>
      <c r="F47" s="49">
        <v>62.75</v>
      </c>
      <c r="G47" s="50" t="s">
        <v>2139</v>
      </c>
      <c r="H47" s="51">
        <v>1981</v>
      </c>
      <c r="I47" s="45">
        <v>3353</v>
      </c>
      <c r="J47" s="52">
        <v>10</v>
      </c>
      <c r="K47" s="53">
        <f t="shared" si="0"/>
        <v>66.422930000000008</v>
      </c>
      <c r="L47" s="54" t="s">
        <v>2125</v>
      </c>
    </row>
    <row r="48" spans="1:12" s="55" customFormat="1" ht="19.5" customHeight="1" x14ac:dyDescent="0.3">
      <c r="A48" s="44"/>
      <c r="B48" s="45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2140</v>
      </c>
      <c r="B49" s="45" t="s">
        <v>2137</v>
      </c>
      <c r="C49" s="77">
        <v>24</v>
      </c>
      <c r="D49" s="47" t="s">
        <v>2138</v>
      </c>
      <c r="E49" s="48">
        <v>45</v>
      </c>
      <c r="F49" s="49">
        <v>47.43</v>
      </c>
      <c r="G49" s="50" t="s">
        <v>2139</v>
      </c>
      <c r="H49" s="51">
        <v>2438</v>
      </c>
      <c r="I49" s="45">
        <v>3353</v>
      </c>
      <c r="J49" s="52">
        <v>6</v>
      </c>
      <c r="K49" s="53">
        <f t="shared" si="0"/>
        <v>49.047684000000004</v>
      </c>
      <c r="L49" s="54" t="s">
        <v>2125</v>
      </c>
    </row>
    <row r="50" spans="1:12" s="55" customFormat="1" ht="19.5" customHeight="1" x14ac:dyDescent="0.3">
      <c r="A50" s="44"/>
      <c r="B50" s="45"/>
      <c r="C50" s="77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2141</v>
      </c>
      <c r="B51" s="45" t="s">
        <v>2137</v>
      </c>
      <c r="C51" s="77">
        <v>24</v>
      </c>
      <c r="D51" s="47" t="s">
        <v>2138</v>
      </c>
      <c r="E51" s="48">
        <v>34</v>
      </c>
      <c r="F51" s="49">
        <v>32.090000000000003</v>
      </c>
      <c r="G51" s="50" t="s">
        <v>2139</v>
      </c>
      <c r="H51" s="51">
        <v>2438</v>
      </c>
      <c r="I51" s="45">
        <v>3353</v>
      </c>
      <c r="J51" s="52">
        <v>5</v>
      </c>
      <c r="K51" s="53">
        <f t="shared" si="0"/>
        <v>40.873069999999998</v>
      </c>
      <c r="L51" s="54" t="s">
        <v>2125</v>
      </c>
    </row>
    <row r="52" spans="1:12" s="55" customFormat="1" ht="19.5" customHeight="1" x14ac:dyDescent="0.3">
      <c r="A52" s="44"/>
      <c r="B52" s="45"/>
      <c r="C52" s="77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9" customFormat="1" ht="20.100000000000001" customHeight="1" x14ac:dyDescent="0.3">
      <c r="A55" s="44"/>
      <c r="B55" s="45"/>
      <c r="C55" s="46"/>
      <c r="D55" s="47"/>
      <c r="E55" s="56"/>
      <c r="F55" s="57"/>
      <c r="G55" s="50"/>
      <c r="H55" s="51"/>
      <c r="I55" s="45"/>
      <c r="J55" s="52"/>
      <c r="K55" s="53">
        <f t="shared" si="0"/>
        <v>0</v>
      </c>
      <c r="L55" s="58">
        <f>SUM(J35:J56)</f>
        <v>163</v>
      </c>
    </row>
    <row r="56" spans="1:12" s="59" customFormat="1" ht="20.100000000000001" customHeight="1" x14ac:dyDescent="0.3">
      <c r="A56" s="44"/>
      <c r="B56" s="45"/>
      <c r="C56" s="46"/>
      <c r="D56" s="47"/>
      <c r="E56" s="60"/>
      <c r="F56" s="61"/>
      <c r="G56" s="62"/>
      <c r="H56" s="51"/>
      <c r="I56" s="45"/>
      <c r="J56" s="63"/>
      <c r="K56" s="53">
        <f t="shared" si="0"/>
        <v>0</v>
      </c>
      <c r="L56" s="64">
        <f>SUM(K35:K56)</f>
        <v>1067.9796620000002</v>
      </c>
    </row>
    <row r="57" spans="1:12" s="59" customFormat="1" ht="20.100000000000001" customHeight="1" thickBot="1" x14ac:dyDescent="0.35">
      <c r="A57" s="114"/>
      <c r="B57" s="115"/>
      <c r="C57" s="115"/>
      <c r="D57" s="115"/>
      <c r="E57" s="115"/>
      <c r="F57" s="115"/>
      <c r="G57" s="115"/>
      <c r="H57" s="115"/>
      <c r="I57" s="115"/>
      <c r="J57" s="65">
        <f>SUM(J7:J56)</f>
        <v>280</v>
      </c>
      <c r="K57" s="66">
        <f>SUM(K7:K56)</f>
        <v>1924.509755</v>
      </c>
      <c r="L57" s="67"/>
    </row>
    <row r="58" spans="1:12" s="59" customFormat="1" ht="20.100000000000001" customHeight="1" thickTop="1" thickBot="1" x14ac:dyDescent="0.35">
      <c r="A58" s="116" t="s">
        <v>52</v>
      </c>
      <c r="B58" s="117"/>
      <c r="C58" s="68"/>
      <c r="D58" s="118">
        <f>J57</f>
        <v>280</v>
      </c>
      <c r="E58" s="119"/>
      <c r="F58" s="119"/>
      <c r="G58" s="120"/>
      <c r="H58" s="121"/>
      <c r="I58" s="121"/>
      <c r="J58" s="122"/>
      <c r="K58" s="119"/>
      <c r="L58" s="123"/>
    </row>
    <row r="59" spans="1:12" s="59" customFormat="1" ht="20.100000000000001" customHeight="1" x14ac:dyDescent="0.3">
      <c r="A59" s="69"/>
      <c r="B59" s="5"/>
      <c r="C59" s="5"/>
      <c r="D59" s="5"/>
      <c r="E59" s="5"/>
      <c r="F59" s="70"/>
      <c r="G59" s="5"/>
      <c r="H59" s="5"/>
      <c r="I59" s="5"/>
      <c r="J59" s="5"/>
      <c r="K59" s="5"/>
      <c r="L59" s="71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72"/>
      <c r="F64" s="5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5"/>
      <c r="F65" s="5"/>
      <c r="G65" s="73"/>
      <c r="H65" s="5"/>
      <c r="I65" s="74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72"/>
      <c r="I69" s="72"/>
      <c r="J69" s="5"/>
      <c r="K69" s="5"/>
      <c r="L69" s="5"/>
    </row>
    <row r="70" spans="1:12" ht="20.100000000000001" customHeight="1" x14ac:dyDescent="0.3">
      <c r="A70" s="113"/>
      <c r="B70" s="113"/>
      <c r="H70" s="72"/>
      <c r="I70" s="72"/>
    </row>
    <row r="71" spans="1:12" ht="20.100000000000001" customHeight="1" x14ac:dyDescent="0.3">
      <c r="H71" s="72"/>
      <c r="I71" s="72"/>
    </row>
    <row r="72" spans="1:12" ht="20.100000000000001" customHeight="1" x14ac:dyDescent="0.3">
      <c r="H72" s="72"/>
      <c r="I72" s="72"/>
    </row>
    <row r="73" spans="1:12" ht="20.100000000000001" customHeight="1" x14ac:dyDescent="0.3">
      <c r="A73" s="113"/>
      <c r="B73" s="113"/>
      <c r="H73" s="72"/>
      <c r="I73" s="72"/>
    </row>
    <row r="74" spans="1:12" ht="20.100000000000001" customHeight="1" x14ac:dyDescent="0.3">
      <c r="A74" s="113"/>
      <c r="B74" s="113"/>
      <c r="H74" s="72"/>
      <c r="I74" s="72"/>
    </row>
    <row r="75" spans="1:12" ht="20.100000000000001" customHeight="1" x14ac:dyDescent="0.3"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H77" s="72"/>
      <c r="I77" s="72"/>
    </row>
    <row r="78" spans="1:12" s="72" customFormat="1" ht="20.100000000000001" customHeight="1" x14ac:dyDescent="0.3">
      <c r="A78" s="69"/>
      <c r="B78" s="5"/>
      <c r="C78" s="5"/>
      <c r="D78" s="5"/>
      <c r="E78" s="5"/>
      <c r="F78" s="70"/>
      <c r="G78" s="5"/>
      <c r="J78" s="5"/>
      <c r="K78" s="5"/>
      <c r="L78" s="5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75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5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5" customFormat="1" ht="19.5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2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ht="19.5" customHeight="1" x14ac:dyDescent="0.3"/>
    <row r="86" spans="1:12" ht="19.5" customHeight="1" x14ac:dyDescent="0.3"/>
    <row r="87" spans="1:12" ht="19.5" customHeight="1" x14ac:dyDescent="0.3"/>
    <row r="88" spans="1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>
        <v>2</v>
      </c>
      <c r="C148" s="5"/>
      <c r="D148" s="5"/>
      <c r="E148" s="5"/>
      <c r="F148" s="70"/>
      <c r="G148" s="5"/>
      <c r="H148" s="5"/>
      <c r="I148" s="5"/>
      <c r="J148" s="5"/>
      <c r="K148" s="5"/>
      <c r="L148" s="5"/>
    </row>
  </sheetData>
  <mergeCells count="30">
    <mergeCell ref="A73:B73"/>
    <mergeCell ref="A74:B74"/>
    <mergeCell ref="A64:B64"/>
    <mergeCell ref="A65:B65"/>
    <mergeCell ref="A66:B66"/>
    <mergeCell ref="A68:B68"/>
    <mergeCell ref="A69:B69"/>
    <mergeCell ref="A70:B70"/>
    <mergeCell ref="A63:B63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7:I57"/>
    <mergeCell ref="A58:B58"/>
    <mergeCell ref="D58:G58"/>
    <mergeCell ref="H58:J58"/>
    <mergeCell ref="K58:L58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L144"/>
  <sheetViews>
    <sheetView view="pageBreakPreview" topLeftCell="F34" zoomScale="85" zoomScaleSheetLayoutView="85" workbookViewId="0">
      <selection activeCell="L51" sqref="L51:L52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46094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2" si="0">(H7/1000*I7/1000)*J7</f>
        <v>0</v>
      </c>
      <c r="L7" s="26">
        <f>SUM(J7:J30)</f>
        <v>125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SUM(K7:K30)</f>
        <v>923.59233399999994</v>
      </c>
    </row>
    <row r="9" spans="1:12" s="27" customFormat="1" ht="19.5" customHeight="1" x14ac:dyDescent="0.3">
      <c r="A9" s="28" t="s">
        <v>2068</v>
      </c>
      <c r="B9" s="16" t="s">
        <v>2069</v>
      </c>
      <c r="C9" s="17">
        <v>27.76</v>
      </c>
      <c r="D9" s="18" t="s">
        <v>2070</v>
      </c>
      <c r="E9" s="41">
        <v>1</v>
      </c>
      <c r="F9" s="42">
        <v>1.43</v>
      </c>
      <c r="G9" s="34" t="s">
        <v>2074</v>
      </c>
      <c r="H9" s="35">
        <v>2134</v>
      </c>
      <c r="I9" s="36">
        <v>3353</v>
      </c>
      <c r="J9" s="37">
        <v>1</v>
      </c>
      <c r="K9" s="38">
        <f t="shared" si="0"/>
        <v>7.1553019999999998</v>
      </c>
      <c r="L9" s="39"/>
    </row>
    <row r="10" spans="1:12" s="27" customFormat="1" ht="19.5" customHeight="1" x14ac:dyDescent="0.3">
      <c r="A10" s="28"/>
      <c r="B10" s="16"/>
      <c r="C10" s="17">
        <v>27.76</v>
      </c>
      <c r="D10" s="18" t="s">
        <v>2071</v>
      </c>
      <c r="E10" s="41">
        <v>1</v>
      </c>
      <c r="F10" s="42">
        <v>4.47</v>
      </c>
      <c r="G10" s="34" t="s">
        <v>2075</v>
      </c>
      <c r="H10" s="35">
        <v>2438</v>
      </c>
      <c r="I10" s="36">
        <v>3353</v>
      </c>
      <c r="J10" s="37">
        <v>2</v>
      </c>
      <c r="K10" s="38">
        <f t="shared" si="0"/>
        <v>16.349228</v>
      </c>
      <c r="L10" s="39"/>
    </row>
    <row r="11" spans="1:12" s="27" customFormat="1" ht="19.5" customHeight="1" x14ac:dyDescent="0.3">
      <c r="A11" s="28"/>
      <c r="B11" s="16"/>
      <c r="C11" s="17">
        <v>24</v>
      </c>
      <c r="D11" s="18" t="s">
        <v>2072</v>
      </c>
      <c r="E11" s="41">
        <v>2</v>
      </c>
      <c r="F11" s="42">
        <v>5.4</v>
      </c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/>
      <c r="B12" s="16"/>
      <c r="C12" s="17">
        <v>43</v>
      </c>
      <c r="D12" s="18" t="s">
        <v>2073</v>
      </c>
      <c r="E12" s="41">
        <v>1</v>
      </c>
      <c r="F12" s="42">
        <v>0.51</v>
      </c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2076</v>
      </c>
      <c r="B14" s="16" t="s">
        <v>2077</v>
      </c>
      <c r="C14" s="17">
        <v>22</v>
      </c>
      <c r="D14" s="18" t="s">
        <v>2072</v>
      </c>
      <c r="E14" s="41">
        <v>126</v>
      </c>
      <c r="F14" s="42">
        <v>114.24</v>
      </c>
      <c r="G14" s="34" t="s">
        <v>2074</v>
      </c>
      <c r="H14" s="35">
        <v>2590</v>
      </c>
      <c r="I14" s="36">
        <v>3353</v>
      </c>
      <c r="J14" s="37">
        <v>14</v>
      </c>
      <c r="K14" s="38">
        <f t="shared" si="0"/>
        <v>121.57977999999997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2078</v>
      </c>
      <c r="H15" s="35">
        <v>1981</v>
      </c>
      <c r="I15" s="36">
        <v>3353</v>
      </c>
      <c r="J15" s="37">
        <v>18</v>
      </c>
      <c r="K15" s="38">
        <f t="shared" si="0"/>
        <v>119.56127400000001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2079</v>
      </c>
      <c r="B17" s="16" t="s">
        <v>2077</v>
      </c>
      <c r="C17" s="17">
        <v>22</v>
      </c>
      <c r="D17" s="18" t="s">
        <v>2072</v>
      </c>
      <c r="E17" s="41">
        <v>228</v>
      </c>
      <c r="F17" s="42">
        <v>192.72</v>
      </c>
      <c r="G17" s="34" t="s">
        <v>2074</v>
      </c>
      <c r="H17" s="35">
        <v>2590</v>
      </c>
      <c r="I17" s="36">
        <v>3048</v>
      </c>
      <c r="J17" s="37">
        <v>26</v>
      </c>
      <c r="K17" s="38">
        <f t="shared" si="0"/>
        <v>205.25232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2078</v>
      </c>
      <c r="H18" s="35">
        <v>1981</v>
      </c>
      <c r="I18" s="36">
        <v>3353</v>
      </c>
      <c r="J18" s="37">
        <v>31</v>
      </c>
      <c r="K18" s="38">
        <f t="shared" si="0"/>
        <v>205.91108300000002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2080</v>
      </c>
      <c r="B20" s="16" t="s">
        <v>2077</v>
      </c>
      <c r="C20" s="17">
        <v>22</v>
      </c>
      <c r="D20" s="18" t="s">
        <v>2072</v>
      </c>
      <c r="E20" s="41">
        <v>144</v>
      </c>
      <c r="F20" s="42">
        <v>116.1</v>
      </c>
      <c r="G20" s="34" t="s">
        <v>2074</v>
      </c>
      <c r="H20" s="35">
        <v>2590</v>
      </c>
      <c r="I20" s="36">
        <v>3353</v>
      </c>
      <c r="J20" s="37">
        <v>14</v>
      </c>
      <c r="K20" s="38">
        <f t="shared" si="0"/>
        <v>121.57977999999997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 t="s">
        <v>2078</v>
      </c>
      <c r="H21" s="35">
        <v>1981</v>
      </c>
      <c r="I21" s="36">
        <v>3353</v>
      </c>
      <c r="J21" s="37">
        <v>19</v>
      </c>
      <c r="K21" s="38">
        <f t="shared" si="0"/>
        <v>126.20356700000001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81"/>
      <c r="F25" s="8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43"/>
      <c r="H30" s="35"/>
      <c r="I30" s="36"/>
      <c r="J30" s="37"/>
      <c r="K30" s="38">
        <f t="shared" si="0"/>
        <v>0</v>
      </c>
      <c r="L30" s="39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2081</v>
      </c>
      <c r="B32" s="76" t="s">
        <v>2082</v>
      </c>
      <c r="C32" s="77">
        <v>39</v>
      </c>
      <c r="D32" s="47" t="s">
        <v>2083</v>
      </c>
      <c r="E32" s="48">
        <v>1</v>
      </c>
      <c r="F32" s="49">
        <v>0.47</v>
      </c>
      <c r="G32" s="50"/>
      <c r="H32" s="51"/>
      <c r="I32" s="45"/>
      <c r="J32" s="52"/>
      <c r="K32" s="53">
        <f t="shared" si="0"/>
        <v>0</v>
      </c>
      <c r="L32" s="54" t="s">
        <v>2084</v>
      </c>
    </row>
    <row r="33" spans="1:12" s="55" customFormat="1" ht="19.5" customHeight="1" x14ac:dyDescent="0.3">
      <c r="A33" s="44"/>
      <c r="B33" s="45"/>
      <c r="C33" s="77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2085</v>
      </c>
      <c r="B34" s="76" t="s">
        <v>2086</v>
      </c>
      <c r="C34" s="77">
        <v>24</v>
      </c>
      <c r="D34" s="47" t="s">
        <v>45</v>
      </c>
      <c r="E34" s="48">
        <v>57</v>
      </c>
      <c r="F34" s="49">
        <v>56.28</v>
      </c>
      <c r="G34" s="50" t="s">
        <v>49</v>
      </c>
      <c r="H34" s="51">
        <v>1981</v>
      </c>
      <c r="I34" s="45">
        <v>3353</v>
      </c>
      <c r="J34" s="52">
        <v>11</v>
      </c>
      <c r="K34" s="53">
        <f t="shared" si="0"/>
        <v>73.065223000000003</v>
      </c>
      <c r="L34" s="54"/>
    </row>
    <row r="35" spans="1:12" s="55" customFormat="1" ht="19.5" customHeight="1" x14ac:dyDescent="0.3">
      <c r="A35" s="44"/>
      <c r="B35" s="76"/>
      <c r="C35" s="77">
        <v>24</v>
      </c>
      <c r="D35" s="47" t="s">
        <v>17</v>
      </c>
      <c r="E35" s="48">
        <v>57</v>
      </c>
      <c r="F35" s="49">
        <v>56.28</v>
      </c>
      <c r="G35" s="50" t="s">
        <v>18</v>
      </c>
      <c r="H35" s="51">
        <v>2590</v>
      </c>
      <c r="I35" s="45">
        <v>3353</v>
      </c>
      <c r="J35" s="52">
        <v>7</v>
      </c>
      <c r="K35" s="53">
        <f t="shared" si="0"/>
        <v>60.789889999999986</v>
      </c>
      <c r="L35" s="54"/>
    </row>
    <row r="36" spans="1:12" s="55" customFormat="1" ht="19.5" customHeight="1" x14ac:dyDescent="0.3">
      <c r="A36" s="44"/>
      <c r="B36" s="45"/>
      <c r="C36" s="77">
        <v>22</v>
      </c>
      <c r="D36" s="47" t="s">
        <v>45</v>
      </c>
      <c r="E36" s="48">
        <v>12</v>
      </c>
      <c r="F36" s="49">
        <v>14.34</v>
      </c>
      <c r="G36" s="50" t="s">
        <v>19</v>
      </c>
      <c r="H36" s="51">
        <v>1981</v>
      </c>
      <c r="I36" s="45">
        <v>3353</v>
      </c>
      <c r="J36" s="52">
        <v>20</v>
      </c>
      <c r="K36" s="53">
        <f t="shared" si="0"/>
        <v>132.84586000000002</v>
      </c>
      <c r="L36" s="54"/>
    </row>
    <row r="37" spans="1:12" s="55" customFormat="1" ht="19.5" customHeight="1" x14ac:dyDescent="0.3">
      <c r="A37" s="44"/>
      <c r="B37" s="45"/>
      <c r="C37" s="77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2087</v>
      </c>
      <c r="B38" s="76" t="s">
        <v>2086</v>
      </c>
      <c r="C38" s="77">
        <v>24</v>
      </c>
      <c r="D38" s="47" t="s">
        <v>665</v>
      </c>
      <c r="E38" s="48">
        <v>3</v>
      </c>
      <c r="F38" s="49">
        <v>9.99</v>
      </c>
      <c r="G38" s="50" t="s">
        <v>49</v>
      </c>
      <c r="H38" s="51">
        <v>1981</v>
      </c>
      <c r="I38" s="45">
        <v>3353</v>
      </c>
      <c r="J38" s="52">
        <v>12</v>
      </c>
      <c r="K38" s="53">
        <f t="shared" si="0"/>
        <v>79.707515999999998</v>
      </c>
      <c r="L38" s="54"/>
    </row>
    <row r="39" spans="1:12" s="55" customFormat="1" ht="19.5" customHeight="1" x14ac:dyDescent="0.3">
      <c r="A39" s="44"/>
      <c r="B39" s="45"/>
      <c r="C39" s="77">
        <v>24</v>
      </c>
      <c r="D39" s="47" t="s">
        <v>45</v>
      </c>
      <c r="E39" s="48">
        <v>45</v>
      </c>
      <c r="F39" s="49">
        <v>44.52</v>
      </c>
      <c r="G39" s="50" t="s">
        <v>18</v>
      </c>
      <c r="H39" s="51">
        <v>1981</v>
      </c>
      <c r="I39" s="45">
        <v>3353</v>
      </c>
      <c r="J39" s="52">
        <v>9</v>
      </c>
      <c r="K39" s="53">
        <f t="shared" si="0"/>
        <v>59.780637000000006</v>
      </c>
      <c r="L39" s="54"/>
    </row>
    <row r="40" spans="1:12" s="55" customFormat="1" ht="19.5" customHeight="1" x14ac:dyDescent="0.3">
      <c r="A40" s="44"/>
      <c r="B40" s="45"/>
      <c r="C40" s="77">
        <v>24</v>
      </c>
      <c r="D40" s="47" t="s">
        <v>17</v>
      </c>
      <c r="E40" s="48">
        <v>48</v>
      </c>
      <c r="F40" s="49">
        <v>54.51</v>
      </c>
      <c r="G40" s="50" t="s">
        <v>62</v>
      </c>
      <c r="H40" s="51">
        <v>1981</v>
      </c>
      <c r="I40" s="45">
        <v>3353</v>
      </c>
      <c r="J40" s="52">
        <v>3</v>
      </c>
      <c r="K40" s="53">
        <f t="shared" si="0"/>
        <v>19.926879</v>
      </c>
      <c r="L40" s="54"/>
    </row>
    <row r="41" spans="1:12" s="55" customFormat="1" ht="19.5" customHeight="1" x14ac:dyDescent="0.3">
      <c r="A41" s="44"/>
      <c r="B41" s="45"/>
      <c r="C41" s="77">
        <v>22</v>
      </c>
      <c r="D41" s="47" t="s">
        <v>45</v>
      </c>
      <c r="E41" s="48">
        <v>12</v>
      </c>
      <c r="F41" s="49">
        <v>13.8</v>
      </c>
      <c r="G41" s="50" t="s">
        <v>19</v>
      </c>
      <c r="H41" s="51">
        <v>1981</v>
      </c>
      <c r="I41" s="45">
        <v>3353</v>
      </c>
      <c r="J41" s="52">
        <v>18</v>
      </c>
      <c r="K41" s="53">
        <f t="shared" si="0"/>
        <v>119.56127400000001</v>
      </c>
      <c r="L41" s="54"/>
    </row>
    <row r="42" spans="1:12" s="55" customFormat="1" ht="19.5" customHeight="1" x14ac:dyDescent="0.3">
      <c r="A42" s="44"/>
      <c r="B42" s="76"/>
      <c r="C42" s="77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2088</v>
      </c>
      <c r="B43" s="45" t="s">
        <v>2089</v>
      </c>
      <c r="C43" s="77">
        <v>28</v>
      </c>
      <c r="D43" s="47" t="s">
        <v>2090</v>
      </c>
      <c r="E43" s="48">
        <v>10</v>
      </c>
      <c r="F43" s="49">
        <v>29.04</v>
      </c>
      <c r="G43" s="50" t="s">
        <v>2092</v>
      </c>
      <c r="H43" s="51">
        <v>3050</v>
      </c>
      <c r="I43" s="45">
        <v>4000</v>
      </c>
      <c r="J43" s="52">
        <v>3</v>
      </c>
      <c r="K43" s="53">
        <f t="shared" si="0"/>
        <v>36.599999999999994</v>
      </c>
      <c r="L43" s="54" t="s">
        <v>2285</v>
      </c>
    </row>
    <row r="44" spans="1:12" s="55" customFormat="1" ht="19.5" customHeight="1" x14ac:dyDescent="0.3">
      <c r="A44" s="44"/>
      <c r="B44" s="45"/>
      <c r="C44" s="77">
        <v>28</v>
      </c>
      <c r="D44" s="47" t="s">
        <v>2091</v>
      </c>
      <c r="E44" s="48">
        <v>2</v>
      </c>
      <c r="F44" s="49">
        <v>7.16</v>
      </c>
      <c r="G44" s="50"/>
      <c r="H44" s="51"/>
      <c r="I44" s="45"/>
      <c r="J44" s="52"/>
      <c r="K44" s="53">
        <f t="shared" si="0"/>
        <v>0</v>
      </c>
      <c r="L44" s="54" t="s">
        <v>2285</v>
      </c>
    </row>
    <row r="45" spans="1:12" s="55" customFormat="1" ht="19.5" customHeight="1" x14ac:dyDescent="0.3">
      <c r="A45" s="44"/>
      <c r="B45" s="76"/>
      <c r="C45" s="77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2093</v>
      </c>
      <c r="B46" s="45" t="s">
        <v>2094</v>
      </c>
      <c r="C46" s="77">
        <v>22</v>
      </c>
      <c r="D46" s="47" t="s">
        <v>2072</v>
      </c>
      <c r="E46" s="48">
        <v>148</v>
      </c>
      <c r="F46" s="49">
        <v>192.4</v>
      </c>
      <c r="G46" s="50" t="s">
        <v>2074</v>
      </c>
      <c r="H46" s="51">
        <v>1829</v>
      </c>
      <c r="I46" s="45">
        <v>3048</v>
      </c>
      <c r="J46" s="52">
        <v>37</v>
      </c>
      <c r="K46" s="53">
        <f t="shared" si="0"/>
        <v>206.267304</v>
      </c>
      <c r="L46" s="54" t="s">
        <v>2095</v>
      </c>
    </row>
    <row r="47" spans="1:12" s="55" customFormat="1" ht="19.5" customHeight="1" x14ac:dyDescent="0.3">
      <c r="A47" s="44"/>
      <c r="B47" s="45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9" customFormat="1" ht="20.100000000000001" customHeight="1" x14ac:dyDescent="0.3">
      <c r="A51" s="44"/>
      <c r="B51" s="45"/>
      <c r="C51" s="46"/>
      <c r="D51" s="47"/>
      <c r="E51" s="56"/>
      <c r="F51" s="57"/>
      <c r="G51" s="50"/>
      <c r="H51" s="51"/>
      <c r="I51" s="45"/>
      <c r="J51" s="52"/>
      <c r="K51" s="53">
        <f t="shared" si="0"/>
        <v>0</v>
      </c>
      <c r="L51" s="58">
        <f>SUM(J31:J52)</f>
        <v>120</v>
      </c>
    </row>
    <row r="52" spans="1:12" s="59" customFormat="1" ht="20.100000000000001" customHeight="1" x14ac:dyDescent="0.3">
      <c r="A52" s="44"/>
      <c r="B52" s="45"/>
      <c r="C52" s="46"/>
      <c r="D52" s="47"/>
      <c r="E52" s="60"/>
      <c r="F52" s="61"/>
      <c r="G52" s="62"/>
      <c r="H52" s="51"/>
      <c r="I52" s="45"/>
      <c r="J52" s="63"/>
      <c r="K52" s="53">
        <f t="shared" si="0"/>
        <v>0</v>
      </c>
      <c r="L52" s="64">
        <f>SUM(K31:K52)</f>
        <v>788.54458299999999</v>
      </c>
    </row>
    <row r="53" spans="1:12" s="59" customFormat="1" ht="20.100000000000001" customHeight="1" thickBot="1" x14ac:dyDescent="0.35">
      <c r="A53" s="114"/>
      <c r="B53" s="115"/>
      <c r="C53" s="115"/>
      <c r="D53" s="115"/>
      <c r="E53" s="115"/>
      <c r="F53" s="115"/>
      <c r="G53" s="115"/>
      <c r="H53" s="115"/>
      <c r="I53" s="115"/>
      <c r="J53" s="65">
        <f>SUM(J7:J52)</f>
        <v>245</v>
      </c>
      <c r="K53" s="66">
        <f>SUM(K7:K52)</f>
        <v>1712.1369169999998</v>
      </c>
      <c r="L53" s="67"/>
    </row>
    <row r="54" spans="1:12" s="59" customFormat="1" ht="20.100000000000001" customHeight="1" thickTop="1" thickBot="1" x14ac:dyDescent="0.35">
      <c r="A54" s="116" t="s">
        <v>52</v>
      </c>
      <c r="B54" s="117"/>
      <c r="C54" s="68"/>
      <c r="D54" s="118">
        <f>J53</f>
        <v>245</v>
      </c>
      <c r="E54" s="119"/>
      <c r="F54" s="119"/>
      <c r="G54" s="120"/>
      <c r="H54" s="121"/>
      <c r="I54" s="121"/>
      <c r="J54" s="122"/>
      <c r="K54" s="119"/>
      <c r="L54" s="123"/>
    </row>
    <row r="55" spans="1:12" s="59" customFormat="1" ht="20.100000000000001" customHeight="1" x14ac:dyDescent="0.3">
      <c r="A55" s="69"/>
      <c r="B55" s="5"/>
      <c r="C55" s="5"/>
      <c r="D55" s="5"/>
      <c r="E55" s="5"/>
      <c r="F55" s="70"/>
      <c r="G55" s="5"/>
      <c r="H55" s="5"/>
      <c r="I55" s="5"/>
      <c r="J55" s="5"/>
      <c r="K55" s="5"/>
      <c r="L55" s="71"/>
    </row>
    <row r="56" spans="1:12" s="59" customFormat="1" ht="20.100000000000001" customHeight="1" x14ac:dyDescent="0.3">
      <c r="A56" s="69"/>
      <c r="B56" s="5"/>
      <c r="C56" s="5"/>
      <c r="D56" s="5"/>
      <c r="E56" s="5"/>
      <c r="F56" s="70"/>
      <c r="G56" s="5"/>
      <c r="H56" s="5"/>
      <c r="I56" s="5"/>
      <c r="J56" s="5"/>
      <c r="K56" s="5"/>
      <c r="L56" s="5"/>
    </row>
    <row r="57" spans="1:12" s="59" customFormat="1" ht="20.100000000000001" customHeight="1" x14ac:dyDescent="0.3">
      <c r="A57" s="69"/>
      <c r="B57" s="5"/>
      <c r="C57" s="5"/>
      <c r="D57" s="5"/>
      <c r="E57" s="5"/>
      <c r="F57" s="70"/>
      <c r="G57" s="5"/>
      <c r="H57" s="5"/>
      <c r="I57" s="5"/>
      <c r="J57" s="5"/>
      <c r="K57" s="5"/>
      <c r="L57" s="5"/>
    </row>
    <row r="58" spans="1:12" s="59" customFormat="1" ht="20.100000000000001" customHeight="1" x14ac:dyDescent="0.3">
      <c r="A58" s="69"/>
      <c r="B58" s="5"/>
      <c r="C58" s="5"/>
      <c r="D58" s="5"/>
      <c r="E58" s="5"/>
      <c r="F58" s="70"/>
      <c r="G58" s="5"/>
      <c r="H58" s="5"/>
      <c r="I58" s="5"/>
      <c r="J58" s="5"/>
      <c r="K58" s="5"/>
      <c r="L58" s="5"/>
    </row>
    <row r="59" spans="1:12" s="59" customFormat="1" ht="20.100000000000001" customHeight="1" x14ac:dyDescent="0.3">
      <c r="A59" s="113"/>
      <c r="B59" s="113"/>
      <c r="C59" s="5"/>
      <c r="D59" s="5"/>
      <c r="E59" s="5"/>
      <c r="F59" s="70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113"/>
      <c r="B60" s="113"/>
      <c r="C60" s="5"/>
      <c r="D60" s="5"/>
      <c r="E60" s="72"/>
      <c r="F60" s="5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5"/>
      <c r="F61" s="5"/>
      <c r="G61" s="73"/>
      <c r="H61" s="5"/>
      <c r="I61" s="74"/>
      <c r="J61" s="5"/>
      <c r="K61" s="5"/>
      <c r="L61" s="5"/>
    </row>
    <row r="62" spans="1:12" s="59" customFormat="1" ht="20.100000000000001" customHeight="1" x14ac:dyDescent="0.3">
      <c r="A62" s="113"/>
      <c r="B62" s="113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5"/>
      <c r="F65" s="70"/>
      <c r="G65" s="5"/>
      <c r="H65" s="72"/>
      <c r="I65" s="72"/>
      <c r="J65" s="5"/>
      <c r="K65" s="5"/>
      <c r="L65" s="5"/>
    </row>
    <row r="66" spans="1:12" ht="20.100000000000001" customHeight="1" x14ac:dyDescent="0.3">
      <c r="A66" s="113"/>
      <c r="B66" s="113"/>
      <c r="H66" s="72"/>
      <c r="I66" s="72"/>
    </row>
    <row r="67" spans="1:12" ht="20.100000000000001" customHeight="1" x14ac:dyDescent="0.3">
      <c r="H67" s="72"/>
      <c r="I67" s="72"/>
    </row>
    <row r="68" spans="1:12" ht="20.100000000000001" customHeight="1" x14ac:dyDescent="0.3">
      <c r="H68" s="72"/>
      <c r="I68" s="72"/>
    </row>
    <row r="69" spans="1:12" ht="20.100000000000001" customHeight="1" x14ac:dyDescent="0.3">
      <c r="A69" s="113"/>
      <c r="B69" s="113"/>
      <c r="H69" s="72"/>
      <c r="I69" s="72"/>
    </row>
    <row r="70" spans="1:12" ht="20.100000000000001" customHeight="1" x14ac:dyDescent="0.3">
      <c r="A70" s="113"/>
      <c r="B70" s="113"/>
      <c r="H70" s="72"/>
      <c r="I70" s="72"/>
    </row>
    <row r="71" spans="1:12" ht="20.100000000000001" customHeight="1" x14ac:dyDescent="0.3">
      <c r="H71" s="72"/>
      <c r="I71" s="72"/>
    </row>
    <row r="72" spans="1:12" ht="20.100000000000001" customHeight="1" x14ac:dyDescent="0.3">
      <c r="H72" s="72"/>
      <c r="I72" s="72"/>
    </row>
    <row r="73" spans="1:12" ht="20.100000000000001" customHeight="1" x14ac:dyDescent="0.3">
      <c r="H73" s="72"/>
      <c r="I73" s="72"/>
    </row>
    <row r="74" spans="1:12" s="72" customFormat="1" ht="20.100000000000001" customHeight="1" x14ac:dyDescent="0.3">
      <c r="A74" s="69"/>
      <c r="B74" s="5"/>
      <c r="C74" s="5"/>
      <c r="D74" s="5"/>
      <c r="E74" s="5"/>
      <c r="F74" s="70"/>
      <c r="G74" s="5"/>
      <c r="J74" s="5"/>
      <c r="K74" s="5"/>
      <c r="L74" s="5"/>
    </row>
    <row r="75" spans="1:12" s="72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75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75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75" customFormat="1" ht="19.5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72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2:12" ht="19.5" customHeight="1" x14ac:dyDescent="0.3"/>
    <row r="82" spans="2:12" ht="19.5" customHeight="1" x14ac:dyDescent="0.3"/>
    <row r="83" spans="2:12" ht="19.5" customHeight="1" x14ac:dyDescent="0.3"/>
    <row r="84" spans="2:12" s="69" customFormat="1" ht="19.5" customHeight="1" x14ac:dyDescent="0.3"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2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2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2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2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2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2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2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2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2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2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2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2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ht="19.5" customHeight="1" x14ac:dyDescent="0.3"/>
    <row r="101" spans="2:12" ht="19.5" customHeight="1" x14ac:dyDescent="0.3"/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>
        <v>2</v>
      </c>
      <c r="C144" s="5"/>
      <c r="D144" s="5"/>
      <c r="E144" s="5"/>
      <c r="F144" s="70"/>
      <c r="G144" s="5"/>
      <c r="H144" s="5"/>
      <c r="I144" s="5"/>
      <c r="J144" s="5"/>
      <c r="K144" s="5"/>
      <c r="L144" s="5"/>
    </row>
  </sheetData>
  <mergeCells count="30">
    <mergeCell ref="A69:B69"/>
    <mergeCell ref="A70:B70"/>
    <mergeCell ref="A60:B60"/>
    <mergeCell ref="A61:B61"/>
    <mergeCell ref="A62:B62"/>
    <mergeCell ref="A64:B64"/>
    <mergeCell ref="A65:B65"/>
    <mergeCell ref="A66:B66"/>
    <mergeCell ref="A59:B5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3:I53"/>
    <mergeCell ref="A54:B54"/>
    <mergeCell ref="D54:G54"/>
    <mergeCell ref="H54:J54"/>
    <mergeCell ref="K54:L54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L155"/>
  <sheetViews>
    <sheetView view="pageBreakPreview" topLeftCell="F43" zoomScale="85" zoomScaleSheetLayoutView="85" workbookViewId="0">
      <selection activeCell="L62" sqref="L62:L6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46093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3" si="0">(H7/1000*I7/1000)*J7</f>
        <v>0</v>
      </c>
      <c r="L7" s="26">
        <f>SUM(J7:J37)</f>
        <v>116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SUM(K7:K37)</f>
        <v>834.34649900000011</v>
      </c>
    </row>
    <row r="9" spans="1:12" s="27" customFormat="1" ht="19.5" customHeight="1" x14ac:dyDescent="0.3">
      <c r="A9" s="28" t="s">
        <v>2030</v>
      </c>
      <c r="B9" s="16" t="s">
        <v>2031</v>
      </c>
      <c r="C9" s="17">
        <v>5</v>
      </c>
      <c r="D9" s="18" t="s">
        <v>2032</v>
      </c>
      <c r="E9" s="41">
        <v>32</v>
      </c>
      <c r="F9" s="42">
        <v>39.369999999999997</v>
      </c>
      <c r="G9" s="34" t="s">
        <v>2033</v>
      </c>
      <c r="H9" s="35">
        <v>2438</v>
      </c>
      <c r="I9" s="36">
        <v>3353</v>
      </c>
      <c r="J9" s="37">
        <f>6</f>
        <v>6</v>
      </c>
      <c r="K9" s="38">
        <f t="shared" si="0"/>
        <v>49.047684000000004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2034</v>
      </c>
      <c r="B11" s="16" t="s">
        <v>2035</v>
      </c>
      <c r="C11" s="17">
        <v>24</v>
      </c>
      <c r="D11" s="18" t="s">
        <v>2036</v>
      </c>
      <c r="E11" s="41">
        <v>20</v>
      </c>
      <c r="F11" s="42">
        <v>19.899999999999999</v>
      </c>
      <c r="G11" s="34" t="s">
        <v>2037</v>
      </c>
      <c r="H11" s="35">
        <v>1981</v>
      </c>
      <c r="I11" s="36">
        <v>3048</v>
      </c>
      <c r="J11" s="37">
        <v>4</v>
      </c>
      <c r="K11" s="38">
        <f t="shared" si="0"/>
        <v>24.152352000000004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2038</v>
      </c>
      <c r="H12" s="35">
        <v>1981</v>
      </c>
      <c r="I12" s="36">
        <v>3353</v>
      </c>
      <c r="J12" s="37">
        <v>4</v>
      </c>
      <c r="K12" s="38">
        <f t="shared" si="0"/>
        <v>26.569172000000002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2039</v>
      </c>
      <c r="B14" s="16" t="s">
        <v>2035</v>
      </c>
      <c r="C14" s="17">
        <v>24</v>
      </c>
      <c r="D14" s="18" t="s">
        <v>2036</v>
      </c>
      <c r="E14" s="41">
        <v>30</v>
      </c>
      <c r="F14" s="42">
        <v>2.5</v>
      </c>
      <c r="G14" s="34" t="s">
        <v>2037</v>
      </c>
      <c r="H14" s="35">
        <v>1981</v>
      </c>
      <c r="I14" s="36">
        <v>3048</v>
      </c>
      <c r="J14" s="37">
        <v>4</v>
      </c>
      <c r="K14" s="38">
        <f t="shared" si="0"/>
        <v>24.152352000000004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2038</v>
      </c>
      <c r="H15" s="35">
        <v>1981</v>
      </c>
      <c r="I15" s="36">
        <v>3353</v>
      </c>
      <c r="J15" s="37">
        <v>4</v>
      </c>
      <c r="K15" s="38">
        <f t="shared" si="0"/>
        <v>26.569172000000002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2021</v>
      </c>
      <c r="B17" s="16" t="s">
        <v>536</v>
      </c>
      <c r="C17" s="17">
        <v>22</v>
      </c>
      <c r="D17" s="18" t="s">
        <v>17</v>
      </c>
      <c r="E17" s="41">
        <v>144</v>
      </c>
      <c r="F17" s="42">
        <v>69.48</v>
      </c>
      <c r="G17" s="34" t="s">
        <v>18</v>
      </c>
      <c r="H17" s="35">
        <v>1981</v>
      </c>
      <c r="I17" s="36">
        <v>3353</v>
      </c>
      <c r="J17" s="37">
        <v>11</v>
      </c>
      <c r="K17" s="38">
        <f t="shared" si="0"/>
        <v>73.065223000000003</v>
      </c>
      <c r="L17" s="39" t="s">
        <v>2040</v>
      </c>
    </row>
    <row r="18" spans="1:12" s="27" customFormat="1" ht="19.5" customHeight="1" x14ac:dyDescent="0.3">
      <c r="A18" s="28"/>
      <c r="B18" s="16"/>
      <c r="C18" s="17">
        <v>24</v>
      </c>
      <c r="D18" s="18" t="s">
        <v>2036</v>
      </c>
      <c r="E18" s="41">
        <v>28</v>
      </c>
      <c r="F18" s="42">
        <v>20.48</v>
      </c>
      <c r="G18" s="34" t="s">
        <v>2037</v>
      </c>
      <c r="H18" s="35">
        <v>1981</v>
      </c>
      <c r="I18" s="36">
        <v>3048</v>
      </c>
      <c r="J18" s="37">
        <v>3</v>
      </c>
      <c r="K18" s="38">
        <f t="shared" si="0"/>
        <v>18.114264000000002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 t="s">
        <v>2038</v>
      </c>
      <c r="H19" s="35">
        <v>1981</v>
      </c>
      <c r="I19" s="36">
        <v>3353</v>
      </c>
      <c r="J19" s="37">
        <v>3</v>
      </c>
      <c r="K19" s="38">
        <f t="shared" si="0"/>
        <v>19.926879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2041</v>
      </c>
      <c r="B21" s="16" t="s">
        <v>2042</v>
      </c>
      <c r="C21" s="17">
        <v>22</v>
      </c>
      <c r="D21" s="18" t="s">
        <v>2043</v>
      </c>
      <c r="E21" s="41">
        <v>4</v>
      </c>
      <c r="F21" s="42">
        <v>1.1200000000000001</v>
      </c>
      <c r="G21" s="34"/>
      <c r="H21" s="35"/>
      <c r="I21" s="36"/>
      <c r="J21" s="37"/>
      <c r="K21" s="38">
        <f t="shared" si="0"/>
        <v>0</v>
      </c>
      <c r="L21" s="39" t="s">
        <v>2044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1904</v>
      </c>
      <c r="B23" s="16" t="s">
        <v>694</v>
      </c>
      <c r="C23" s="17">
        <v>5</v>
      </c>
      <c r="D23" s="18" t="s">
        <v>219</v>
      </c>
      <c r="E23" s="41">
        <v>363</v>
      </c>
      <c r="F23" s="42">
        <v>304.64999999999998</v>
      </c>
      <c r="G23" s="34" t="s">
        <v>2033</v>
      </c>
      <c r="H23" s="35">
        <v>2438</v>
      </c>
      <c r="I23" s="36">
        <v>3353</v>
      </c>
      <c r="J23" s="37">
        <f>40</f>
        <v>40</v>
      </c>
      <c r="K23" s="38">
        <f t="shared" si="0"/>
        <v>326.98455999999999</v>
      </c>
      <c r="L23" s="39" t="s">
        <v>2045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2046</v>
      </c>
      <c r="B25" s="16" t="s">
        <v>2047</v>
      </c>
      <c r="C25" s="17">
        <v>22</v>
      </c>
      <c r="D25" s="18" t="s">
        <v>2048</v>
      </c>
      <c r="E25" s="41">
        <v>7</v>
      </c>
      <c r="F25" s="42">
        <v>10.62</v>
      </c>
      <c r="G25" s="34" t="s">
        <v>2033</v>
      </c>
      <c r="H25" s="35">
        <v>1981</v>
      </c>
      <c r="I25" s="36">
        <v>3353</v>
      </c>
      <c r="J25" s="37">
        <v>2</v>
      </c>
      <c r="K25" s="38">
        <f t="shared" si="0"/>
        <v>13.284586000000001</v>
      </c>
      <c r="L25" s="39"/>
    </row>
    <row r="26" spans="1:12" s="27" customFormat="1" ht="19.5" customHeight="1" x14ac:dyDescent="0.3">
      <c r="A26" s="28"/>
      <c r="B26" s="16"/>
      <c r="C26" s="17">
        <v>22</v>
      </c>
      <c r="D26" s="18" t="s">
        <v>2049</v>
      </c>
      <c r="E26" s="41">
        <v>1</v>
      </c>
      <c r="F26" s="42">
        <v>0.28000000000000003</v>
      </c>
      <c r="G26" s="34" t="s">
        <v>2050</v>
      </c>
      <c r="H26" s="35">
        <v>1981</v>
      </c>
      <c r="I26" s="36">
        <v>3353</v>
      </c>
      <c r="J26" s="37">
        <v>2</v>
      </c>
      <c r="K26" s="38">
        <f t="shared" si="0"/>
        <v>13.284586000000001</v>
      </c>
      <c r="L26" s="39" t="s">
        <v>2051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 t="s">
        <v>2019</v>
      </c>
      <c r="B28" s="16" t="s">
        <v>1684</v>
      </c>
      <c r="C28" s="17">
        <v>26</v>
      </c>
      <c r="D28" s="18" t="s">
        <v>289</v>
      </c>
      <c r="E28" s="41">
        <v>60</v>
      </c>
      <c r="F28" s="42">
        <v>43.62</v>
      </c>
      <c r="G28" s="34" t="s">
        <v>2033</v>
      </c>
      <c r="H28" s="35">
        <v>1981</v>
      </c>
      <c r="I28" s="36">
        <v>3353</v>
      </c>
      <c r="J28" s="37">
        <v>7</v>
      </c>
      <c r="K28" s="38">
        <f t="shared" ref="K28:K34" si="1">(H28/1000*I28/1000)*J28</f>
        <v>46.496051000000001</v>
      </c>
      <c r="L28" s="39" t="s">
        <v>2052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1"/>
        <v>0</v>
      </c>
      <c r="L29" s="39"/>
    </row>
    <row r="30" spans="1:12" s="27" customFormat="1" ht="19.5" customHeight="1" x14ac:dyDescent="0.3">
      <c r="A30" s="28" t="s">
        <v>2020</v>
      </c>
      <c r="B30" s="16" t="s">
        <v>1684</v>
      </c>
      <c r="C30" s="17">
        <v>26</v>
      </c>
      <c r="D30" s="18" t="s">
        <v>289</v>
      </c>
      <c r="E30" s="41">
        <v>108</v>
      </c>
      <c r="F30" s="42">
        <v>74.459999999999994</v>
      </c>
      <c r="G30" s="34" t="s">
        <v>2033</v>
      </c>
      <c r="H30" s="35">
        <v>1981</v>
      </c>
      <c r="I30" s="36">
        <v>3353</v>
      </c>
      <c r="J30" s="37">
        <v>12</v>
      </c>
      <c r="K30" s="38">
        <f t="shared" si="1"/>
        <v>79.707515999999998</v>
      </c>
      <c r="L30" s="39" t="s">
        <v>2052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1"/>
        <v>0</v>
      </c>
      <c r="L31" s="39"/>
    </row>
    <row r="32" spans="1:12" s="27" customFormat="1" ht="19.5" customHeight="1" x14ac:dyDescent="0.3">
      <c r="A32" s="28" t="s">
        <v>2017</v>
      </c>
      <c r="B32" s="16" t="s">
        <v>1684</v>
      </c>
      <c r="C32" s="17">
        <v>26</v>
      </c>
      <c r="D32" s="18" t="s">
        <v>289</v>
      </c>
      <c r="E32" s="81">
        <v>8</v>
      </c>
      <c r="F32" s="82">
        <v>10.75</v>
      </c>
      <c r="G32" s="34" t="s">
        <v>2033</v>
      </c>
      <c r="H32" s="35">
        <v>1981</v>
      </c>
      <c r="I32" s="36">
        <v>3353</v>
      </c>
      <c r="J32" s="37">
        <v>1</v>
      </c>
      <c r="K32" s="38">
        <f t="shared" si="1"/>
        <v>6.6422930000000004</v>
      </c>
      <c r="L32" s="39" t="s">
        <v>2052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1"/>
        <v>0</v>
      </c>
      <c r="L33" s="39"/>
    </row>
    <row r="34" spans="1:12" s="27" customFormat="1" ht="19.5" customHeight="1" x14ac:dyDescent="0.3">
      <c r="A34" s="28" t="s">
        <v>2018</v>
      </c>
      <c r="B34" s="16" t="s">
        <v>1684</v>
      </c>
      <c r="C34" s="17">
        <v>26</v>
      </c>
      <c r="D34" s="18" t="s">
        <v>289</v>
      </c>
      <c r="E34" s="41">
        <v>85</v>
      </c>
      <c r="F34" s="42">
        <v>79.12</v>
      </c>
      <c r="G34" s="34" t="s">
        <v>2033</v>
      </c>
      <c r="H34" s="35">
        <v>1981</v>
      </c>
      <c r="I34" s="36">
        <v>3353</v>
      </c>
      <c r="J34" s="37">
        <v>13</v>
      </c>
      <c r="K34" s="38">
        <f t="shared" si="1"/>
        <v>86.349809000000008</v>
      </c>
      <c r="L34" s="39" t="s">
        <v>2052</v>
      </c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29"/>
      <c r="C37" s="30"/>
      <c r="D37" s="31"/>
      <c r="E37" s="41"/>
      <c r="F37" s="42"/>
      <c r="G37" s="43"/>
      <c r="H37" s="35"/>
      <c r="I37" s="36"/>
      <c r="J37" s="37"/>
      <c r="K37" s="38">
        <f t="shared" si="0"/>
        <v>0</v>
      </c>
      <c r="L37" s="39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2053</v>
      </c>
      <c r="B39" s="76" t="s">
        <v>2054</v>
      </c>
      <c r="C39" s="77">
        <v>24</v>
      </c>
      <c r="D39" s="47" t="s">
        <v>2055</v>
      </c>
      <c r="E39" s="48">
        <v>1</v>
      </c>
      <c r="F39" s="49">
        <v>2.3199999999999998</v>
      </c>
      <c r="G39" s="50" t="s">
        <v>1110</v>
      </c>
      <c r="H39" s="51">
        <v>1981</v>
      </c>
      <c r="I39" s="45">
        <v>3353</v>
      </c>
      <c r="J39" s="52">
        <v>1</v>
      </c>
      <c r="K39" s="53">
        <f t="shared" si="0"/>
        <v>6.6422930000000004</v>
      </c>
      <c r="L39" s="54" t="s">
        <v>2056</v>
      </c>
    </row>
    <row r="40" spans="1:12" s="55" customFormat="1" ht="19.5" customHeight="1" x14ac:dyDescent="0.3">
      <c r="A40" s="44"/>
      <c r="B40" s="45"/>
      <c r="C40" s="77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2053</v>
      </c>
      <c r="B41" s="76" t="s">
        <v>2054</v>
      </c>
      <c r="C41" s="77">
        <v>24</v>
      </c>
      <c r="D41" s="47" t="s">
        <v>2055</v>
      </c>
      <c r="E41" s="48">
        <v>3</v>
      </c>
      <c r="F41" s="49">
        <v>4.21</v>
      </c>
      <c r="G41" s="50" t="s">
        <v>2033</v>
      </c>
      <c r="H41" s="51">
        <v>2134</v>
      </c>
      <c r="I41" s="45">
        <v>3353</v>
      </c>
      <c r="J41" s="52">
        <v>1</v>
      </c>
      <c r="K41" s="53">
        <f t="shared" si="0"/>
        <v>7.1553019999999998</v>
      </c>
      <c r="L41" s="54" t="s">
        <v>2057</v>
      </c>
    </row>
    <row r="42" spans="1:12" s="55" customFormat="1" ht="19.5" customHeight="1" x14ac:dyDescent="0.3">
      <c r="A42" s="44"/>
      <c r="B42" s="76"/>
      <c r="C42" s="77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2058</v>
      </c>
      <c r="B43" s="45" t="s">
        <v>2059</v>
      </c>
      <c r="C43" s="77">
        <v>24</v>
      </c>
      <c r="D43" s="47" t="s">
        <v>2060</v>
      </c>
      <c r="E43" s="48">
        <v>1</v>
      </c>
      <c r="F43" s="49">
        <v>0.81</v>
      </c>
      <c r="G43" s="50" t="s">
        <v>2061</v>
      </c>
      <c r="H43" s="51">
        <v>2438</v>
      </c>
      <c r="I43" s="45">
        <v>3353</v>
      </c>
      <c r="J43" s="52">
        <v>1</v>
      </c>
      <c r="K43" s="53">
        <f t="shared" si="0"/>
        <v>8.174614</v>
      </c>
      <c r="L43" s="54" t="s">
        <v>2056</v>
      </c>
    </row>
    <row r="44" spans="1:12" s="55" customFormat="1" ht="19.5" customHeight="1" x14ac:dyDescent="0.3">
      <c r="A44" s="44"/>
      <c r="B44" s="45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2062</v>
      </c>
      <c r="B45" s="76" t="s">
        <v>2063</v>
      </c>
      <c r="C45" s="77">
        <v>24</v>
      </c>
      <c r="D45" s="47" t="s">
        <v>2049</v>
      </c>
      <c r="E45" s="48">
        <v>80</v>
      </c>
      <c r="F45" s="49">
        <v>71.3</v>
      </c>
      <c r="G45" s="50" t="s">
        <v>2064</v>
      </c>
      <c r="H45" s="51">
        <v>1981</v>
      </c>
      <c r="I45" s="45">
        <v>3353</v>
      </c>
      <c r="J45" s="52">
        <v>13</v>
      </c>
      <c r="K45" s="53">
        <f t="shared" si="0"/>
        <v>86.349809000000008</v>
      </c>
      <c r="L45" s="54"/>
    </row>
    <row r="46" spans="1:12" s="55" customFormat="1" ht="19.5" customHeight="1" x14ac:dyDescent="0.3">
      <c r="A46" s="44"/>
      <c r="B46" s="45"/>
      <c r="C46" s="77">
        <v>24</v>
      </c>
      <c r="D46" s="47" t="s">
        <v>2048</v>
      </c>
      <c r="E46" s="48">
        <v>90</v>
      </c>
      <c r="F46" s="49">
        <v>102.7</v>
      </c>
      <c r="G46" s="50" t="s">
        <v>2033</v>
      </c>
      <c r="H46" s="51">
        <v>2590</v>
      </c>
      <c r="I46" s="45">
        <v>3048</v>
      </c>
      <c r="J46" s="52">
        <v>14</v>
      </c>
      <c r="K46" s="53">
        <f t="shared" si="0"/>
        <v>110.52047999999999</v>
      </c>
      <c r="L46" s="54"/>
    </row>
    <row r="47" spans="1:12" s="55" customFormat="1" ht="19.5" customHeight="1" x14ac:dyDescent="0.3">
      <c r="A47" s="44"/>
      <c r="B47" s="45"/>
      <c r="C47" s="77">
        <v>22</v>
      </c>
      <c r="D47" s="47" t="s">
        <v>2049</v>
      </c>
      <c r="E47" s="48">
        <v>10</v>
      </c>
      <c r="F47" s="49">
        <v>11.7</v>
      </c>
      <c r="G47" s="50" t="s">
        <v>2050</v>
      </c>
      <c r="H47" s="51">
        <v>1981</v>
      </c>
      <c r="I47" s="45">
        <v>3353</v>
      </c>
      <c r="J47" s="52">
        <v>30</v>
      </c>
      <c r="K47" s="53">
        <f t="shared" si="0"/>
        <v>199.26879000000002</v>
      </c>
      <c r="L47" s="54"/>
    </row>
    <row r="48" spans="1:12" s="55" customFormat="1" ht="19.5" customHeight="1" x14ac:dyDescent="0.3">
      <c r="A48" s="44"/>
      <c r="B48" s="45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2065</v>
      </c>
      <c r="B49" s="76" t="s">
        <v>2063</v>
      </c>
      <c r="C49" s="77">
        <v>24</v>
      </c>
      <c r="D49" s="47" t="s">
        <v>2066</v>
      </c>
      <c r="E49" s="48">
        <v>15</v>
      </c>
      <c r="F49" s="49">
        <v>47.1</v>
      </c>
      <c r="G49" s="50" t="s">
        <v>2064</v>
      </c>
      <c r="H49" s="51">
        <v>1981</v>
      </c>
      <c r="I49" s="45">
        <v>3353</v>
      </c>
      <c r="J49" s="52">
        <v>29</v>
      </c>
      <c r="K49" s="53">
        <f t="shared" si="0"/>
        <v>192.626497</v>
      </c>
      <c r="L49" s="54"/>
    </row>
    <row r="50" spans="1:12" s="55" customFormat="1" ht="19.5" customHeight="1" x14ac:dyDescent="0.3">
      <c r="A50" s="44"/>
      <c r="B50" s="45"/>
      <c r="C50" s="77">
        <v>24</v>
      </c>
      <c r="D50" s="47" t="s">
        <v>2049</v>
      </c>
      <c r="E50" s="48">
        <v>115</v>
      </c>
      <c r="F50" s="49">
        <v>104.8</v>
      </c>
      <c r="G50" s="50" t="s">
        <v>2033</v>
      </c>
      <c r="H50" s="51">
        <v>2590</v>
      </c>
      <c r="I50" s="45">
        <v>3353</v>
      </c>
      <c r="J50" s="52">
        <v>2</v>
      </c>
      <c r="K50" s="53">
        <f t="shared" si="0"/>
        <v>17.368539999999996</v>
      </c>
      <c r="L50" s="54"/>
    </row>
    <row r="51" spans="1:12" s="55" customFormat="1" ht="19.5" customHeight="1" x14ac:dyDescent="0.3">
      <c r="A51" s="44"/>
      <c r="B51" s="45"/>
      <c r="C51" s="77">
        <v>24</v>
      </c>
      <c r="D51" s="47" t="s">
        <v>2048</v>
      </c>
      <c r="E51" s="48">
        <v>130</v>
      </c>
      <c r="F51" s="49">
        <v>151.9</v>
      </c>
      <c r="G51" s="50" t="s">
        <v>2033</v>
      </c>
      <c r="H51" s="51">
        <v>2590</v>
      </c>
      <c r="I51" s="45">
        <v>3048</v>
      </c>
      <c r="J51" s="52">
        <v>19</v>
      </c>
      <c r="K51" s="53">
        <f t="shared" si="0"/>
        <v>149.99207999999999</v>
      </c>
      <c r="L51" s="54"/>
    </row>
    <row r="52" spans="1:12" s="55" customFormat="1" ht="19.5" customHeight="1" x14ac:dyDescent="0.3">
      <c r="A52" s="44"/>
      <c r="B52" s="76"/>
      <c r="C52" s="77">
        <v>22</v>
      </c>
      <c r="D52" s="47" t="s">
        <v>2049</v>
      </c>
      <c r="E52" s="48">
        <v>20</v>
      </c>
      <c r="F52" s="49">
        <v>23.4</v>
      </c>
      <c r="G52" s="50" t="s">
        <v>2067</v>
      </c>
      <c r="H52" s="51">
        <v>1981</v>
      </c>
      <c r="I52" s="45">
        <v>3353</v>
      </c>
      <c r="J52" s="52">
        <v>16</v>
      </c>
      <c r="K52" s="53">
        <f t="shared" si="0"/>
        <v>106.27668800000001</v>
      </c>
      <c r="L52" s="54"/>
    </row>
    <row r="53" spans="1:12" s="55" customFormat="1" ht="19.5" customHeight="1" x14ac:dyDescent="0.3">
      <c r="A53" s="44"/>
      <c r="B53" s="45"/>
      <c r="C53" s="77"/>
      <c r="D53" s="47"/>
      <c r="E53" s="48"/>
      <c r="F53" s="49"/>
      <c r="G53" s="50" t="s">
        <v>2050</v>
      </c>
      <c r="H53" s="51">
        <v>1981</v>
      </c>
      <c r="I53" s="45">
        <v>3353</v>
      </c>
      <c r="J53" s="52">
        <v>38</v>
      </c>
      <c r="K53" s="53">
        <f t="shared" si="0"/>
        <v>252.40713400000001</v>
      </c>
      <c r="L53" s="54"/>
    </row>
    <row r="54" spans="1:12" s="55" customFormat="1" ht="19.5" customHeight="1" x14ac:dyDescent="0.3">
      <c r="A54" s="44"/>
      <c r="B54" s="45"/>
      <c r="C54" s="77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9" customFormat="1" ht="20.100000000000001" customHeight="1" x14ac:dyDescent="0.3">
      <c r="A62" s="44"/>
      <c r="B62" s="45"/>
      <c r="C62" s="46"/>
      <c r="D62" s="47"/>
      <c r="E62" s="56"/>
      <c r="F62" s="57"/>
      <c r="G62" s="50"/>
      <c r="H62" s="51"/>
      <c r="I62" s="45"/>
      <c r="J62" s="52"/>
      <c r="K62" s="53">
        <f t="shared" si="0"/>
        <v>0</v>
      </c>
      <c r="L62" s="58">
        <f>SUM(J38:J63)</f>
        <v>164</v>
      </c>
    </row>
    <row r="63" spans="1:12" s="59" customFormat="1" ht="20.100000000000001" customHeight="1" x14ac:dyDescent="0.3">
      <c r="A63" s="44"/>
      <c r="B63" s="45"/>
      <c r="C63" s="46"/>
      <c r="D63" s="47"/>
      <c r="E63" s="60"/>
      <c r="F63" s="61"/>
      <c r="G63" s="62"/>
      <c r="H63" s="51"/>
      <c r="I63" s="45"/>
      <c r="J63" s="63"/>
      <c r="K63" s="53">
        <f t="shared" si="0"/>
        <v>0</v>
      </c>
      <c r="L63" s="64">
        <f>SUM(K38:K63)</f>
        <v>1136.7822269999999</v>
      </c>
    </row>
    <row r="64" spans="1:12" s="59" customFormat="1" ht="20.100000000000001" customHeight="1" thickBot="1" x14ac:dyDescent="0.35">
      <c r="A64" s="114"/>
      <c r="B64" s="115"/>
      <c r="C64" s="115"/>
      <c r="D64" s="115"/>
      <c r="E64" s="115"/>
      <c r="F64" s="115"/>
      <c r="G64" s="115"/>
      <c r="H64" s="115"/>
      <c r="I64" s="115"/>
      <c r="J64" s="65">
        <f>SUM(J7:J63)</f>
        <v>280</v>
      </c>
      <c r="K64" s="66">
        <f>SUM(K7:K63)</f>
        <v>1971.1287260000001</v>
      </c>
      <c r="L64" s="67"/>
    </row>
    <row r="65" spans="1:12" s="59" customFormat="1" ht="20.100000000000001" customHeight="1" thickTop="1" thickBot="1" x14ac:dyDescent="0.35">
      <c r="A65" s="116" t="s">
        <v>52</v>
      </c>
      <c r="B65" s="117"/>
      <c r="C65" s="68"/>
      <c r="D65" s="118">
        <f>J64</f>
        <v>280</v>
      </c>
      <c r="E65" s="119"/>
      <c r="F65" s="119"/>
      <c r="G65" s="120"/>
      <c r="H65" s="121"/>
      <c r="I65" s="121"/>
      <c r="J65" s="122"/>
      <c r="K65" s="119"/>
      <c r="L65" s="123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71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72"/>
      <c r="F71" s="5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5"/>
      <c r="G72" s="73"/>
      <c r="H72" s="5"/>
      <c r="I72" s="74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72"/>
      <c r="I76" s="72"/>
      <c r="J76" s="5"/>
      <c r="K76" s="5"/>
      <c r="L76" s="5"/>
    </row>
    <row r="77" spans="1:12" ht="20.100000000000001" customHeight="1" x14ac:dyDescent="0.3">
      <c r="A77" s="113"/>
      <c r="B77" s="113"/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A80" s="113"/>
      <c r="B80" s="113"/>
      <c r="H80" s="72"/>
      <c r="I80" s="72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J85" s="5"/>
      <c r="K85" s="5"/>
      <c r="L85" s="5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5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5" customFormat="1" ht="19.5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ht="19.5" customHeight="1" x14ac:dyDescent="0.3"/>
    <row r="93" spans="1:12" ht="19.5" customHeight="1" x14ac:dyDescent="0.3"/>
    <row r="94" spans="1:12" ht="19.5" customHeight="1" x14ac:dyDescent="0.3"/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>
        <v>2</v>
      </c>
      <c r="C155" s="5"/>
      <c r="D155" s="5"/>
      <c r="E155" s="5"/>
      <c r="F155" s="70"/>
      <c r="G155" s="5"/>
      <c r="H155" s="5"/>
      <c r="I155" s="5"/>
      <c r="J155" s="5"/>
      <c r="K155" s="5"/>
      <c r="L155" s="5"/>
    </row>
  </sheetData>
  <mergeCells count="30">
    <mergeCell ref="A80:B80"/>
    <mergeCell ref="A81:B81"/>
    <mergeCell ref="A71:B71"/>
    <mergeCell ref="A72:B72"/>
    <mergeCell ref="A73:B73"/>
    <mergeCell ref="A75:B75"/>
    <mergeCell ref="A76:B76"/>
    <mergeCell ref="A77:B77"/>
    <mergeCell ref="A70:B7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4:I64"/>
    <mergeCell ref="A65:B65"/>
    <mergeCell ref="D65:G65"/>
    <mergeCell ref="H65:J65"/>
    <mergeCell ref="K65:L65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L149"/>
  <sheetViews>
    <sheetView view="pageBreakPreview" topLeftCell="F40" zoomScale="85" zoomScaleSheetLayoutView="85" workbookViewId="0">
      <selection activeCell="L56" sqref="L56:L5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46092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7" si="0">(H7/1000*I7/1000)*J7</f>
        <v>0</v>
      </c>
      <c r="L7" s="26">
        <f>SUM(J7:J31)</f>
        <v>124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SUM(K7:K31)</f>
        <v>868.59465000000012</v>
      </c>
    </row>
    <row r="9" spans="1:12" s="27" customFormat="1" ht="19.5" customHeight="1" x14ac:dyDescent="0.3">
      <c r="A9" s="28" t="s">
        <v>2012</v>
      </c>
      <c r="B9" s="16" t="s">
        <v>2013</v>
      </c>
      <c r="C9" s="17">
        <v>5</v>
      </c>
      <c r="D9" s="18" t="s">
        <v>2014</v>
      </c>
      <c r="E9" s="41">
        <v>12</v>
      </c>
      <c r="F9" s="42">
        <v>10.94</v>
      </c>
      <c r="G9" s="34" t="s">
        <v>18</v>
      </c>
      <c r="H9" s="35">
        <v>1981</v>
      </c>
      <c r="I9" s="36">
        <v>3353</v>
      </c>
      <c r="J9" s="37">
        <v>2</v>
      </c>
      <c r="K9" s="38">
        <f t="shared" si="0"/>
        <v>13.284586000000001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18</v>
      </c>
      <c r="H10" s="35">
        <v>2134</v>
      </c>
      <c r="I10" s="36">
        <v>3353</v>
      </c>
      <c r="J10" s="37">
        <v>1</v>
      </c>
      <c r="K10" s="38">
        <f t="shared" si="0"/>
        <v>7.1553019999999998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1904</v>
      </c>
      <c r="B12" s="16" t="s">
        <v>694</v>
      </c>
      <c r="C12" s="17">
        <v>5</v>
      </c>
      <c r="D12" s="18" t="s">
        <v>219</v>
      </c>
      <c r="E12" s="41">
        <v>265</v>
      </c>
      <c r="F12" s="42">
        <v>199.95</v>
      </c>
      <c r="G12" s="34" t="s">
        <v>18</v>
      </c>
      <c r="H12" s="35">
        <v>2438</v>
      </c>
      <c r="I12" s="36">
        <v>3353</v>
      </c>
      <c r="J12" s="37">
        <f>26</f>
        <v>26</v>
      </c>
      <c r="K12" s="38">
        <f t="shared" si="0"/>
        <v>212.539964</v>
      </c>
      <c r="L12" s="39" t="s">
        <v>2015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1886</v>
      </c>
      <c r="B14" s="16" t="s">
        <v>1887</v>
      </c>
      <c r="C14" s="17">
        <v>24</v>
      </c>
      <c r="D14" s="18" t="s">
        <v>188</v>
      </c>
      <c r="E14" s="41">
        <v>1</v>
      </c>
      <c r="F14" s="42">
        <v>0.57999999999999996</v>
      </c>
      <c r="G14" s="34"/>
      <c r="H14" s="35"/>
      <c r="I14" s="36"/>
      <c r="J14" s="37"/>
      <c r="K14" s="38">
        <f t="shared" si="0"/>
        <v>0</v>
      </c>
      <c r="L14" s="39" t="s">
        <v>2016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2017</v>
      </c>
      <c r="B16" s="16" t="s">
        <v>1684</v>
      </c>
      <c r="C16" s="17">
        <v>26</v>
      </c>
      <c r="D16" s="18" t="s">
        <v>289</v>
      </c>
      <c r="E16" s="81">
        <v>8</v>
      </c>
      <c r="F16" s="82">
        <v>10.75</v>
      </c>
      <c r="G16" s="34" t="s">
        <v>291</v>
      </c>
      <c r="H16" s="35">
        <v>2438</v>
      </c>
      <c r="I16" s="36">
        <v>3353</v>
      </c>
      <c r="J16" s="37">
        <v>2</v>
      </c>
      <c r="K16" s="38">
        <f t="shared" si="0"/>
        <v>16.349228</v>
      </c>
      <c r="L16" s="39" t="s">
        <v>106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2018</v>
      </c>
      <c r="B18" s="16" t="s">
        <v>1684</v>
      </c>
      <c r="C18" s="17">
        <v>26</v>
      </c>
      <c r="D18" s="18" t="s">
        <v>289</v>
      </c>
      <c r="E18" s="41">
        <v>85</v>
      </c>
      <c r="F18" s="42">
        <v>79.12</v>
      </c>
      <c r="G18" s="34" t="s">
        <v>291</v>
      </c>
      <c r="H18" s="35">
        <v>1981</v>
      </c>
      <c r="I18" s="36">
        <v>3353</v>
      </c>
      <c r="J18" s="37">
        <v>12</v>
      </c>
      <c r="K18" s="38">
        <f t="shared" si="0"/>
        <v>79.707515999999998</v>
      </c>
      <c r="L18" s="39" t="s">
        <v>106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 t="s">
        <v>291</v>
      </c>
      <c r="H19" s="35">
        <v>2438</v>
      </c>
      <c r="I19" s="36">
        <v>3353</v>
      </c>
      <c r="J19" s="37">
        <v>1</v>
      </c>
      <c r="K19" s="38">
        <f t="shared" si="0"/>
        <v>8.174614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2019</v>
      </c>
      <c r="B21" s="16" t="s">
        <v>1684</v>
      </c>
      <c r="C21" s="17">
        <v>26</v>
      </c>
      <c r="D21" s="18" t="s">
        <v>289</v>
      </c>
      <c r="E21" s="41">
        <v>60</v>
      </c>
      <c r="F21" s="42">
        <v>43.62</v>
      </c>
      <c r="G21" s="34" t="s">
        <v>291</v>
      </c>
      <c r="H21" s="35">
        <v>1981</v>
      </c>
      <c r="I21" s="36">
        <v>3353</v>
      </c>
      <c r="J21" s="37">
        <v>7</v>
      </c>
      <c r="K21" s="38">
        <f t="shared" si="0"/>
        <v>46.496051000000001</v>
      </c>
      <c r="L21" s="39" t="s">
        <v>106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2020</v>
      </c>
      <c r="B23" s="16" t="s">
        <v>1684</v>
      </c>
      <c r="C23" s="17">
        <v>26</v>
      </c>
      <c r="D23" s="18" t="s">
        <v>289</v>
      </c>
      <c r="E23" s="41">
        <v>108</v>
      </c>
      <c r="F23" s="42">
        <v>74.459999999999994</v>
      </c>
      <c r="G23" s="34" t="s">
        <v>291</v>
      </c>
      <c r="H23" s="35">
        <v>1981</v>
      </c>
      <c r="I23" s="36">
        <v>3353</v>
      </c>
      <c r="J23" s="37">
        <v>12</v>
      </c>
      <c r="K23" s="38">
        <f t="shared" si="0"/>
        <v>79.707515999999998</v>
      </c>
      <c r="L23" s="39" t="s">
        <v>106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2021</v>
      </c>
      <c r="B25" s="16" t="s">
        <v>536</v>
      </c>
      <c r="C25" s="17">
        <v>22</v>
      </c>
      <c r="D25" s="18" t="s">
        <v>17</v>
      </c>
      <c r="E25" s="41">
        <v>234</v>
      </c>
      <c r="F25" s="42">
        <v>224.64</v>
      </c>
      <c r="G25" s="34" t="s">
        <v>19</v>
      </c>
      <c r="H25" s="35">
        <v>1981</v>
      </c>
      <c r="I25" s="36">
        <v>3353</v>
      </c>
      <c r="J25" s="37">
        <v>36</v>
      </c>
      <c r="K25" s="38">
        <f t="shared" si="0"/>
        <v>239.12254800000002</v>
      </c>
      <c r="L25" s="39" t="s">
        <v>106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 t="s">
        <v>2021</v>
      </c>
      <c r="B27" s="16" t="s">
        <v>536</v>
      </c>
      <c r="C27" s="17">
        <v>22</v>
      </c>
      <c r="D27" s="18" t="s">
        <v>17</v>
      </c>
      <c r="E27" s="41">
        <v>90</v>
      </c>
      <c r="F27" s="42">
        <v>155.16</v>
      </c>
      <c r="G27" s="34" t="s">
        <v>18</v>
      </c>
      <c r="H27" s="35">
        <v>1981</v>
      </c>
      <c r="I27" s="36">
        <v>3353</v>
      </c>
      <c r="J27" s="37">
        <v>25</v>
      </c>
      <c r="K27" s="38">
        <f t="shared" si="0"/>
        <v>166.05732500000002</v>
      </c>
      <c r="L27" s="39" t="s">
        <v>2022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29"/>
      <c r="C31" s="30"/>
      <c r="D31" s="31"/>
      <c r="E31" s="41"/>
      <c r="F31" s="42"/>
      <c r="G31" s="43"/>
      <c r="H31" s="35"/>
      <c r="I31" s="36"/>
      <c r="J31" s="37"/>
      <c r="K31" s="38">
        <f t="shared" si="0"/>
        <v>0</v>
      </c>
      <c r="L31" s="39"/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2023</v>
      </c>
      <c r="B33" s="76" t="s">
        <v>145</v>
      </c>
      <c r="C33" s="77">
        <v>24</v>
      </c>
      <c r="D33" s="47" t="s">
        <v>45</v>
      </c>
      <c r="E33" s="48">
        <v>90</v>
      </c>
      <c r="F33" s="49">
        <v>64.099999999999994</v>
      </c>
      <c r="G33" s="50" t="s">
        <v>49</v>
      </c>
      <c r="H33" s="51">
        <v>1981</v>
      </c>
      <c r="I33" s="45">
        <v>3353</v>
      </c>
      <c r="J33" s="52">
        <v>12</v>
      </c>
      <c r="K33" s="53">
        <f t="shared" si="0"/>
        <v>79.707515999999998</v>
      </c>
      <c r="L33" s="54"/>
    </row>
    <row r="34" spans="1:12" s="55" customFormat="1" ht="19.5" customHeight="1" x14ac:dyDescent="0.3">
      <c r="A34" s="44"/>
      <c r="B34" s="45"/>
      <c r="C34" s="77">
        <v>24</v>
      </c>
      <c r="D34" s="47" t="s">
        <v>17</v>
      </c>
      <c r="E34" s="48">
        <v>100</v>
      </c>
      <c r="F34" s="49">
        <v>95.5</v>
      </c>
      <c r="G34" s="50" t="s">
        <v>18</v>
      </c>
      <c r="H34" s="51">
        <v>1981</v>
      </c>
      <c r="I34" s="45">
        <v>3353</v>
      </c>
      <c r="J34" s="52">
        <v>15</v>
      </c>
      <c r="K34" s="53">
        <f t="shared" si="0"/>
        <v>99.634395000000012</v>
      </c>
      <c r="L34" s="54"/>
    </row>
    <row r="35" spans="1:12" s="55" customFormat="1" ht="19.5" customHeight="1" x14ac:dyDescent="0.3">
      <c r="A35" s="44"/>
      <c r="B35" s="76"/>
      <c r="C35" s="77">
        <v>22</v>
      </c>
      <c r="D35" s="47" t="s">
        <v>45</v>
      </c>
      <c r="E35" s="48">
        <v>10</v>
      </c>
      <c r="F35" s="49">
        <v>11.7</v>
      </c>
      <c r="G35" s="50" t="s">
        <v>19</v>
      </c>
      <c r="H35" s="51">
        <v>1981</v>
      </c>
      <c r="I35" s="45">
        <v>3353</v>
      </c>
      <c r="J35" s="52">
        <v>27</v>
      </c>
      <c r="K35" s="53">
        <f t="shared" si="0"/>
        <v>179.34191100000001</v>
      </c>
      <c r="L35" s="54"/>
    </row>
    <row r="36" spans="1:12" s="55" customFormat="1" ht="19.5" customHeight="1" x14ac:dyDescent="0.3">
      <c r="A36" s="44"/>
      <c r="B36" s="76"/>
      <c r="C36" s="77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2024</v>
      </c>
      <c r="B37" s="45" t="s">
        <v>2025</v>
      </c>
      <c r="C37" s="77">
        <v>22</v>
      </c>
      <c r="D37" s="47" t="s">
        <v>17</v>
      </c>
      <c r="E37" s="48">
        <v>2</v>
      </c>
      <c r="F37" s="49">
        <v>1.86</v>
      </c>
      <c r="G37" s="50"/>
      <c r="H37" s="51"/>
      <c r="I37" s="45"/>
      <c r="J37" s="52"/>
      <c r="K37" s="53">
        <f t="shared" si="0"/>
        <v>0</v>
      </c>
      <c r="L37" s="54" t="s">
        <v>31</v>
      </c>
    </row>
    <row r="38" spans="1:12" s="55" customFormat="1" ht="19.5" customHeight="1" x14ac:dyDescent="0.3">
      <c r="A38" s="44"/>
      <c r="B38" s="45"/>
      <c r="C38" s="77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2026</v>
      </c>
      <c r="B39" s="76" t="s">
        <v>2027</v>
      </c>
      <c r="C39" s="77">
        <v>24</v>
      </c>
      <c r="D39" s="47" t="s">
        <v>2028</v>
      </c>
      <c r="E39" s="48">
        <v>1</v>
      </c>
      <c r="F39" s="49">
        <v>1.29</v>
      </c>
      <c r="G39" s="50"/>
      <c r="H39" s="51"/>
      <c r="I39" s="45"/>
      <c r="J39" s="52"/>
      <c r="K39" s="53">
        <f t="shared" si="0"/>
        <v>0</v>
      </c>
      <c r="L39" s="54" t="s">
        <v>31</v>
      </c>
    </row>
    <row r="40" spans="1:12" s="55" customFormat="1" ht="19.5" customHeight="1" x14ac:dyDescent="0.3">
      <c r="A40" s="44"/>
      <c r="B40" s="45"/>
      <c r="C40" s="77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2029</v>
      </c>
      <c r="B41" s="45" t="s">
        <v>21</v>
      </c>
      <c r="C41" s="77">
        <v>22</v>
      </c>
      <c r="D41" s="47" t="s">
        <v>17</v>
      </c>
      <c r="E41" s="48">
        <v>1</v>
      </c>
      <c r="F41" s="49">
        <v>1.34</v>
      </c>
      <c r="G41" s="50"/>
      <c r="H41" s="51"/>
      <c r="I41" s="45"/>
      <c r="J41" s="52"/>
      <c r="K41" s="53">
        <f t="shared" si="0"/>
        <v>0</v>
      </c>
      <c r="L41" s="54" t="s">
        <v>31</v>
      </c>
    </row>
    <row r="42" spans="1:12" s="55" customFormat="1" ht="19.5" customHeight="1" x14ac:dyDescent="0.3">
      <c r="A42" s="44"/>
      <c r="B42" s="45"/>
      <c r="C42" s="77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1762</v>
      </c>
      <c r="B43" s="45" t="s">
        <v>145</v>
      </c>
      <c r="C43" s="77">
        <v>24</v>
      </c>
      <c r="D43" s="47" t="s">
        <v>146</v>
      </c>
      <c r="E43" s="48">
        <v>1</v>
      </c>
      <c r="F43" s="49">
        <v>3.33</v>
      </c>
      <c r="G43" s="50" t="s">
        <v>62</v>
      </c>
      <c r="H43" s="51">
        <v>1981</v>
      </c>
      <c r="I43" s="45">
        <v>3353</v>
      </c>
      <c r="J43" s="52">
        <v>1</v>
      </c>
      <c r="K43" s="53">
        <f t="shared" si="0"/>
        <v>6.6422930000000004</v>
      </c>
      <c r="L43" s="54" t="s">
        <v>831</v>
      </c>
    </row>
    <row r="44" spans="1:12" s="55" customFormat="1" ht="19.5" customHeight="1" x14ac:dyDescent="0.3">
      <c r="A44" s="44"/>
      <c r="B44" s="45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2004</v>
      </c>
      <c r="B45" s="45" t="s">
        <v>2005</v>
      </c>
      <c r="C45" s="77">
        <v>28</v>
      </c>
      <c r="D45" s="47" t="s">
        <v>2006</v>
      </c>
      <c r="E45" s="48">
        <v>199</v>
      </c>
      <c r="F45" s="49">
        <v>246.42</v>
      </c>
      <c r="G45" s="50" t="s">
        <v>18</v>
      </c>
      <c r="H45" s="51">
        <v>1981</v>
      </c>
      <c r="I45" s="45">
        <v>3353</v>
      </c>
      <c r="J45" s="52">
        <v>33</v>
      </c>
      <c r="K45" s="53">
        <f t="shared" si="0"/>
        <v>219.19566900000001</v>
      </c>
      <c r="L45" s="54" t="s">
        <v>100</v>
      </c>
    </row>
    <row r="46" spans="1:12" s="55" customFormat="1" ht="19.5" customHeight="1" x14ac:dyDescent="0.3">
      <c r="A46" s="44"/>
      <c r="B46" s="76"/>
      <c r="C46" s="77"/>
      <c r="D46" s="47"/>
      <c r="E46" s="48"/>
      <c r="F46" s="49"/>
      <c r="G46" s="50" t="s">
        <v>18</v>
      </c>
      <c r="H46" s="51">
        <v>1981</v>
      </c>
      <c r="I46" s="45">
        <v>3048</v>
      </c>
      <c r="J46" s="52">
        <v>8</v>
      </c>
      <c r="K46" s="53">
        <f t="shared" si="0"/>
        <v>48.304704000000008</v>
      </c>
      <c r="L46" s="54"/>
    </row>
    <row r="47" spans="1:12" s="55" customFormat="1" ht="19.5" customHeight="1" x14ac:dyDescent="0.3">
      <c r="A47" s="44"/>
      <c r="B47" s="45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2008</v>
      </c>
      <c r="B48" s="45" t="s">
        <v>2005</v>
      </c>
      <c r="C48" s="77">
        <v>28</v>
      </c>
      <c r="D48" s="47" t="s">
        <v>2006</v>
      </c>
      <c r="E48" s="48">
        <v>198</v>
      </c>
      <c r="F48" s="49">
        <v>245.48</v>
      </c>
      <c r="G48" s="50" t="s">
        <v>189</v>
      </c>
      <c r="H48" s="51">
        <v>1981</v>
      </c>
      <c r="I48" s="45">
        <v>3048</v>
      </c>
      <c r="J48" s="52">
        <v>25</v>
      </c>
      <c r="K48" s="53">
        <f t="shared" si="0"/>
        <v>150.95220000000003</v>
      </c>
      <c r="L48" s="54" t="s">
        <v>100</v>
      </c>
    </row>
    <row r="49" spans="1:12" s="55" customFormat="1" ht="19.5" customHeight="1" x14ac:dyDescent="0.3">
      <c r="A49" s="44"/>
      <c r="B49" s="45"/>
      <c r="C49" s="77">
        <v>26</v>
      </c>
      <c r="D49" s="47" t="s">
        <v>2009</v>
      </c>
      <c r="E49" s="48">
        <v>1</v>
      </c>
      <c r="F49" s="49">
        <v>1.89</v>
      </c>
      <c r="G49" s="50" t="s">
        <v>189</v>
      </c>
      <c r="H49" s="51">
        <v>1981</v>
      </c>
      <c r="I49" s="45">
        <v>3353</v>
      </c>
      <c r="J49" s="52">
        <v>4</v>
      </c>
      <c r="K49" s="53">
        <f t="shared" si="0"/>
        <v>26.569172000000002</v>
      </c>
      <c r="L49" s="54" t="s">
        <v>197</v>
      </c>
    </row>
    <row r="50" spans="1:12" s="55" customFormat="1" ht="19.5" customHeight="1" x14ac:dyDescent="0.3">
      <c r="A50" s="44"/>
      <c r="B50" s="76"/>
      <c r="C50" s="77">
        <v>28</v>
      </c>
      <c r="D50" s="47" t="s">
        <v>2006</v>
      </c>
      <c r="E50" s="48">
        <v>48</v>
      </c>
      <c r="F50" s="49">
        <v>24.48</v>
      </c>
      <c r="G50" s="50" t="s">
        <v>189</v>
      </c>
      <c r="H50" s="51">
        <v>2134</v>
      </c>
      <c r="I50" s="45">
        <v>3353</v>
      </c>
      <c r="J50" s="52">
        <v>17</v>
      </c>
      <c r="K50" s="53">
        <f t="shared" si="0"/>
        <v>121.640134</v>
      </c>
      <c r="L50" s="54" t="s">
        <v>100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9" customFormat="1" ht="20.100000000000001" customHeight="1" x14ac:dyDescent="0.3">
      <c r="A56" s="44"/>
      <c r="B56" s="45"/>
      <c r="C56" s="46"/>
      <c r="D56" s="47"/>
      <c r="E56" s="56"/>
      <c r="F56" s="57"/>
      <c r="G56" s="50"/>
      <c r="H56" s="51"/>
      <c r="I56" s="45"/>
      <c r="J56" s="52"/>
      <c r="K56" s="53">
        <f t="shared" si="0"/>
        <v>0</v>
      </c>
      <c r="L56" s="58">
        <f>SUM(J32:J57)</f>
        <v>142</v>
      </c>
    </row>
    <row r="57" spans="1:12" s="59" customFormat="1" ht="20.100000000000001" customHeight="1" x14ac:dyDescent="0.3">
      <c r="A57" s="44"/>
      <c r="B57" s="45"/>
      <c r="C57" s="46"/>
      <c r="D57" s="47"/>
      <c r="E57" s="60"/>
      <c r="F57" s="61"/>
      <c r="G57" s="62"/>
      <c r="H57" s="51"/>
      <c r="I57" s="45"/>
      <c r="J57" s="63"/>
      <c r="K57" s="53">
        <f t="shared" si="0"/>
        <v>0</v>
      </c>
      <c r="L57" s="64">
        <f>SUM(K32:K57)</f>
        <v>931.98799400000007</v>
      </c>
    </row>
    <row r="58" spans="1:12" s="59" customFormat="1" ht="20.100000000000001" customHeight="1" thickBot="1" x14ac:dyDescent="0.35">
      <c r="A58" s="114"/>
      <c r="B58" s="115"/>
      <c r="C58" s="115"/>
      <c r="D58" s="115"/>
      <c r="E58" s="115"/>
      <c r="F58" s="115"/>
      <c r="G58" s="115"/>
      <c r="H58" s="115"/>
      <c r="I58" s="115"/>
      <c r="J58" s="65">
        <f>SUM(J7:J57)</f>
        <v>266</v>
      </c>
      <c r="K58" s="66">
        <f>SUM(K7:K57)</f>
        <v>1800.5826440000001</v>
      </c>
      <c r="L58" s="67"/>
    </row>
    <row r="59" spans="1:12" s="59" customFormat="1" ht="20.100000000000001" customHeight="1" thickTop="1" thickBot="1" x14ac:dyDescent="0.35">
      <c r="A59" s="116" t="s">
        <v>52</v>
      </c>
      <c r="B59" s="117"/>
      <c r="C59" s="68"/>
      <c r="D59" s="118">
        <f>J58</f>
        <v>266</v>
      </c>
      <c r="E59" s="119"/>
      <c r="F59" s="119"/>
      <c r="G59" s="120"/>
      <c r="H59" s="121"/>
      <c r="I59" s="121"/>
      <c r="J59" s="122"/>
      <c r="K59" s="119"/>
      <c r="L59" s="123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71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72"/>
      <c r="F65" s="5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5"/>
      <c r="G66" s="73"/>
      <c r="H66" s="5"/>
      <c r="I66" s="74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72"/>
      <c r="I70" s="72"/>
      <c r="J70" s="5"/>
      <c r="K70" s="5"/>
      <c r="L70" s="5"/>
    </row>
    <row r="71" spans="1:12" ht="20.100000000000001" customHeight="1" x14ac:dyDescent="0.3">
      <c r="A71" s="113"/>
      <c r="B71" s="113"/>
      <c r="H71" s="72"/>
      <c r="I71" s="72"/>
    </row>
    <row r="72" spans="1:12" ht="20.100000000000001" customHeight="1" x14ac:dyDescent="0.3"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A74" s="113"/>
      <c r="B74" s="113"/>
      <c r="H74" s="72"/>
      <c r="I74" s="72"/>
    </row>
    <row r="75" spans="1:12" ht="20.100000000000001" customHeight="1" x14ac:dyDescent="0.3">
      <c r="A75" s="113"/>
      <c r="B75" s="113"/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H78" s="72"/>
      <c r="I78" s="72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J79" s="5"/>
      <c r="K79" s="5"/>
      <c r="L79" s="5"/>
    </row>
    <row r="80" spans="1:12" s="72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5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5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19.5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ht="19.5" customHeight="1" x14ac:dyDescent="0.3"/>
    <row r="87" spans="1:12" ht="19.5" customHeight="1" x14ac:dyDescent="0.3"/>
    <row r="88" spans="1:12" ht="19.5" customHeight="1" x14ac:dyDescent="0.3"/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>
        <v>2</v>
      </c>
      <c r="C149" s="5"/>
      <c r="D149" s="5"/>
      <c r="E149" s="5"/>
      <c r="F149" s="70"/>
      <c r="G149" s="5"/>
      <c r="H149" s="5"/>
      <c r="I149" s="5"/>
      <c r="J149" s="5"/>
      <c r="K149" s="5"/>
      <c r="L149" s="5"/>
    </row>
  </sheetData>
  <mergeCells count="30">
    <mergeCell ref="A74:B74"/>
    <mergeCell ref="A75:B75"/>
    <mergeCell ref="A65:B65"/>
    <mergeCell ref="A66:B66"/>
    <mergeCell ref="A67:B67"/>
    <mergeCell ref="A69:B69"/>
    <mergeCell ref="A70:B70"/>
    <mergeCell ref="A71:B71"/>
    <mergeCell ref="A64:B6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8:I58"/>
    <mergeCell ref="A59:B59"/>
    <mergeCell ref="D59:G59"/>
    <mergeCell ref="H59:J59"/>
    <mergeCell ref="K59:L59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L149"/>
  <sheetViews>
    <sheetView view="pageBreakPreview" topLeftCell="E40" zoomScale="85" zoomScaleSheetLayoutView="85" workbookViewId="0">
      <selection activeCell="L56" sqref="L56:L5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46091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7" si="0">(H7/1000*I7/1000)*J7</f>
        <v>0</v>
      </c>
      <c r="L7" s="26">
        <f>SUM(J7:J31)</f>
        <v>127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SUM(K7:K31)</f>
        <v>838.49476900000002</v>
      </c>
    </row>
    <row r="9" spans="1:12" s="27" customFormat="1" ht="19.5" customHeight="1" x14ac:dyDescent="0.3">
      <c r="A9" s="28" t="s">
        <v>1971</v>
      </c>
      <c r="B9" s="16" t="s">
        <v>1972</v>
      </c>
      <c r="C9" s="17">
        <v>51</v>
      </c>
      <c r="D9" s="18" t="s">
        <v>1973</v>
      </c>
      <c r="E9" s="41">
        <v>1</v>
      </c>
      <c r="F9" s="42">
        <v>3.86</v>
      </c>
      <c r="G9" s="34" t="s">
        <v>1974</v>
      </c>
      <c r="H9" s="35">
        <v>1829</v>
      </c>
      <c r="I9" s="36">
        <v>3353</v>
      </c>
      <c r="J9" s="37">
        <v>1</v>
      </c>
      <c r="K9" s="38">
        <f t="shared" si="0"/>
        <v>6.1326369999999999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1975</v>
      </c>
      <c r="H10" s="35">
        <v>1981</v>
      </c>
      <c r="I10" s="36">
        <v>3353</v>
      </c>
      <c r="J10" s="37">
        <v>1</v>
      </c>
      <c r="K10" s="38">
        <f t="shared" si="0"/>
        <v>6.6422930000000004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 t="s">
        <v>1976</v>
      </c>
      <c r="H11" s="35">
        <v>1829</v>
      </c>
      <c r="I11" s="36">
        <v>3353</v>
      </c>
      <c r="J11" s="37">
        <v>1</v>
      </c>
      <c r="K11" s="38">
        <f t="shared" si="0"/>
        <v>6.1326369999999999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1977</v>
      </c>
      <c r="B13" s="16" t="s">
        <v>1978</v>
      </c>
      <c r="C13" s="17">
        <v>24</v>
      </c>
      <c r="D13" s="18" t="s">
        <v>1979</v>
      </c>
      <c r="E13" s="41">
        <v>8</v>
      </c>
      <c r="F13" s="42">
        <v>6.14</v>
      </c>
      <c r="G13" s="34" t="s">
        <v>1975</v>
      </c>
      <c r="H13" s="35">
        <v>2590</v>
      </c>
      <c r="I13" s="36">
        <v>3353</v>
      </c>
      <c r="J13" s="37">
        <v>1</v>
      </c>
      <c r="K13" s="38">
        <f t="shared" si="0"/>
        <v>8.6842699999999979</v>
      </c>
      <c r="L13" s="39"/>
    </row>
    <row r="14" spans="1:12" s="27" customFormat="1" ht="19.5" customHeight="1" x14ac:dyDescent="0.3">
      <c r="A14" s="28"/>
      <c r="B14" s="16"/>
      <c r="C14" s="17">
        <v>24</v>
      </c>
      <c r="D14" s="18" t="s">
        <v>1980</v>
      </c>
      <c r="E14" s="41">
        <v>1</v>
      </c>
      <c r="F14" s="42">
        <v>1.44</v>
      </c>
      <c r="G14" s="34" t="s">
        <v>1981</v>
      </c>
      <c r="H14" s="35">
        <v>2134</v>
      </c>
      <c r="I14" s="36">
        <v>3353</v>
      </c>
      <c r="J14" s="37">
        <v>2</v>
      </c>
      <c r="K14" s="38">
        <f t="shared" si="0"/>
        <v>14.310604</v>
      </c>
      <c r="L14" s="39" t="s">
        <v>1982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1983</v>
      </c>
      <c r="B16" s="16" t="s">
        <v>1984</v>
      </c>
      <c r="C16" s="17">
        <v>22</v>
      </c>
      <c r="D16" s="18" t="s">
        <v>1985</v>
      </c>
      <c r="E16" s="81">
        <v>6</v>
      </c>
      <c r="F16" s="82">
        <v>8.41</v>
      </c>
      <c r="G16" s="34" t="s">
        <v>1976</v>
      </c>
      <c r="H16" s="35">
        <v>1829</v>
      </c>
      <c r="I16" s="36">
        <v>3353</v>
      </c>
      <c r="J16" s="37">
        <v>2</v>
      </c>
      <c r="K16" s="38">
        <f t="shared" si="0"/>
        <v>12.265274</v>
      </c>
      <c r="L16" s="39"/>
    </row>
    <row r="17" spans="1:12" s="27" customFormat="1" ht="19.5" customHeight="1" x14ac:dyDescent="0.3">
      <c r="A17" s="28"/>
      <c r="B17" s="16"/>
      <c r="C17" s="17">
        <v>22</v>
      </c>
      <c r="D17" s="18" t="s">
        <v>1986</v>
      </c>
      <c r="E17" s="41">
        <v>7</v>
      </c>
      <c r="F17" s="42">
        <v>7.24</v>
      </c>
      <c r="G17" s="34" t="s">
        <v>1988</v>
      </c>
      <c r="H17" s="35">
        <v>1981</v>
      </c>
      <c r="I17" s="36">
        <v>3353</v>
      </c>
      <c r="J17" s="37">
        <v>3</v>
      </c>
      <c r="K17" s="38">
        <f t="shared" si="0"/>
        <v>19.926879</v>
      </c>
      <c r="L17" s="39"/>
    </row>
    <row r="18" spans="1:12" s="27" customFormat="1" ht="19.5" customHeight="1" x14ac:dyDescent="0.3">
      <c r="A18" s="28"/>
      <c r="B18" s="16"/>
      <c r="C18" s="17">
        <v>22</v>
      </c>
      <c r="D18" s="18" t="s">
        <v>1986</v>
      </c>
      <c r="E18" s="41">
        <v>1</v>
      </c>
      <c r="F18" s="42">
        <v>1.69</v>
      </c>
      <c r="G18" s="34" t="s">
        <v>1975</v>
      </c>
      <c r="H18" s="35">
        <v>2438</v>
      </c>
      <c r="I18" s="36">
        <v>3353</v>
      </c>
      <c r="J18" s="37">
        <v>3</v>
      </c>
      <c r="K18" s="38">
        <f t="shared" si="0"/>
        <v>24.523842000000002</v>
      </c>
      <c r="L18" s="39"/>
    </row>
    <row r="19" spans="1:12" s="27" customFormat="1" ht="19.5" customHeight="1" x14ac:dyDescent="0.3">
      <c r="A19" s="28"/>
      <c r="B19" s="16"/>
      <c r="C19" s="17">
        <v>22</v>
      </c>
      <c r="D19" s="18" t="s">
        <v>1987</v>
      </c>
      <c r="E19" s="41">
        <v>3</v>
      </c>
      <c r="F19" s="42">
        <v>5.07</v>
      </c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1866</v>
      </c>
      <c r="B21" s="16" t="s">
        <v>306</v>
      </c>
      <c r="C21" s="17">
        <v>22</v>
      </c>
      <c r="D21" s="18" t="s">
        <v>320</v>
      </c>
      <c r="E21" s="41">
        <v>150</v>
      </c>
      <c r="F21" s="42">
        <v>118.4</v>
      </c>
      <c r="G21" s="34" t="s">
        <v>1974</v>
      </c>
      <c r="H21" s="35">
        <v>1829</v>
      </c>
      <c r="I21" s="36">
        <v>3353</v>
      </c>
      <c r="J21" s="37">
        <v>21</v>
      </c>
      <c r="K21" s="38">
        <f t="shared" si="0"/>
        <v>128.78537700000001</v>
      </c>
      <c r="L21" s="39" t="s">
        <v>1990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1989</v>
      </c>
      <c r="B23" s="16" t="s">
        <v>306</v>
      </c>
      <c r="C23" s="17">
        <v>22</v>
      </c>
      <c r="D23" s="18" t="s">
        <v>307</v>
      </c>
      <c r="E23" s="41">
        <v>180</v>
      </c>
      <c r="F23" s="42">
        <v>140.80000000000001</v>
      </c>
      <c r="G23" s="34" t="s">
        <v>49</v>
      </c>
      <c r="H23" s="35">
        <v>1981</v>
      </c>
      <c r="I23" s="36">
        <v>3353</v>
      </c>
      <c r="J23" s="37">
        <v>23</v>
      </c>
      <c r="K23" s="38">
        <f t="shared" si="0"/>
        <v>152.772739</v>
      </c>
      <c r="L23" s="39" t="s">
        <v>1472</v>
      </c>
    </row>
    <row r="24" spans="1:12" s="27" customFormat="1" ht="19.5" customHeight="1" x14ac:dyDescent="0.3">
      <c r="A24" s="28"/>
      <c r="B24" s="16"/>
      <c r="C24" s="17">
        <v>22</v>
      </c>
      <c r="D24" s="18" t="s">
        <v>320</v>
      </c>
      <c r="E24" s="41">
        <v>180</v>
      </c>
      <c r="F24" s="42">
        <v>140.80000000000001</v>
      </c>
      <c r="G24" s="34" t="s">
        <v>18</v>
      </c>
      <c r="H24" s="35">
        <v>1981</v>
      </c>
      <c r="I24" s="36">
        <v>3353</v>
      </c>
      <c r="J24" s="37">
        <v>23</v>
      </c>
      <c r="K24" s="38">
        <f t="shared" si="0"/>
        <v>152.772739</v>
      </c>
      <c r="L24" s="39" t="s">
        <v>1472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 t="s">
        <v>39</v>
      </c>
      <c r="H25" s="35">
        <v>1981</v>
      </c>
      <c r="I25" s="36">
        <v>3353</v>
      </c>
      <c r="J25" s="37">
        <v>46</v>
      </c>
      <c r="K25" s="38">
        <f t="shared" si="0"/>
        <v>305.545478</v>
      </c>
      <c r="L25" s="39" t="s">
        <v>1472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29"/>
      <c r="C31" s="30"/>
      <c r="D31" s="31"/>
      <c r="E31" s="41"/>
      <c r="F31" s="42"/>
      <c r="G31" s="43"/>
      <c r="H31" s="35"/>
      <c r="I31" s="36"/>
      <c r="J31" s="37"/>
      <c r="K31" s="38">
        <f t="shared" si="0"/>
        <v>0</v>
      </c>
      <c r="L31" s="39"/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1991</v>
      </c>
      <c r="B33" s="76" t="s">
        <v>1992</v>
      </c>
      <c r="C33" s="77">
        <v>31.52</v>
      </c>
      <c r="D33" s="47" t="s">
        <v>1993</v>
      </c>
      <c r="E33" s="48">
        <v>42</v>
      </c>
      <c r="F33" s="49">
        <v>192.9</v>
      </c>
      <c r="G33" s="50" t="s">
        <v>1996</v>
      </c>
      <c r="H33" s="51">
        <v>2134</v>
      </c>
      <c r="I33" s="45">
        <v>3048</v>
      </c>
      <c r="J33" s="52">
        <v>26</v>
      </c>
      <c r="K33" s="53">
        <f t="shared" si="0"/>
        <v>169.11523199999999</v>
      </c>
      <c r="L33" s="54"/>
    </row>
    <row r="34" spans="1:12" s="55" customFormat="1" ht="19.5" customHeight="1" x14ac:dyDescent="0.3">
      <c r="A34" s="44"/>
      <c r="B34" s="45"/>
      <c r="C34" s="77">
        <v>28</v>
      </c>
      <c r="D34" s="47" t="s">
        <v>1994</v>
      </c>
      <c r="E34" s="48">
        <v>34</v>
      </c>
      <c r="F34" s="49">
        <v>60.46</v>
      </c>
      <c r="G34" s="50" t="s">
        <v>1996</v>
      </c>
      <c r="H34" s="51">
        <v>2438</v>
      </c>
      <c r="I34" s="45">
        <v>3353</v>
      </c>
      <c r="J34" s="52">
        <v>21</v>
      </c>
      <c r="K34" s="53">
        <f t="shared" si="0"/>
        <v>171.66689400000001</v>
      </c>
      <c r="L34" s="54" t="s">
        <v>1995</v>
      </c>
    </row>
    <row r="35" spans="1:12" s="55" customFormat="1" ht="19.5" customHeight="1" x14ac:dyDescent="0.3">
      <c r="A35" s="44"/>
      <c r="B35" s="76"/>
      <c r="C35" s="77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2011</v>
      </c>
      <c r="B36" s="76" t="s">
        <v>1997</v>
      </c>
      <c r="C36" s="77">
        <v>24</v>
      </c>
      <c r="D36" s="47" t="s">
        <v>1998</v>
      </c>
      <c r="E36" s="48">
        <v>1</v>
      </c>
      <c r="F36" s="49">
        <v>0.28000000000000003</v>
      </c>
      <c r="G36" s="50"/>
      <c r="H36" s="51"/>
      <c r="I36" s="45"/>
      <c r="J36" s="52"/>
      <c r="K36" s="53">
        <f t="shared" si="0"/>
        <v>0</v>
      </c>
      <c r="L36" s="54" t="s">
        <v>1999</v>
      </c>
    </row>
    <row r="37" spans="1:12" s="55" customFormat="1" ht="19.5" customHeight="1" x14ac:dyDescent="0.3">
      <c r="A37" s="44"/>
      <c r="B37" s="45"/>
      <c r="C37" s="77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2000</v>
      </c>
      <c r="B38" s="45" t="s">
        <v>2001</v>
      </c>
      <c r="C38" s="77">
        <v>28</v>
      </c>
      <c r="D38" s="47" t="s">
        <v>2002</v>
      </c>
      <c r="E38" s="48">
        <v>1</v>
      </c>
      <c r="F38" s="49">
        <v>0.72</v>
      </c>
      <c r="G38" s="50"/>
      <c r="H38" s="51"/>
      <c r="I38" s="45"/>
      <c r="J38" s="52"/>
      <c r="K38" s="53">
        <f t="shared" si="0"/>
        <v>0</v>
      </c>
      <c r="L38" s="54" t="s">
        <v>2003</v>
      </c>
    </row>
    <row r="39" spans="1:12" s="55" customFormat="1" ht="19.5" customHeight="1" x14ac:dyDescent="0.3">
      <c r="A39" s="44"/>
      <c r="B39" s="76"/>
      <c r="C39" s="77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2004</v>
      </c>
      <c r="B40" s="45" t="s">
        <v>2005</v>
      </c>
      <c r="C40" s="77">
        <v>28</v>
      </c>
      <c r="D40" s="47" t="s">
        <v>2006</v>
      </c>
      <c r="E40" s="48">
        <v>199</v>
      </c>
      <c r="F40" s="49">
        <v>246.42</v>
      </c>
      <c r="G40" s="50" t="s">
        <v>2007</v>
      </c>
      <c r="H40" s="51">
        <v>1981</v>
      </c>
      <c r="I40" s="45">
        <v>3353</v>
      </c>
      <c r="J40" s="52">
        <v>33</v>
      </c>
      <c r="K40" s="53">
        <f t="shared" si="0"/>
        <v>219.19566900000001</v>
      </c>
      <c r="L40" s="54" t="s">
        <v>1995</v>
      </c>
    </row>
    <row r="41" spans="1:12" s="55" customFormat="1" ht="19.5" customHeight="1" x14ac:dyDescent="0.3">
      <c r="A41" s="44"/>
      <c r="B41" s="45"/>
      <c r="C41" s="77"/>
      <c r="D41" s="47"/>
      <c r="E41" s="48"/>
      <c r="F41" s="49"/>
      <c r="G41" s="50" t="s">
        <v>2007</v>
      </c>
      <c r="H41" s="51">
        <v>1981</v>
      </c>
      <c r="I41" s="45">
        <v>3048</v>
      </c>
      <c r="J41" s="52">
        <v>8</v>
      </c>
      <c r="K41" s="53">
        <f t="shared" si="0"/>
        <v>48.304704000000008</v>
      </c>
      <c r="L41" s="54"/>
    </row>
    <row r="42" spans="1:12" s="55" customFormat="1" ht="19.5" customHeight="1" x14ac:dyDescent="0.3">
      <c r="A42" s="44"/>
      <c r="B42" s="45"/>
      <c r="C42" s="77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2008</v>
      </c>
      <c r="B43" s="45" t="s">
        <v>2005</v>
      </c>
      <c r="C43" s="77">
        <v>28</v>
      </c>
      <c r="D43" s="47" t="s">
        <v>2006</v>
      </c>
      <c r="E43" s="48">
        <v>198</v>
      </c>
      <c r="F43" s="49">
        <v>245.48</v>
      </c>
      <c r="G43" s="50" t="s">
        <v>2007</v>
      </c>
      <c r="H43" s="51">
        <v>1981</v>
      </c>
      <c r="I43" s="45">
        <v>3353</v>
      </c>
      <c r="J43" s="52">
        <v>21</v>
      </c>
      <c r="K43" s="53">
        <f t="shared" si="0"/>
        <v>139.48815300000001</v>
      </c>
      <c r="L43" s="54" t="s">
        <v>1995</v>
      </c>
    </row>
    <row r="44" spans="1:12" s="55" customFormat="1" ht="19.5" customHeight="1" x14ac:dyDescent="0.3">
      <c r="A44" s="44"/>
      <c r="B44" s="45"/>
      <c r="C44" s="77">
        <v>26</v>
      </c>
      <c r="D44" s="47" t="s">
        <v>2009</v>
      </c>
      <c r="E44" s="48">
        <v>1</v>
      </c>
      <c r="F44" s="49">
        <v>1.89</v>
      </c>
      <c r="G44" s="50" t="s">
        <v>2007</v>
      </c>
      <c r="H44" s="51">
        <v>1981</v>
      </c>
      <c r="I44" s="45">
        <v>3048</v>
      </c>
      <c r="J44" s="52">
        <v>26</v>
      </c>
      <c r="K44" s="53">
        <f t="shared" si="0"/>
        <v>156.99028800000002</v>
      </c>
      <c r="L44" s="54" t="s">
        <v>1995</v>
      </c>
    </row>
    <row r="45" spans="1:12" s="55" customFormat="1" ht="19.5" customHeight="1" x14ac:dyDescent="0.3">
      <c r="A45" s="44"/>
      <c r="B45" s="76"/>
      <c r="C45" s="77">
        <v>28</v>
      </c>
      <c r="D45" s="47" t="s">
        <v>2006</v>
      </c>
      <c r="E45" s="48">
        <v>48</v>
      </c>
      <c r="F45" s="49">
        <v>24.48</v>
      </c>
      <c r="G45" s="50" t="s">
        <v>2010</v>
      </c>
      <c r="H45" s="51">
        <v>2134</v>
      </c>
      <c r="I45" s="45">
        <v>3048</v>
      </c>
      <c r="J45" s="52">
        <v>1</v>
      </c>
      <c r="K45" s="53">
        <f t="shared" si="0"/>
        <v>6.5044319999999995</v>
      </c>
      <c r="L45" s="54" t="s">
        <v>1995</v>
      </c>
    </row>
    <row r="46" spans="1:12" s="55" customFormat="1" ht="19.5" customHeight="1" x14ac:dyDescent="0.3">
      <c r="A46" s="44"/>
      <c r="B46" s="76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76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76"/>
      <c r="C50" s="77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9" customFormat="1" ht="20.100000000000001" customHeight="1" x14ac:dyDescent="0.3">
      <c r="A56" s="44"/>
      <c r="B56" s="45"/>
      <c r="C56" s="46"/>
      <c r="D56" s="47"/>
      <c r="E56" s="56"/>
      <c r="F56" s="57"/>
      <c r="G56" s="50"/>
      <c r="H56" s="51"/>
      <c r="I56" s="45"/>
      <c r="J56" s="52"/>
      <c r="K56" s="53">
        <f t="shared" si="0"/>
        <v>0</v>
      </c>
      <c r="L56" s="58">
        <f>SUM(J32:J57)</f>
        <v>136</v>
      </c>
    </row>
    <row r="57" spans="1:12" s="59" customFormat="1" ht="20.100000000000001" customHeight="1" x14ac:dyDescent="0.3">
      <c r="A57" s="44"/>
      <c r="B57" s="45"/>
      <c r="C57" s="46"/>
      <c r="D57" s="47"/>
      <c r="E57" s="60"/>
      <c r="F57" s="61"/>
      <c r="G57" s="62"/>
      <c r="H57" s="51"/>
      <c r="I57" s="45"/>
      <c r="J57" s="63"/>
      <c r="K57" s="53">
        <f t="shared" si="0"/>
        <v>0</v>
      </c>
      <c r="L57" s="64">
        <f>SUM(K32:K57)</f>
        <v>911.26537200000007</v>
      </c>
    </row>
    <row r="58" spans="1:12" s="59" customFormat="1" ht="20.100000000000001" customHeight="1" thickBot="1" x14ac:dyDescent="0.35">
      <c r="A58" s="114"/>
      <c r="B58" s="115"/>
      <c r="C58" s="115"/>
      <c r="D58" s="115"/>
      <c r="E58" s="115"/>
      <c r="F58" s="115"/>
      <c r="G58" s="115"/>
      <c r="H58" s="115"/>
      <c r="I58" s="115"/>
      <c r="J58" s="65">
        <f>SUM(J7:J57)</f>
        <v>263</v>
      </c>
      <c r="K58" s="66">
        <f>SUM(K7:K57)</f>
        <v>1749.7601409999997</v>
      </c>
      <c r="L58" s="67"/>
    </row>
    <row r="59" spans="1:12" s="59" customFormat="1" ht="20.100000000000001" customHeight="1" thickTop="1" thickBot="1" x14ac:dyDescent="0.35">
      <c r="A59" s="116" t="s">
        <v>52</v>
      </c>
      <c r="B59" s="117"/>
      <c r="C59" s="68"/>
      <c r="D59" s="118">
        <f>J58</f>
        <v>263</v>
      </c>
      <c r="E59" s="119"/>
      <c r="F59" s="119"/>
      <c r="G59" s="120"/>
      <c r="H59" s="121"/>
      <c r="I59" s="121"/>
      <c r="J59" s="122"/>
      <c r="K59" s="119"/>
      <c r="L59" s="123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71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72"/>
      <c r="F65" s="5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5"/>
      <c r="G66" s="73"/>
      <c r="H66" s="5"/>
      <c r="I66" s="74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72"/>
      <c r="I70" s="72"/>
      <c r="J70" s="5"/>
      <c r="K70" s="5"/>
      <c r="L70" s="5"/>
    </row>
    <row r="71" spans="1:12" ht="20.100000000000001" customHeight="1" x14ac:dyDescent="0.3">
      <c r="A71" s="113"/>
      <c r="B71" s="113"/>
      <c r="H71" s="72"/>
      <c r="I71" s="72"/>
    </row>
    <row r="72" spans="1:12" ht="20.100000000000001" customHeight="1" x14ac:dyDescent="0.3"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A74" s="113"/>
      <c r="B74" s="113"/>
      <c r="H74" s="72"/>
      <c r="I74" s="72"/>
    </row>
    <row r="75" spans="1:12" ht="20.100000000000001" customHeight="1" x14ac:dyDescent="0.3">
      <c r="A75" s="113"/>
      <c r="B75" s="113"/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H78" s="72"/>
      <c r="I78" s="72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J79" s="5"/>
      <c r="K79" s="5"/>
      <c r="L79" s="5"/>
    </row>
    <row r="80" spans="1:12" s="72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5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5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19.5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ht="19.5" customHeight="1" x14ac:dyDescent="0.3"/>
    <row r="87" spans="1:12" ht="19.5" customHeight="1" x14ac:dyDescent="0.3"/>
    <row r="88" spans="1:12" ht="19.5" customHeight="1" x14ac:dyDescent="0.3"/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>
        <v>2</v>
      </c>
      <c r="C149" s="5"/>
      <c r="D149" s="5"/>
      <c r="E149" s="5"/>
      <c r="F149" s="70"/>
      <c r="G149" s="5"/>
      <c r="H149" s="5"/>
      <c r="I149" s="5"/>
      <c r="J149" s="5"/>
      <c r="K149" s="5"/>
      <c r="L149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4:B6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8:I58"/>
    <mergeCell ref="A59:B59"/>
    <mergeCell ref="D59:G59"/>
    <mergeCell ref="H59:J59"/>
    <mergeCell ref="K59:L59"/>
    <mergeCell ref="A74:B74"/>
    <mergeCell ref="A75:B75"/>
    <mergeCell ref="A65:B65"/>
    <mergeCell ref="A66:B66"/>
    <mergeCell ref="A67:B67"/>
    <mergeCell ref="A69:B69"/>
    <mergeCell ref="A70:B70"/>
    <mergeCell ref="A71:B71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L149"/>
  <sheetViews>
    <sheetView view="pageBreakPreview" topLeftCell="F46" zoomScale="85" zoomScaleSheetLayoutView="85" workbookViewId="0">
      <selection activeCell="L56" sqref="L56:L5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46090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7" si="0">(H7/1000*I7/1000)*J7</f>
        <v>0</v>
      </c>
      <c r="L7" s="26">
        <f>SUM(J7:J31)</f>
        <v>153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SUM(K7:K31)</f>
        <v>1037.1413700000003</v>
      </c>
    </row>
    <row r="9" spans="1:12" s="27" customFormat="1" ht="19.5" customHeight="1" x14ac:dyDescent="0.3">
      <c r="A9" s="28" t="s">
        <v>1931</v>
      </c>
      <c r="B9" s="16" t="s">
        <v>1932</v>
      </c>
      <c r="C9" s="17">
        <v>22</v>
      </c>
      <c r="D9" s="18" t="s">
        <v>1933</v>
      </c>
      <c r="E9" s="41">
        <v>2</v>
      </c>
      <c r="F9" s="42">
        <v>4.08</v>
      </c>
      <c r="G9" s="34" t="s">
        <v>1938</v>
      </c>
      <c r="H9" s="35">
        <v>2590</v>
      </c>
      <c r="I9" s="36">
        <v>3048</v>
      </c>
      <c r="J9" s="37">
        <v>2</v>
      </c>
      <c r="K9" s="38">
        <f t="shared" si="0"/>
        <v>15.788639999999999</v>
      </c>
      <c r="L9" s="39" t="s">
        <v>1940</v>
      </c>
    </row>
    <row r="10" spans="1:12" s="27" customFormat="1" ht="19.5" customHeight="1" x14ac:dyDescent="0.3">
      <c r="A10" s="28"/>
      <c r="B10" s="16"/>
      <c r="C10" s="17">
        <v>22</v>
      </c>
      <c r="D10" s="18" t="s">
        <v>1934</v>
      </c>
      <c r="E10" s="41">
        <v>1</v>
      </c>
      <c r="F10" s="42">
        <v>1.22</v>
      </c>
      <c r="G10" s="34" t="s">
        <v>1939</v>
      </c>
      <c r="H10" s="35">
        <v>1829</v>
      </c>
      <c r="I10" s="36">
        <v>3048</v>
      </c>
      <c r="J10" s="37">
        <v>1</v>
      </c>
      <c r="K10" s="38">
        <f t="shared" si="0"/>
        <v>5.5747919999999995</v>
      </c>
      <c r="L10" s="39" t="s">
        <v>1941</v>
      </c>
    </row>
    <row r="11" spans="1:12" s="27" customFormat="1" ht="19.5" customHeight="1" x14ac:dyDescent="0.3">
      <c r="A11" s="28" t="s">
        <v>1935</v>
      </c>
      <c r="B11" s="16" t="s">
        <v>1936</v>
      </c>
      <c r="C11" s="17">
        <v>22</v>
      </c>
      <c r="D11" s="18" t="s">
        <v>1937</v>
      </c>
      <c r="E11" s="41">
        <v>2</v>
      </c>
      <c r="F11" s="42">
        <v>2.2200000000000002</v>
      </c>
      <c r="G11" s="34"/>
      <c r="H11" s="35"/>
      <c r="I11" s="36"/>
      <c r="J11" s="37"/>
      <c r="K11" s="38">
        <f t="shared" si="0"/>
        <v>0</v>
      </c>
      <c r="L11" s="39" t="s">
        <v>1940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1942</v>
      </c>
      <c r="B13" s="16" t="s">
        <v>1943</v>
      </c>
      <c r="C13" s="17">
        <v>22</v>
      </c>
      <c r="D13" s="18" t="s">
        <v>1937</v>
      </c>
      <c r="E13" s="41">
        <v>2</v>
      </c>
      <c r="F13" s="42">
        <v>2.4900000000000002</v>
      </c>
      <c r="G13" s="34" t="s">
        <v>1938</v>
      </c>
      <c r="H13" s="35">
        <v>1981</v>
      </c>
      <c r="I13" s="36">
        <v>3353</v>
      </c>
      <c r="J13" s="37">
        <v>3</v>
      </c>
      <c r="K13" s="38">
        <f t="shared" si="0"/>
        <v>19.926879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1937</v>
      </c>
      <c r="E14" s="41">
        <v>10</v>
      </c>
      <c r="F14" s="42">
        <v>16.36</v>
      </c>
      <c r="G14" s="34" t="s">
        <v>1938</v>
      </c>
      <c r="H14" s="35">
        <v>2134</v>
      </c>
      <c r="I14" s="36">
        <v>3353</v>
      </c>
      <c r="J14" s="37">
        <v>1</v>
      </c>
      <c r="K14" s="38">
        <f t="shared" si="0"/>
        <v>7.1553019999999998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1933</v>
      </c>
      <c r="E15" s="41">
        <v>1</v>
      </c>
      <c r="F15" s="42">
        <v>1.3</v>
      </c>
      <c r="G15" s="34" t="s">
        <v>1939</v>
      </c>
      <c r="H15" s="35">
        <v>1981</v>
      </c>
      <c r="I15" s="36">
        <v>3353</v>
      </c>
      <c r="J15" s="37">
        <v>3</v>
      </c>
      <c r="K15" s="38">
        <f t="shared" si="0"/>
        <v>19.926879</v>
      </c>
      <c r="L15" s="39"/>
    </row>
    <row r="16" spans="1:12" s="27" customFormat="1" ht="19.5" customHeight="1" x14ac:dyDescent="0.3">
      <c r="A16" s="28"/>
      <c r="B16" s="16"/>
      <c r="C16" s="17">
        <v>16</v>
      </c>
      <c r="D16" s="18" t="s">
        <v>1933</v>
      </c>
      <c r="E16" s="81">
        <v>1</v>
      </c>
      <c r="F16" s="82">
        <v>1.3</v>
      </c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/>
      <c r="B17" s="16"/>
      <c r="C17" s="17">
        <v>24</v>
      </c>
      <c r="D17" s="18" t="s">
        <v>1944</v>
      </c>
      <c r="E17" s="41">
        <v>1</v>
      </c>
      <c r="F17" s="42">
        <v>0.44</v>
      </c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 t="s">
        <v>1945</v>
      </c>
      <c r="B19" s="16" t="s">
        <v>1946</v>
      </c>
      <c r="C19" s="17">
        <v>22</v>
      </c>
      <c r="D19" s="18" t="s">
        <v>1937</v>
      </c>
      <c r="E19" s="41">
        <v>220</v>
      </c>
      <c r="F19" s="42">
        <v>316.2</v>
      </c>
      <c r="G19" s="34" t="s">
        <v>1938</v>
      </c>
      <c r="H19" s="35">
        <v>1981</v>
      </c>
      <c r="I19" s="36">
        <v>3353</v>
      </c>
      <c r="J19" s="37">
        <v>52</v>
      </c>
      <c r="K19" s="38">
        <f t="shared" si="0"/>
        <v>345.39923600000003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 t="s">
        <v>1947</v>
      </c>
      <c r="H20" s="35">
        <v>1981</v>
      </c>
      <c r="I20" s="36">
        <v>3353</v>
      </c>
      <c r="J20" s="37">
        <v>52</v>
      </c>
      <c r="K20" s="38">
        <f t="shared" si="0"/>
        <v>345.39923600000003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 t="s">
        <v>1948</v>
      </c>
      <c r="B22" s="16" t="s">
        <v>1949</v>
      </c>
      <c r="C22" s="17">
        <v>5</v>
      </c>
      <c r="D22" s="18" t="s">
        <v>1950</v>
      </c>
      <c r="E22" s="41">
        <v>156</v>
      </c>
      <c r="F22" s="42">
        <v>137.72999999999999</v>
      </c>
      <c r="G22" s="34" t="s">
        <v>1938</v>
      </c>
      <c r="H22" s="35">
        <v>2438</v>
      </c>
      <c r="I22" s="36">
        <v>3353</v>
      </c>
      <c r="J22" s="37">
        <v>19</v>
      </c>
      <c r="K22" s="38">
        <f t="shared" si="0"/>
        <v>155.317666</v>
      </c>
      <c r="L22" s="39" t="s">
        <v>1951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 t="s">
        <v>1952</v>
      </c>
      <c r="B24" s="16" t="s">
        <v>306</v>
      </c>
      <c r="C24" s="17">
        <v>22</v>
      </c>
      <c r="D24" s="18" t="s">
        <v>307</v>
      </c>
      <c r="E24" s="41">
        <v>150</v>
      </c>
      <c r="F24" s="42">
        <v>118.4</v>
      </c>
      <c r="G24" s="34" t="s">
        <v>1953</v>
      </c>
      <c r="H24" s="35">
        <v>1829</v>
      </c>
      <c r="I24" s="36">
        <v>3353</v>
      </c>
      <c r="J24" s="37">
        <v>20</v>
      </c>
      <c r="K24" s="38">
        <f t="shared" si="0"/>
        <v>122.65273999999999</v>
      </c>
      <c r="L24" s="39" t="s">
        <v>1954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29"/>
      <c r="C31" s="30"/>
      <c r="D31" s="31"/>
      <c r="E31" s="41"/>
      <c r="F31" s="42"/>
      <c r="G31" s="43"/>
      <c r="H31" s="35"/>
      <c r="I31" s="36"/>
      <c r="J31" s="37"/>
      <c r="K31" s="38">
        <f t="shared" si="0"/>
        <v>0</v>
      </c>
      <c r="L31" s="39"/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1955</v>
      </c>
      <c r="B33" s="76" t="s">
        <v>1956</v>
      </c>
      <c r="C33" s="77">
        <v>28</v>
      </c>
      <c r="D33" s="47" t="s">
        <v>1957</v>
      </c>
      <c r="E33" s="48">
        <v>10</v>
      </c>
      <c r="F33" s="49">
        <v>20.9</v>
      </c>
      <c r="G33" s="50" t="s">
        <v>1959</v>
      </c>
      <c r="H33" s="51">
        <v>2440</v>
      </c>
      <c r="I33" s="45">
        <v>3050</v>
      </c>
      <c r="J33" s="52">
        <v>3</v>
      </c>
      <c r="K33" s="53">
        <f t="shared" si="0"/>
        <v>22.326000000000001</v>
      </c>
      <c r="L33" s="54"/>
    </row>
    <row r="34" spans="1:12" s="55" customFormat="1" ht="19.5" customHeight="1" x14ac:dyDescent="0.3">
      <c r="A34" s="44"/>
      <c r="B34" s="45"/>
      <c r="C34" s="77">
        <v>28</v>
      </c>
      <c r="D34" s="47" t="s">
        <v>1958</v>
      </c>
      <c r="E34" s="48">
        <v>1</v>
      </c>
      <c r="F34" s="49">
        <v>2.15</v>
      </c>
      <c r="G34" s="50" t="s">
        <v>1960</v>
      </c>
      <c r="H34" s="51">
        <v>2440</v>
      </c>
      <c r="I34" s="45">
        <v>3050</v>
      </c>
      <c r="J34" s="52">
        <v>4</v>
      </c>
      <c r="K34" s="53">
        <f t="shared" si="0"/>
        <v>29.768000000000001</v>
      </c>
      <c r="L34" s="54"/>
    </row>
    <row r="35" spans="1:12" s="55" customFormat="1" ht="19.5" customHeight="1" x14ac:dyDescent="0.3">
      <c r="A35" s="44"/>
      <c r="B35" s="76"/>
      <c r="C35" s="77"/>
      <c r="D35" s="47"/>
      <c r="E35" s="48"/>
      <c r="F35" s="49"/>
      <c r="G35" s="50" t="s">
        <v>1961</v>
      </c>
      <c r="H35" s="51">
        <v>2134</v>
      </c>
      <c r="I35" s="45">
        <v>3353</v>
      </c>
      <c r="J35" s="52">
        <v>1</v>
      </c>
      <c r="K35" s="53">
        <f t="shared" si="0"/>
        <v>7.1553019999999998</v>
      </c>
      <c r="L35" s="54"/>
    </row>
    <row r="36" spans="1:12" s="55" customFormat="1" ht="19.5" customHeight="1" x14ac:dyDescent="0.3">
      <c r="A36" s="44"/>
      <c r="B36" s="76"/>
      <c r="C36" s="77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1962</v>
      </c>
      <c r="B37" s="45" t="s">
        <v>1963</v>
      </c>
      <c r="C37" s="77">
        <v>24</v>
      </c>
      <c r="D37" s="47" t="s">
        <v>1964</v>
      </c>
      <c r="E37" s="48">
        <v>223</v>
      </c>
      <c r="F37" s="49">
        <v>202.9</v>
      </c>
      <c r="G37" s="50" t="s">
        <v>1965</v>
      </c>
      <c r="H37" s="51">
        <v>1981</v>
      </c>
      <c r="I37" s="45">
        <v>3353</v>
      </c>
      <c r="J37" s="52">
        <v>39</v>
      </c>
      <c r="K37" s="53">
        <f t="shared" si="0"/>
        <v>259.04942700000004</v>
      </c>
      <c r="L37" s="54"/>
    </row>
    <row r="38" spans="1:12" s="55" customFormat="1" ht="19.5" customHeight="1" x14ac:dyDescent="0.3">
      <c r="A38" s="44"/>
      <c r="B38" s="45"/>
      <c r="C38" s="77">
        <v>24</v>
      </c>
      <c r="D38" s="47" t="s">
        <v>1937</v>
      </c>
      <c r="E38" s="48">
        <v>252</v>
      </c>
      <c r="F38" s="49">
        <v>293.95999999999998</v>
      </c>
      <c r="G38" s="50" t="s">
        <v>1938</v>
      </c>
      <c r="H38" s="51">
        <v>1981</v>
      </c>
      <c r="I38" s="45">
        <v>3353</v>
      </c>
      <c r="J38" s="52">
        <v>48</v>
      </c>
      <c r="K38" s="53">
        <f t="shared" si="0"/>
        <v>318.83006399999999</v>
      </c>
      <c r="L38" s="54"/>
    </row>
    <row r="39" spans="1:12" s="55" customFormat="1" ht="19.5" customHeight="1" x14ac:dyDescent="0.3">
      <c r="A39" s="44"/>
      <c r="B39" s="76"/>
      <c r="C39" s="77">
        <v>22</v>
      </c>
      <c r="D39" s="47" t="s">
        <v>1964</v>
      </c>
      <c r="E39" s="48">
        <v>38</v>
      </c>
      <c r="F39" s="49">
        <v>44.46</v>
      </c>
      <c r="G39" s="50" t="s">
        <v>1947</v>
      </c>
      <c r="H39" s="51">
        <v>1981</v>
      </c>
      <c r="I39" s="45">
        <v>3353</v>
      </c>
      <c r="J39" s="52">
        <v>87</v>
      </c>
      <c r="K39" s="53">
        <f t="shared" si="0"/>
        <v>577.87949100000003</v>
      </c>
      <c r="L39" s="54"/>
    </row>
    <row r="40" spans="1:12" s="55" customFormat="1" ht="19.5" customHeight="1" x14ac:dyDescent="0.3">
      <c r="A40" s="44"/>
      <c r="B40" s="45"/>
      <c r="C40" s="77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1966</v>
      </c>
      <c r="B41" s="45" t="s">
        <v>1967</v>
      </c>
      <c r="C41" s="77">
        <v>43</v>
      </c>
      <c r="D41" s="47" t="s">
        <v>1968</v>
      </c>
      <c r="E41" s="48">
        <v>1</v>
      </c>
      <c r="F41" s="49">
        <v>1.45</v>
      </c>
      <c r="G41" s="50" t="s">
        <v>1969</v>
      </c>
      <c r="H41" s="51">
        <v>1981</v>
      </c>
      <c r="I41" s="45">
        <v>3353</v>
      </c>
      <c r="J41" s="52">
        <v>1</v>
      </c>
      <c r="K41" s="53">
        <f t="shared" si="0"/>
        <v>6.6422930000000004</v>
      </c>
      <c r="L41" s="54" t="s">
        <v>1970</v>
      </c>
    </row>
    <row r="42" spans="1:12" s="55" customFormat="1" ht="19.5" customHeight="1" x14ac:dyDescent="0.3">
      <c r="A42" s="44"/>
      <c r="B42" s="45"/>
      <c r="C42" s="77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/>
      <c r="B43" s="76"/>
      <c r="C43" s="77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/>
      <c r="B44" s="45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/>
      <c r="B45" s="76"/>
      <c r="C45" s="77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76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76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76"/>
      <c r="C50" s="77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9" customFormat="1" ht="20.100000000000001" customHeight="1" x14ac:dyDescent="0.3">
      <c r="A56" s="44"/>
      <c r="B56" s="45"/>
      <c r="C56" s="46"/>
      <c r="D56" s="47"/>
      <c r="E56" s="56"/>
      <c r="F56" s="57"/>
      <c r="G56" s="50"/>
      <c r="H56" s="51"/>
      <c r="I56" s="45"/>
      <c r="J56" s="52"/>
      <c r="K56" s="53">
        <f t="shared" si="0"/>
        <v>0</v>
      </c>
      <c r="L56" s="58">
        <f>SUM(J32:J57)</f>
        <v>183</v>
      </c>
    </row>
    <row r="57" spans="1:12" s="59" customFormat="1" ht="20.100000000000001" customHeight="1" x14ac:dyDescent="0.3">
      <c r="A57" s="44"/>
      <c r="B57" s="45"/>
      <c r="C57" s="46"/>
      <c r="D57" s="47"/>
      <c r="E57" s="60"/>
      <c r="F57" s="61"/>
      <c r="G57" s="62"/>
      <c r="H57" s="51"/>
      <c r="I57" s="45"/>
      <c r="J57" s="63"/>
      <c r="K57" s="53">
        <f t="shared" si="0"/>
        <v>0</v>
      </c>
      <c r="L57" s="64">
        <f>SUM(K32:K57)</f>
        <v>1221.6505770000001</v>
      </c>
    </row>
    <row r="58" spans="1:12" s="59" customFormat="1" ht="20.100000000000001" customHeight="1" thickBot="1" x14ac:dyDescent="0.35">
      <c r="A58" s="114"/>
      <c r="B58" s="115"/>
      <c r="C58" s="115"/>
      <c r="D58" s="115"/>
      <c r="E58" s="115"/>
      <c r="F58" s="115"/>
      <c r="G58" s="115"/>
      <c r="H58" s="115"/>
      <c r="I58" s="115"/>
      <c r="J58" s="65">
        <f>SUM(J7:J57)</f>
        <v>336</v>
      </c>
      <c r="K58" s="66">
        <f>SUM(K7:K57)</f>
        <v>2258.7919470000002</v>
      </c>
      <c r="L58" s="67"/>
    </row>
    <row r="59" spans="1:12" s="59" customFormat="1" ht="20.100000000000001" customHeight="1" thickTop="1" thickBot="1" x14ac:dyDescent="0.35">
      <c r="A59" s="116" t="s">
        <v>52</v>
      </c>
      <c r="B59" s="117"/>
      <c r="C59" s="68"/>
      <c r="D59" s="118">
        <f>J58</f>
        <v>336</v>
      </c>
      <c r="E59" s="119"/>
      <c r="F59" s="119"/>
      <c r="G59" s="120"/>
      <c r="H59" s="121"/>
      <c r="I59" s="121"/>
      <c r="J59" s="122"/>
      <c r="K59" s="119"/>
      <c r="L59" s="123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71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72"/>
      <c r="F65" s="5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5"/>
      <c r="G66" s="73"/>
      <c r="H66" s="5"/>
      <c r="I66" s="74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72"/>
      <c r="I70" s="72"/>
      <c r="J70" s="5"/>
      <c r="K70" s="5"/>
      <c r="L70" s="5"/>
    </row>
    <row r="71" spans="1:12" ht="20.100000000000001" customHeight="1" x14ac:dyDescent="0.3">
      <c r="A71" s="113"/>
      <c r="B71" s="113"/>
      <c r="H71" s="72"/>
      <c r="I71" s="72"/>
    </row>
    <row r="72" spans="1:12" ht="20.100000000000001" customHeight="1" x14ac:dyDescent="0.3"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A74" s="113"/>
      <c r="B74" s="113"/>
      <c r="H74" s="72"/>
      <c r="I74" s="72"/>
    </row>
    <row r="75" spans="1:12" ht="20.100000000000001" customHeight="1" x14ac:dyDescent="0.3">
      <c r="A75" s="113"/>
      <c r="B75" s="113"/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H78" s="72"/>
      <c r="I78" s="72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J79" s="5"/>
      <c r="K79" s="5"/>
      <c r="L79" s="5"/>
    </row>
    <row r="80" spans="1:12" s="72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5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5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19.5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ht="19.5" customHeight="1" x14ac:dyDescent="0.3"/>
    <row r="87" spans="1:12" ht="19.5" customHeight="1" x14ac:dyDescent="0.3"/>
    <row r="88" spans="1:12" ht="19.5" customHeight="1" x14ac:dyDescent="0.3"/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>
        <v>2</v>
      </c>
      <c r="C149" s="5"/>
      <c r="D149" s="5"/>
      <c r="E149" s="5"/>
      <c r="F149" s="70"/>
      <c r="G149" s="5"/>
      <c r="H149" s="5"/>
      <c r="I149" s="5"/>
      <c r="J149" s="5"/>
      <c r="K149" s="5"/>
      <c r="L149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4:B6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8:I58"/>
    <mergeCell ref="A59:B59"/>
    <mergeCell ref="D59:G59"/>
    <mergeCell ref="H59:J59"/>
    <mergeCell ref="K59:L59"/>
    <mergeCell ref="A74:B74"/>
    <mergeCell ref="A75:B75"/>
    <mergeCell ref="A65:B65"/>
    <mergeCell ref="A66:B66"/>
    <mergeCell ref="A67:B67"/>
    <mergeCell ref="A69:B69"/>
    <mergeCell ref="A70:B70"/>
    <mergeCell ref="A71:B71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L155"/>
  <sheetViews>
    <sheetView view="pageBreakPreview" topLeftCell="E45" zoomScale="85" zoomScaleSheetLayoutView="85" workbookViewId="0">
      <selection activeCell="L62" sqref="L62:L6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46087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3" si="0">(H7/1000*I7/1000)*J7</f>
        <v>0</v>
      </c>
      <c r="L7" s="26">
        <f>SUM(J7:J37)</f>
        <v>105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SUM(K7:K37)</f>
        <v>749.01143400000001</v>
      </c>
    </row>
    <row r="9" spans="1:12" s="27" customFormat="1" ht="19.5" customHeight="1" x14ac:dyDescent="0.3">
      <c r="A9" s="28" t="s">
        <v>1878</v>
      </c>
      <c r="B9" s="16" t="s">
        <v>1879</v>
      </c>
      <c r="C9" s="17">
        <v>28</v>
      </c>
      <c r="D9" s="18" t="s">
        <v>1880</v>
      </c>
      <c r="E9" s="41">
        <v>8</v>
      </c>
      <c r="F9" s="42">
        <v>15.84</v>
      </c>
      <c r="G9" s="34" t="s">
        <v>1881</v>
      </c>
      <c r="H9" s="35">
        <v>2438</v>
      </c>
      <c r="I9" s="36">
        <v>3048</v>
      </c>
      <c r="J9" s="37">
        <v>3</v>
      </c>
      <c r="K9" s="38">
        <f t="shared" si="0"/>
        <v>22.293072000000002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1882</v>
      </c>
      <c r="H10" s="35">
        <v>2438</v>
      </c>
      <c r="I10" s="36">
        <v>3353</v>
      </c>
      <c r="J10" s="37">
        <v>3</v>
      </c>
      <c r="K10" s="38">
        <f t="shared" si="0"/>
        <v>24.523842000000002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1883</v>
      </c>
      <c r="B12" s="16" t="s">
        <v>1879</v>
      </c>
      <c r="C12" s="17">
        <v>24</v>
      </c>
      <c r="D12" s="18" t="s">
        <v>1884</v>
      </c>
      <c r="E12" s="41">
        <v>1</v>
      </c>
      <c r="F12" s="42">
        <v>0.6</v>
      </c>
      <c r="G12" s="34"/>
      <c r="H12" s="35"/>
      <c r="I12" s="36"/>
      <c r="J12" s="37"/>
      <c r="K12" s="38">
        <f t="shared" si="0"/>
        <v>0</v>
      </c>
      <c r="L12" s="39" t="s">
        <v>1885</v>
      </c>
    </row>
    <row r="13" spans="1:12" s="27" customFormat="1" ht="19.5" customHeight="1" x14ac:dyDescent="0.3">
      <c r="A13" s="28"/>
      <c r="B13" s="16"/>
      <c r="C13" s="17">
        <v>28</v>
      </c>
      <c r="D13" s="18" t="s">
        <v>1880</v>
      </c>
      <c r="E13" s="41">
        <v>1</v>
      </c>
      <c r="F13" s="42">
        <v>0.54</v>
      </c>
      <c r="G13" s="34"/>
      <c r="H13" s="35"/>
      <c r="I13" s="36"/>
      <c r="J13" s="37"/>
      <c r="K13" s="38">
        <f t="shared" si="0"/>
        <v>0</v>
      </c>
      <c r="L13" s="39" t="s">
        <v>1885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1886</v>
      </c>
      <c r="B15" s="16" t="s">
        <v>1887</v>
      </c>
      <c r="C15" s="17">
        <v>24</v>
      </c>
      <c r="D15" s="18" t="s">
        <v>1888</v>
      </c>
      <c r="E15" s="41">
        <v>1</v>
      </c>
      <c r="F15" s="42">
        <v>0.57999999999999996</v>
      </c>
      <c r="G15" s="34"/>
      <c r="H15" s="35"/>
      <c r="I15" s="36"/>
      <c r="J15" s="37"/>
      <c r="K15" s="38">
        <f t="shared" si="0"/>
        <v>0</v>
      </c>
      <c r="L15" s="39" t="s">
        <v>1885</v>
      </c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1889</v>
      </c>
      <c r="B17" s="16" t="s">
        <v>1890</v>
      </c>
      <c r="C17" s="17">
        <v>28</v>
      </c>
      <c r="D17" s="18" t="s">
        <v>1891</v>
      </c>
      <c r="E17" s="41">
        <v>4</v>
      </c>
      <c r="F17" s="42">
        <v>10.14</v>
      </c>
      <c r="G17" s="34" t="s">
        <v>1892</v>
      </c>
      <c r="H17" s="35">
        <v>1981</v>
      </c>
      <c r="I17" s="36">
        <v>3353</v>
      </c>
      <c r="J17" s="37">
        <v>2</v>
      </c>
      <c r="K17" s="38">
        <f t="shared" si="0"/>
        <v>13.284586000000001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1882</v>
      </c>
      <c r="H18" s="35">
        <v>2134</v>
      </c>
      <c r="I18" s="36">
        <v>3353</v>
      </c>
      <c r="J18" s="37">
        <v>3</v>
      </c>
      <c r="K18" s="38">
        <f t="shared" si="0"/>
        <v>21.465906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1893</v>
      </c>
      <c r="B20" s="16" t="s">
        <v>1890</v>
      </c>
      <c r="C20" s="17">
        <v>28</v>
      </c>
      <c r="D20" s="18" t="s">
        <v>1891</v>
      </c>
      <c r="E20" s="41">
        <v>8</v>
      </c>
      <c r="F20" s="42">
        <v>10.68</v>
      </c>
      <c r="G20" s="34" t="s">
        <v>1892</v>
      </c>
      <c r="H20" s="35">
        <v>1981</v>
      </c>
      <c r="I20" s="36">
        <v>3353</v>
      </c>
      <c r="J20" s="37">
        <v>4</v>
      </c>
      <c r="K20" s="38">
        <f t="shared" si="0"/>
        <v>26.569172000000002</v>
      </c>
      <c r="L20" s="39" t="s">
        <v>1895</v>
      </c>
    </row>
    <row r="21" spans="1:12" s="27" customFormat="1" ht="19.5" customHeight="1" x14ac:dyDescent="0.3">
      <c r="A21" s="28"/>
      <c r="B21" s="16"/>
      <c r="C21" s="17">
        <v>28</v>
      </c>
      <c r="D21" s="18" t="s">
        <v>1894</v>
      </c>
      <c r="E21" s="41">
        <v>8</v>
      </c>
      <c r="F21" s="42">
        <v>11.54</v>
      </c>
      <c r="G21" s="34"/>
      <c r="H21" s="35"/>
      <c r="I21" s="36"/>
      <c r="J21" s="37"/>
      <c r="K21" s="38">
        <f t="shared" si="0"/>
        <v>0</v>
      </c>
      <c r="L21" s="39" t="s">
        <v>1895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1896</v>
      </c>
      <c r="B23" s="16" t="s">
        <v>1897</v>
      </c>
      <c r="C23" s="17">
        <v>5</v>
      </c>
      <c r="D23" s="18" t="s">
        <v>1898</v>
      </c>
      <c r="E23" s="41">
        <v>32</v>
      </c>
      <c r="F23" s="42">
        <v>14.4</v>
      </c>
      <c r="G23" s="34" t="s">
        <v>1899</v>
      </c>
      <c r="H23" s="35">
        <v>2438</v>
      </c>
      <c r="I23" s="36">
        <v>3353</v>
      </c>
      <c r="J23" s="37">
        <v>2</v>
      </c>
      <c r="K23" s="38">
        <f t="shared" si="0"/>
        <v>16.349228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1900</v>
      </c>
      <c r="B25" s="16" t="s">
        <v>1901</v>
      </c>
      <c r="C25" s="17">
        <v>8</v>
      </c>
      <c r="D25" s="18" t="s">
        <v>1902</v>
      </c>
      <c r="E25" s="41">
        <v>7</v>
      </c>
      <c r="F25" s="42">
        <v>8.0500000000000007</v>
      </c>
      <c r="G25" s="34" t="s">
        <v>1903</v>
      </c>
      <c r="H25" s="35">
        <v>2438</v>
      </c>
      <c r="I25" s="36">
        <v>3048</v>
      </c>
      <c r="J25" s="37">
        <v>1</v>
      </c>
      <c r="K25" s="38">
        <f t="shared" si="0"/>
        <v>7.4310240000000007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 t="s">
        <v>1904</v>
      </c>
      <c r="B27" s="16" t="s">
        <v>1905</v>
      </c>
      <c r="C27" s="17">
        <v>5</v>
      </c>
      <c r="D27" s="18" t="s">
        <v>1898</v>
      </c>
      <c r="E27" s="41">
        <v>80</v>
      </c>
      <c r="F27" s="42">
        <v>81.08</v>
      </c>
      <c r="G27" s="34" t="s">
        <v>1899</v>
      </c>
      <c r="H27" s="35">
        <v>2438</v>
      </c>
      <c r="I27" s="36">
        <v>3353</v>
      </c>
      <c r="J27" s="37">
        <v>11</v>
      </c>
      <c r="K27" s="38">
        <f t="shared" ref="K27:K32" si="1">(H27/1000*I27/1000)*J27</f>
        <v>89.920754000000002</v>
      </c>
      <c r="L27" s="39" t="s">
        <v>1906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1"/>
        <v>0</v>
      </c>
      <c r="L28" s="39"/>
    </row>
    <row r="29" spans="1:12" s="27" customFormat="1" ht="19.5" customHeight="1" x14ac:dyDescent="0.3">
      <c r="A29" s="28" t="s">
        <v>1907</v>
      </c>
      <c r="B29" s="16" t="s">
        <v>306</v>
      </c>
      <c r="C29" s="17">
        <v>22</v>
      </c>
      <c r="D29" s="18" t="s">
        <v>320</v>
      </c>
      <c r="E29" s="41">
        <v>150</v>
      </c>
      <c r="F29" s="42">
        <v>118.4</v>
      </c>
      <c r="G29" s="34" t="s">
        <v>1899</v>
      </c>
      <c r="H29" s="35">
        <v>1829</v>
      </c>
      <c r="I29" s="36">
        <v>3353</v>
      </c>
      <c r="J29" s="37">
        <v>20</v>
      </c>
      <c r="K29" s="38">
        <f t="shared" si="1"/>
        <v>122.65273999999999</v>
      </c>
      <c r="L29" s="39" t="s">
        <v>1908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1"/>
        <v>0</v>
      </c>
      <c r="L30" s="39"/>
    </row>
    <row r="31" spans="1:12" s="27" customFormat="1" ht="19.5" customHeight="1" x14ac:dyDescent="0.3">
      <c r="A31" s="28" t="s">
        <v>1909</v>
      </c>
      <c r="B31" s="16" t="s">
        <v>1910</v>
      </c>
      <c r="C31" s="17">
        <v>22</v>
      </c>
      <c r="D31" s="18" t="s">
        <v>1911</v>
      </c>
      <c r="E31" s="41">
        <v>150</v>
      </c>
      <c r="F31" s="42">
        <v>183.2</v>
      </c>
      <c r="G31" s="34" t="s">
        <v>1899</v>
      </c>
      <c r="H31" s="35">
        <v>2590</v>
      </c>
      <c r="I31" s="36">
        <v>3048</v>
      </c>
      <c r="J31" s="37">
        <v>26</v>
      </c>
      <c r="K31" s="38">
        <f t="shared" si="1"/>
        <v>205.25232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 t="s">
        <v>1912</v>
      </c>
      <c r="H32" s="35">
        <v>1981</v>
      </c>
      <c r="I32" s="36">
        <v>3353</v>
      </c>
      <c r="J32" s="37">
        <v>30</v>
      </c>
      <c r="K32" s="38">
        <f t="shared" si="1"/>
        <v>199.26879000000002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29"/>
      <c r="C37" s="30"/>
      <c r="D37" s="31"/>
      <c r="E37" s="41"/>
      <c r="F37" s="42"/>
      <c r="G37" s="43"/>
      <c r="H37" s="35"/>
      <c r="I37" s="36"/>
      <c r="J37" s="37"/>
      <c r="K37" s="38">
        <f t="shared" si="0"/>
        <v>0</v>
      </c>
      <c r="L37" s="39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1913</v>
      </c>
      <c r="B39" s="76" t="s">
        <v>1914</v>
      </c>
      <c r="C39" s="77">
        <v>24</v>
      </c>
      <c r="D39" s="47" t="s">
        <v>1917</v>
      </c>
      <c r="E39" s="48">
        <v>10</v>
      </c>
      <c r="F39" s="49">
        <v>33.299999999999997</v>
      </c>
      <c r="G39" s="50" t="s">
        <v>1916</v>
      </c>
      <c r="H39" s="51">
        <v>1981</v>
      </c>
      <c r="I39" s="45">
        <v>3353</v>
      </c>
      <c r="J39" s="52">
        <v>23</v>
      </c>
      <c r="K39" s="53">
        <f t="shared" si="0"/>
        <v>152.772739</v>
      </c>
      <c r="L39" s="54"/>
    </row>
    <row r="40" spans="1:12" s="55" customFormat="1" ht="19.5" customHeight="1" x14ac:dyDescent="0.3">
      <c r="A40" s="44"/>
      <c r="B40" s="45"/>
      <c r="C40" s="77">
        <v>24</v>
      </c>
      <c r="D40" s="47" t="s">
        <v>1915</v>
      </c>
      <c r="E40" s="48">
        <v>80</v>
      </c>
      <c r="F40" s="49">
        <v>81.5</v>
      </c>
      <c r="G40" s="50" t="s">
        <v>1899</v>
      </c>
      <c r="H40" s="51">
        <v>1981</v>
      </c>
      <c r="I40" s="45">
        <v>3353</v>
      </c>
      <c r="J40" s="52">
        <v>18</v>
      </c>
      <c r="K40" s="53">
        <f t="shared" si="0"/>
        <v>119.56127400000001</v>
      </c>
      <c r="L40" s="54"/>
    </row>
    <row r="41" spans="1:12" s="55" customFormat="1" ht="19.5" customHeight="1" x14ac:dyDescent="0.3">
      <c r="A41" s="44"/>
      <c r="B41" s="76"/>
      <c r="C41" s="77">
        <v>24</v>
      </c>
      <c r="D41" s="47" t="s">
        <v>1911</v>
      </c>
      <c r="E41" s="48">
        <v>90</v>
      </c>
      <c r="F41" s="49">
        <v>114.8</v>
      </c>
      <c r="G41" s="50" t="s">
        <v>1912</v>
      </c>
      <c r="H41" s="51">
        <v>1981</v>
      </c>
      <c r="I41" s="45">
        <v>3353</v>
      </c>
      <c r="J41" s="52">
        <v>29</v>
      </c>
      <c r="K41" s="53">
        <f t="shared" si="0"/>
        <v>192.626497</v>
      </c>
      <c r="L41" s="54"/>
    </row>
    <row r="42" spans="1:12" s="55" customFormat="1" ht="19.5" customHeight="1" x14ac:dyDescent="0.3">
      <c r="A42" s="44"/>
      <c r="B42" s="76"/>
      <c r="C42" s="77">
        <v>22</v>
      </c>
      <c r="D42" s="47" t="s">
        <v>1915</v>
      </c>
      <c r="E42" s="48">
        <v>20</v>
      </c>
      <c r="F42" s="49">
        <v>23</v>
      </c>
      <c r="G42" s="50" t="s">
        <v>1918</v>
      </c>
      <c r="H42" s="51">
        <v>1981</v>
      </c>
      <c r="I42" s="45">
        <v>3353</v>
      </c>
      <c r="J42" s="52">
        <v>12</v>
      </c>
      <c r="K42" s="53">
        <f t="shared" si="0"/>
        <v>79.707515999999998</v>
      </c>
      <c r="L42" s="54"/>
    </row>
    <row r="43" spans="1:12" s="55" customFormat="1" ht="19.5" customHeight="1" x14ac:dyDescent="0.3">
      <c r="A43" s="44"/>
      <c r="B43" s="45"/>
      <c r="C43" s="77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1919</v>
      </c>
      <c r="B44" s="45" t="s">
        <v>1920</v>
      </c>
      <c r="C44" s="77">
        <v>24</v>
      </c>
      <c r="D44" s="47" t="s">
        <v>1921</v>
      </c>
      <c r="E44" s="48">
        <v>77</v>
      </c>
      <c r="F44" s="49">
        <v>47.49</v>
      </c>
      <c r="G44" s="50" t="s">
        <v>1899</v>
      </c>
      <c r="H44" s="51">
        <v>2438</v>
      </c>
      <c r="I44" s="45">
        <v>3353</v>
      </c>
      <c r="J44" s="52">
        <v>6</v>
      </c>
      <c r="K44" s="53">
        <f t="shared" si="0"/>
        <v>49.047684000000004</v>
      </c>
      <c r="L44" s="54"/>
    </row>
    <row r="45" spans="1:12" s="55" customFormat="1" ht="19.5" customHeight="1" x14ac:dyDescent="0.3">
      <c r="A45" s="44"/>
      <c r="B45" s="76"/>
      <c r="C45" s="77">
        <v>5</v>
      </c>
      <c r="D45" s="47" t="s">
        <v>1922</v>
      </c>
      <c r="E45" s="48">
        <v>8</v>
      </c>
      <c r="F45" s="49">
        <v>4.3600000000000003</v>
      </c>
      <c r="G45" s="50" t="s">
        <v>1899</v>
      </c>
      <c r="H45" s="51">
        <v>1981</v>
      </c>
      <c r="I45" s="45">
        <v>3353</v>
      </c>
      <c r="J45" s="52">
        <v>1</v>
      </c>
      <c r="K45" s="53">
        <f t="shared" si="0"/>
        <v>6.6422930000000004</v>
      </c>
      <c r="L45" s="54"/>
    </row>
    <row r="46" spans="1:12" s="55" customFormat="1" ht="19.5" customHeight="1" x14ac:dyDescent="0.3">
      <c r="A46" s="44"/>
      <c r="B46" s="45"/>
      <c r="C46" s="77"/>
      <c r="D46" s="47"/>
      <c r="E46" s="48"/>
      <c r="F46" s="49"/>
      <c r="G46" s="50" t="s">
        <v>1923</v>
      </c>
      <c r="H46" s="51">
        <v>2438</v>
      </c>
      <c r="I46" s="45">
        <v>3353</v>
      </c>
      <c r="J46" s="52">
        <v>6</v>
      </c>
      <c r="K46" s="53">
        <f t="shared" si="0"/>
        <v>49.047684000000004</v>
      </c>
      <c r="L46" s="54"/>
    </row>
    <row r="47" spans="1:12" s="55" customFormat="1" ht="19.5" customHeight="1" x14ac:dyDescent="0.3">
      <c r="A47" s="44"/>
      <c r="B47" s="45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1924</v>
      </c>
      <c r="B48" s="45" t="s">
        <v>1925</v>
      </c>
      <c r="C48" s="77">
        <v>24</v>
      </c>
      <c r="D48" s="47" t="s">
        <v>1926</v>
      </c>
      <c r="E48" s="48">
        <v>1</v>
      </c>
      <c r="F48" s="49">
        <v>0.67</v>
      </c>
      <c r="G48" s="50"/>
      <c r="H48" s="51"/>
      <c r="I48" s="45"/>
      <c r="J48" s="52"/>
      <c r="K48" s="53">
        <f t="shared" si="0"/>
        <v>0</v>
      </c>
      <c r="L48" s="54" t="s">
        <v>1927</v>
      </c>
    </row>
    <row r="49" spans="1:12" s="55" customFormat="1" ht="19.5" customHeight="1" x14ac:dyDescent="0.3">
      <c r="A49" s="44"/>
      <c r="B49" s="76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1928</v>
      </c>
      <c r="B50" s="45" t="s">
        <v>1925</v>
      </c>
      <c r="C50" s="77">
        <v>24</v>
      </c>
      <c r="D50" s="47" t="s">
        <v>1926</v>
      </c>
      <c r="E50" s="48">
        <v>2</v>
      </c>
      <c r="F50" s="49">
        <v>1.76</v>
      </c>
      <c r="G50" s="50"/>
      <c r="H50" s="51"/>
      <c r="I50" s="45"/>
      <c r="J50" s="52"/>
      <c r="K50" s="53">
        <f t="shared" si="0"/>
        <v>0</v>
      </c>
      <c r="L50" s="54" t="s">
        <v>1927</v>
      </c>
    </row>
    <row r="51" spans="1:12" s="55" customFormat="1" ht="19.5" customHeight="1" x14ac:dyDescent="0.3">
      <c r="A51" s="44"/>
      <c r="B51" s="76"/>
      <c r="C51" s="77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1900</v>
      </c>
      <c r="B52" s="76" t="s">
        <v>1901</v>
      </c>
      <c r="C52" s="77">
        <v>24</v>
      </c>
      <c r="D52" s="47" t="s">
        <v>1929</v>
      </c>
      <c r="E52" s="48">
        <v>94</v>
      </c>
      <c r="F52" s="49">
        <v>114.28</v>
      </c>
      <c r="G52" s="50" t="s">
        <v>1899</v>
      </c>
      <c r="H52" s="51">
        <v>1981</v>
      </c>
      <c r="I52" s="45">
        <v>3353</v>
      </c>
      <c r="J52" s="52">
        <v>19</v>
      </c>
      <c r="K52" s="53">
        <f t="shared" si="0"/>
        <v>126.20356700000001</v>
      </c>
      <c r="L52" s="54"/>
    </row>
    <row r="53" spans="1:12" s="55" customFormat="1" ht="19.5" customHeight="1" x14ac:dyDescent="0.3">
      <c r="A53" s="44"/>
      <c r="B53" s="45"/>
      <c r="C53" s="77"/>
      <c r="D53" s="47"/>
      <c r="E53" s="48"/>
      <c r="F53" s="49"/>
      <c r="G53" s="50" t="s">
        <v>1930</v>
      </c>
      <c r="H53" s="51">
        <v>1981</v>
      </c>
      <c r="I53" s="45">
        <v>3353</v>
      </c>
      <c r="J53" s="52">
        <v>19</v>
      </c>
      <c r="K53" s="53">
        <f t="shared" si="0"/>
        <v>126.20356700000001</v>
      </c>
      <c r="L53" s="54"/>
    </row>
    <row r="54" spans="1:12" s="55" customFormat="1" ht="19.5" customHeight="1" x14ac:dyDescent="0.3">
      <c r="A54" s="44"/>
      <c r="B54" s="76"/>
      <c r="C54" s="77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9" customFormat="1" ht="20.100000000000001" customHeight="1" x14ac:dyDescent="0.3">
      <c r="A62" s="44"/>
      <c r="B62" s="45"/>
      <c r="C62" s="46"/>
      <c r="D62" s="47"/>
      <c r="E62" s="56"/>
      <c r="F62" s="57"/>
      <c r="G62" s="50"/>
      <c r="H62" s="51"/>
      <c r="I62" s="45"/>
      <c r="J62" s="52"/>
      <c r="K62" s="53">
        <f t="shared" si="0"/>
        <v>0</v>
      </c>
      <c r="L62" s="58">
        <f>SUM(J38:J63)</f>
        <v>133</v>
      </c>
    </row>
    <row r="63" spans="1:12" s="59" customFormat="1" ht="20.100000000000001" customHeight="1" x14ac:dyDescent="0.3">
      <c r="A63" s="44"/>
      <c r="B63" s="45"/>
      <c r="C63" s="46"/>
      <c r="D63" s="47"/>
      <c r="E63" s="60"/>
      <c r="F63" s="61"/>
      <c r="G63" s="62"/>
      <c r="H63" s="51"/>
      <c r="I63" s="45"/>
      <c r="J63" s="63"/>
      <c r="K63" s="53">
        <f t="shared" si="0"/>
        <v>0</v>
      </c>
      <c r="L63" s="64">
        <f>SUM(K38:K63)</f>
        <v>901.8128210000001</v>
      </c>
    </row>
    <row r="64" spans="1:12" s="59" customFormat="1" ht="20.100000000000001" customHeight="1" thickBot="1" x14ac:dyDescent="0.35">
      <c r="A64" s="114"/>
      <c r="B64" s="115"/>
      <c r="C64" s="115"/>
      <c r="D64" s="115"/>
      <c r="E64" s="115"/>
      <c r="F64" s="115"/>
      <c r="G64" s="115"/>
      <c r="H64" s="115"/>
      <c r="I64" s="115"/>
      <c r="J64" s="65">
        <f>SUM(J7:J63)</f>
        <v>238</v>
      </c>
      <c r="K64" s="66">
        <f>SUM(K7:K63)</f>
        <v>1650.824255</v>
      </c>
      <c r="L64" s="67"/>
    </row>
    <row r="65" spans="1:12" s="59" customFormat="1" ht="20.100000000000001" customHeight="1" thickTop="1" thickBot="1" x14ac:dyDescent="0.35">
      <c r="A65" s="116" t="s">
        <v>52</v>
      </c>
      <c r="B65" s="117"/>
      <c r="C65" s="68"/>
      <c r="D65" s="118">
        <f>J64</f>
        <v>238</v>
      </c>
      <c r="E65" s="119"/>
      <c r="F65" s="119"/>
      <c r="G65" s="120"/>
      <c r="H65" s="121"/>
      <c r="I65" s="121"/>
      <c r="J65" s="122"/>
      <c r="K65" s="119"/>
      <c r="L65" s="123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71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72"/>
      <c r="F71" s="5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5"/>
      <c r="G72" s="73"/>
      <c r="H72" s="5"/>
      <c r="I72" s="74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72"/>
      <c r="I76" s="72"/>
      <c r="J76" s="5"/>
      <c r="K76" s="5"/>
      <c r="L76" s="5"/>
    </row>
    <row r="77" spans="1:12" ht="20.100000000000001" customHeight="1" x14ac:dyDescent="0.3">
      <c r="A77" s="113"/>
      <c r="B77" s="113"/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A80" s="113"/>
      <c r="B80" s="113"/>
      <c r="H80" s="72"/>
      <c r="I80" s="72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J85" s="5"/>
      <c r="K85" s="5"/>
      <c r="L85" s="5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5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5" customFormat="1" ht="19.5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ht="19.5" customHeight="1" x14ac:dyDescent="0.3"/>
    <row r="93" spans="1:12" ht="19.5" customHeight="1" x14ac:dyDescent="0.3"/>
    <row r="94" spans="1:12" ht="19.5" customHeight="1" x14ac:dyDescent="0.3"/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>
        <v>2</v>
      </c>
      <c r="C155" s="5"/>
      <c r="D155" s="5"/>
      <c r="E155" s="5"/>
      <c r="F155" s="70"/>
      <c r="G155" s="5"/>
      <c r="H155" s="5"/>
      <c r="I155" s="5"/>
      <c r="J155" s="5"/>
      <c r="K155" s="5"/>
      <c r="L155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0:B70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4:I64"/>
    <mergeCell ref="A65:B65"/>
    <mergeCell ref="D65:G65"/>
    <mergeCell ref="H65:J65"/>
    <mergeCell ref="K65:L65"/>
    <mergeCell ref="A80:B80"/>
    <mergeCell ref="A81:B81"/>
    <mergeCell ref="A71:B71"/>
    <mergeCell ref="A72:B72"/>
    <mergeCell ref="A73:B73"/>
    <mergeCell ref="A75:B75"/>
    <mergeCell ref="A76:B76"/>
    <mergeCell ref="A77:B77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L167"/>
  <sheetViews>
    <sheetView view="pageBreakPreview" topLeftCell="F61" zoomScale="85" zoomScaleSheetLayoutView="85" workbookViewId="0">
      <selection activeCell="L74" sqref="L74:L75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46086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5" si="0">(H7/1000*I7/1000)*J7</f>
        <v>0</v>
      </c>
      <c r="L7" s="26">
        <f>SUM(J7:J32)</f>
        <v>152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SUM(K7:K32)</f>
        <v>932.67048</v>
      </c>
    </row>
    <row r="9" spans="1:12" s="27" customFormat="1" ht="19.5" customHeight="1" x14ac:dyDescent="0.3">
      <c r="A9" s="28" t="s">
        <v>1865</v>
      </c>
      <c r="B9" s="16" t="s">
        <v>306</v>
      </c>
      <c r="C9" s="17">
        <v>22</v>
      </c>
      <c r="D9" s="18" t="s">
        <v>307</v>
      </c>
      <c r="E9" s="41">
        <v>164</v>
      </c>
      <c r="F9" s="42">
        <v>141.72</v>
      </c>
      <c r="G9" s="34" t="s">
        <v>49</v>
      </c>
      <c r="H9" s="35">
        <v>1829</v>
      </c>
      <c r="I9" s="36">
        <v>3353</v>
      </c>
      <c r="J9" s="37">
        <v>25</v>
      </c>
      <c r="K9" s="38">
        <f t="shared" si="0"/>
        <v>153.31592499999999</v>
      </c>
      <c r="L9" s="39" t="s">
        <v>949</v>
      </c>
    </row>
    <row r="10" spans="1:12" s="27" customFormat="1" ht="19.5" customHeight="1" x14ac:dyDescent="0.3">
      <c r="A10" s="28"/>
      <c r="B10" s="16"/>
      <c r="C10" s="17">
        <v>22</v>
      </c>
      <c r="D10" s="18" t="s">
        <v>320</v>
      </c>
      <c r="E10" s="41">
        <v>164</v>
      </c>
      <c r="F10" s="42">
        <v>141.72</v>
      </c>
      <c r="G10" s="34" t="s">
        <v>18</v>
      </c>
      <c r="H10" s="35">
        <v>1829</v>
      </c>
      <c r="I10" s="36">
        <v>3353</v>
      </c>
      <c r="J10" s="37">
        <v>24</v>
      </c>
      <c r="K10" s="38">
        <f t="shared" si="0"/>
        <v>147.183288</v>
      </c>
      <c r="L10" s="39" t="s">
        <v>949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 t="s">
        <v>18</v>
      </c>
      <c r="H11" s="35">
        <v>1981</v>
      </c>
      <c r="I11" s="36">
        <v>3353</v>
      </c>
      <c r="J11" s="37">
        <v>1</v>
      </c>
      <c r="K11" s="38">
        <f t="shared" si="0"/>
        <v>6.6422930000000004</v>
      </c>
      <c r="L11" s="39" t="s">
        <v>949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39</v>
      </c>
      <c r="H12" s="35">
        <v>1829</v>
      </c>
      <c r="I12" s="36">
        <v>3353</v>
      </c>
      <c r="J12" s="37">
        <v>50</v>
      </c>
      <c r="K12" s="38">
        <f t="shared" si="0"/>
        <v>306.63184999999999</v>
      </c>
      <c r="L12" s="39" t="s">
        <v>949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1848</v>
      </c>
      <c r="B14" s="16" t="s">
        <v>306</v>
      </c>
      <c r="C14" s="17">
        <v>22</v>
      </c>
      <c r="D14" s="18" t="s">
        <v>307</v>
      </c>
      <c r="E14" s="41">
        <v>112</v>
      </c>
      <c r="F14" s="42">
        <v>92</v>
      </c>
      <c r="G14" s="34" t="s">
        <v>49</v>
      </c>
      <c r="H14" s="35">
        <v>1829</v>
      </c>
      <c r="I14" s="36">
        <v>3353</v>
      </c>
      <c r="J14" s="37">
        <v>16</v>
      </c>
      <c r="K14" s="38">
        <f t="shared" si="0"/>
        <v>98.122191999999998</v>
      </c>
      <c r="L14" s="39" t="s">
        <v>309</v>
      </c>
    </row>
    <row r="15" spans="1:12" s="27" customFormat="1" ht="19.5" customHeight="1" x14ac:dyDescent="0.3">
      <c r="A15" s="28"/>
      <c r="B15" s="16"/>
      <c r="C15" s="17">
        <v>22</v>
      </c>
      <c r="D15" s="18" t="s">
        <v>320</v>
      </c>
      <c r="E15" s="41">
        <v>112</v>
      </c>
      <c r="F15" s="42">
        <v>92</v>
      </c>
      <c r="G15" s="34" t="s">
        <v>18</v>
      </c>
      <c r="H15" s="35">
        <v>1829</v>
      </c>
      <c r="I15" s="36">
        <v>3353</v>
      </c>
      <c r="J15" s="37">
        <v>16</v>
      </c>
      <c r="K15" s="38">
        <f t="shared" si="0"/>
        <v>98.122191999999998</v>
      </c>
      <c r="L15" s="39" t="s">
        <v>414</v>
      </c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1866</v>
      </c>
      <c r="B17" s="16" t="s">
        <v>306</v>
      </c>
      <c r="C17" s="17">
        <v>22</v>
      </c>
      <c r="D17" s="18" t="s">
        <v>307</v>
      </c>
      <c r="E17" s="41">
        <v>150</v>
      </c>
      <c r="F17" s="42">
        <v>118.4</v>
      </c>
      <c r="G17" s="34" t="s">
        <v>49</v>
      </c>
      <c r="H17" s="35">
        <v>1829</v>
      </c>
      <c r="I17" s="36">
        <v>3353</v>
      </c>
      <c r="J17" s="37">
        <v>20</v>
      </c>
      <c r="K17" s="38">
        <f t="shared" ref="K17" si="1">(H17/1000*I17/1000)*J17</f>
        <v>122.65273999999999</v>
      </c>
      <c r="L17" s="39" t="s">
        <v>309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29"/>
      <c r="C32" s="30"/>
      <c r="D32" s="31"/>
      <c r="E32" s="41"/>
      <c r="F32" s="42"/>
      <c r="G32" s="43"/>
      <c r="H32" s="35"/>
      <c r="I32" s="36"/>
      <c r="J32" s="37"/>
      <c r="K32" s="38">
        <f t="shared" si="0"/>
        <v>0</v>
      </c>
      <c r="L32" s="39"/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1867</v>
      </c>
      <c r="B34" s="76" t="s">
        <v>110</v>
      </c>
      <c r="C34" s="77">
        <v>24</v>
      </c>
      <c r="D34" s="47" t="s">
        <v>55</v>
      </c>
      <c r="E34" s="48">
        <v>71</v>
      </c>
      <c r="F34" s="49">
        <v>46.61</v>
      </c>
      <c r="G34" s="50" t="s">
        <v>56</v>
      </c>
      <c r="H34" s="51">
        <v>1981</v>
      </c>
      <c r="I34" s="45">
        <v>3353</v>
      </c>
      <c r="J34" s="52">
        <v>8</v>
      </c>
      <c r="K34" s="53">
        <f t="shared" si="0"/>
        <v>53.138344000000004</v>
      </c>
      <c r="L34" s="54"/>
    </row>
    <row r="35" spans="1:12" s="55" customFormat="1" ht="19.5" customHeight="1" x14ac:dyDescent="0.3">
      <c r="A35" s="44"/>
      <c r="B35" s="45"/>
      <c r="C35" s="77"/>
      <c r="D35" s="47"/>
      <c r="E35" s="48"/>
      <c r="F35" s="49"/>
      <c r="G35" s="50" t="s">
        <v>18</v>
      </c>
      <c r="H35" s="51">
        <v>1981</v>
      </c>
      <c r="I35" s="45">
        <v>3353</v>
      </c>
      <c r="J35" s="52">
        <v>8</v>
      </c>
      <c r="K35" s="53">
        <f t="shared" si="0"/>
        <v>53.138344000000004</v>
      </c>
      <c r="L35" s="54"/>
    </row>
    <row r="36" spans="1:12" s="55" customFormat="1" ht="19.5" customHeight="1" x14ac:dyDescent="0.3">
      <c r="A36" s="44"/>
      <c r="B36" s="76"/>
      <c r="C36" s="77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1868</v>
      </c>
      <c r="B37" s="76" t="s">
        <v>110</v>
      </c>
      <c r="C37" s="77">
        <v>24</v>
      </c>
      <c r="D37" s="47" t="s">
        <v>55</v>
      </c>
      <c r="E37" s="48">
        <v>77</v>
      </c>
      <c r="F37" s="49">
        <v>48.01</v>
      </c>
      <c r="G37" s="50" t="s">
        <v>56</v>
      </c>
      <c r="H37" s="51">
        <v>1981</v>
      </c>
      <c r="I37" s="45">
        <v>3353</v>
      </c>
      <c r="J37" s="52">
        <v>8</v>
      </c>
      <c r="K37" s="53">
        <f t="shared" si="0"/>
        <v>53.138344000000004</v>
      </c>
      <c r="L37" s="54"/>
    </row>
    <row r="38" spans="1:12" s="55" customFormat="1" ht="19.5" customHeight="1" x14ac:dyDescent="0.3">
      <c r="A38" s="44"/>
      <c r="B38" s="45"/>
      <c r="C38" s="77"/>
      <c r="D38" s="47"/>
      <c r="E38" s="48"/>
      <c r="F38" s="49"/>
      <c r="G38" s="50" t="s">
        <v>18</v>
      </c>
      <c r="H38" s="51">
        <v>1981</v>
      </c>
      <c r="I38" s="45">
        <v>3353</v>
      </c>
      <c r="J38" s="52">
        <v>8</v>
      </c>
      <c r="K38" s="53">
        <f t="shared" si="0"/>
        <v>53.138344000000004</v>
      </c>
      <c r="L38" s="54"/>
    </row>
    <row r="39" spans="1:12" s="55" customFormat="1" ht="19.5" customHeight="1" x14ac:dyDescent="0.3">
      <c r="A39" s="44"/>
      <c r="B39" s="45"/>
      <c r="C39" s="77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1869</v>
      </c>
      <c r="B40" s="76" t="s">
        <v>102</v>
      </c>
      <c r="C40" s="77">
        <v>24</v>
      </c>
      <c r="D40" s="47" t="s">
        <v>55</v>
      </c>
      <c r="E40" s="48">
        <v>70</v>
      </c>
      <c r="F40" s="49">
        <v>52.05</v>
      </c>
      <c r="G40" s="50" t="s">
        <v>56</v>
      </c>
      <c r="H40" s="51">
        <v>1981</v>
      </c>
      <c r="I40" s="45">
        <v>3353</v>
      </c>
      <c r="J40" s="52">
        <v>6</v>
      </c>
      <c r="K40" s="53">
        <f t="shared" si="0"/>
        <v>39.853757999999999</v>
      </c>
      <c r="L40" s="54"/>
    </row>
    <row r="41" spans="1:12" s="55" customFormat="1" ht="19.5" customHeight="1" x14ac:dyDescent="0.3">
      <c r="A41" s="44"/>
      <c r="B41" s="45"/>
      <c r="C41" s="77"/>
      <c r="D41" s="47"/>
      <c r="E41" s="48"/>
      <c r="F41" s="49"/>
      <c r="G41" s="50" t="s">
        <v>56</v>
      </c>
      <c r="H41" s="51">
        <v>1829</v>
      </c>
      <c r="I41" s="45">
        <v>3353</v>
      </c>
      <c r="J41" s="52">
        <v>3</v>
      </c>
      <c r="K41" s="53">
        <f t="shared" si="0"/>
        <v>18.397911000000001</v>
      </c>
      <c r="L41" s="54"/>
    </row>
    <row r="42" spans="1:12" s="55" customFormat="1" ht="19.5" customHeight="1" x14ac:dyDescent="0.3">
      <c r="A42" s="44"/>
      <c r="B42" s="45"/>
      <c r="C42" s="77"/>
      <c r="D42" s="47"/>
      <c r="E42" s="48"/>
      <c r="F42" s="49"/>
      <c r="G42" s="50" t="s">
        <v>18</v>
      </c>
      <c r="H42" s="51">
        <v>2438</v>
      </c>
      <c r="I42" s="45">
        <v>3048</v>
      </c>
      <c r="J42" s="52">
        <v>4</v>
      </c>
      <c r="K42" s="53">
        <f t="shared" si="0"/>
        <v>29.724096000000003</v>
      </c>
      <c r="L42" s="54"/>
    </row>
    <row r="43" spans="1:12" s="55" customFormat="1" ht="19.5" customHeight="1" x14ac:dyDescent="0.3">
      <c r="A43" s="44"/>
      <c r="B43" s="45"/>
      <c r="C43" s="77"/>
      <c r="D43" s="47"/>
      <c r="E43" s="48"/>
      <c r="F43" s="49"/>
      <c r="G43" s="50" t="s">
        <v>18</v>
      </c>
      <c r="H43" s="51">
        <v>2438</v>
      </c>
      <c r="I43" s="45">
        <v>3353</v>
      </c>
      <c r="J43" s="52">
        <v>3</v>
      </c>
      <c r="K43" s="53">
        <f t="shared" si="0"/>
        <v>24.523842000000002</v>
      </c>
      <c r="L43" s="54"/>
    </row>
    <row r="44" spans="1:12" s="55" customFormat="1" ht="19.5" customHeight="1" x14ac:dyDescent="0.3">
      <c r="A44" s="44"/>
      <c r="B44" s="76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1645</v>
      </c>
      <c r="B45" s="76" t="s">
        <v>102</v>
      </c>
      <c r="C45" s="77">
        <v>24</v>
      </c>
      <c r="D45" s="47" t="s">
        <v>55</v>
      </c>
      <c r="E45" s="48">
        <v>15</v>
      </c>
      <c r="F45" s="49">
        <v>15.26</v>
      </c>
      <c r="G45" s="50" t="s">
        <v>56</v>
      </c>
      <c r="H45" s="51">
        <v>1981</v>
      </c>
      <c r="I45" s="45">
        <v>3353</v>
      </c>
      <c r="J45" s="52">
        <v>3</v>
      </c>
      <c r="K45" s="53">
        <f t="shared" si="0"/>
        <v>19.926879</v>
      </c>
      <c r="L45" s="54"/>
    </row>
    <row r="46" spans="1:12" s="55" customFormat="1" ht="19.5" customHeight="1" x14ac:dyDescent="0.3">
      <c r="A46" s="44"/>
      <c r="B46" s="76"/>
      <c r="C46" s="77"/>
      <c r="D46" s="47"/>
      <c r="E46" s="48"/>
      <c r="F46" s="49"/>
      <c r="G46" s="50" t="s">
        <v>18</v>
      </c>
      <c r="H46" s="51">
        <v>2590</v>
      </c>
      <c r="I46" s="45">
        <v>3353</v>
      </c>
      <c r="J46" s="52">
        <v>2</v>
      </c>
      <c r="K46" s="53">
        <f t="shared" si="0"/>
        <v>17.368539999999996</v>
      </c>
      <c r="L46" s="54"/>
    </row>
    <row r="47" spans="1:12" s="55" customFormat="1" ht="19.5" customHeight="1" x14ac:dyDescent="0.3">
      <c r="A47" s="44"/>
      <c r="B47" s="76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1864</v>
      </c>
      <c r="B48" s="45" t="s">
        <v>110</v>
      </c>
      <c r="C48" s="77">
        <v>24</v>
      </c>
      <c r="D48" s="47" t="s">
        <v>55</v>
      </c>
      <c r="E48" s="48">
        <v>65</v>
      </c>
      <c r="F48" s="49">
        <v>62.82</v>
      </c>
      <c r="G48" s="50" t="s">
        <v>18</v>
      </c>
      <c r="H48" s="51">
        <v>1981</v>
      </c>
      <c r="I48" s="45">
        <v>3353</v>
      </c>
      <c r="J48" s="52">
        <v>10</v>
      </c>
      <c r="K48" s="53">
        <f t="shared" si="0"/>
        <v>66.422930000000008</v>
      </c>
      <c r="L48" s="54" t="s">
        <v>100</v>
      </c>
    </row>
    <row r="49" spans="1:12" s="55" customFormat="1" ht="19.5" customHeight="1" x14ac:dyDescent="0.3">
      <c r="A49" s="44"/>
      <c r="B49" s="76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1863</v>
      </c>
      <c r="B50" s="45" t="s">
        <v>110</v>
      </c>
      <c r="C50" s="77">
        <v>24</v>
      </c>
      <c r="D50" s="47" t="s">
        <v>55</v>
      </c>
      <c r="E50" s="48">
        <v>62</v>
      </c>
      <c r="F50" s="49">
        <v>40.75</v>
      </c>
      <c r="G50" s="50" t="s">
        <v>18</v>
      </c>
      <c r="H50" s="51">
        <v>1981</v>
      </c>
      <c r="I50" s="45">
        <v>3353</v>
      </c>
      <c r="J50" s="52">
        <v>7</v>
      </c>
      <c r="K50" s="53">
        <f t="shared" si="0"/>
        <v>46.496051000000001</v>
      </c>
      <c r="L50" s="54" t="s">
        <v>100</v>
      </c>
    </row>
    <row r="51" spans="1:12" s="55" customFormat="1" ht="19.5" customHeight="1" x14ac:dyDescent="0.3">
      <c r="A51" s="44"/>
      <c r="B51" s="76"/>
      <c r="C51" s="77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1860</v>
      </c>
      <c r="B52" s="45" t="s">
        <v>110</v>
      </c>
      <c r="C52" s="77">
        <v>24</v>
      </c>
      <c r="D52" s="47" t="s">
        <v>55</v>
      </c>
      <c r="E52" s="48">
        <v>62</v>
      </c>
      <c r="F52" s="49">
        <v>40.770000000000003</v>
      </c>
      <c r="G52" s="50" t="s">
        <v>18</v>
      </c>
      <c r="H52" s="51">
        <v>1981</v>
      </c>
      <c r="I52" s="45">
        <v>3353</v>
      </c>
      <c r="J52" s="52">
        <v>7</v>
      </c>
      <c r="K52" s="53">
        <f t="shared" si="0"/>
        <v>46.496051000000001</v>
      </c>
      <c r="L52" s="54" t="s">
        <v>100</v>
      </c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>
        <f t="shared" ref="K53:K59" si="2">(H53/1000*I53/1000)*J53</f>
        <v>0</v>
      </c>
      <c r="L53" s="54"/>
    </row>
    <row r="54" spans="1:12" s="55" customFormat="1" ht="19.5" customHeight="1" x14ac:dyDescent="0.3">
      <c r="A54" s="44" t="s">
        <v>1870</v>
      </c>
      <c r="B54" s="76" t="s">
        <v>934</v>
      </c>
      <c r="C54" s="77">
        <v>24</v>
      </c>
      <c r="D54" s="47" t="s">
        <v>1871</v>
      </c>
      <c r="E54" s="48">
        <v>2</v>
      </c>
      <c r="F54" s="49">
        <v>1.6</v>
      </c>
      <c r="G54" s="50"/>
      <c r="H54" s="51"/>
      <c r="I54" s="45"/>
      <c r="J54" s="52"/>
      <c r="K54" s="53">
        <f t="shared" si="2"/>
        <v>0</v>
      </c>
      <c r="L54" s="54" t="s">
        <v>31</v>
      </c>
    </row>
    <row r="55" spans="1:12" s="55" customFormat="1" ht="19.5" customHeight="1" x14ac:dyDescent="0.3">
      <c r="A55" s="44"/>
      <c r="B55" s="76"/>
      <c r="C55" s="77">
        <v>22</v>
      </c>
      <c r="D55" s="47" t="s">
        <v>17</v>
      </c>
      <c r="E55" s="48">
        <v>1</v>
      </c>
      <c r="F55" s="49">
        <v>0.44</v>
      </c>
      <c r="G55" s="50"/>
      <c r="H55" s="51"/>
      <c r="I55" s="45"/>
      <c r="J55" s="52"/>
      <c r="K55" s="53">
        <f t="shared" si="2"/>
        <v>0</v>
      </c>
      <c r="L55" s="54" t="s">
        <v>31</v>
      </c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/>
      <c r="H56" s="51"/>
      <c r="I56" s="45"/>
      <c r="J56" s="52"/>
      <c r="K56" s="53">
        <f t="shared" si="2"/>
        <v>0</v>
      </c>
      <c r="L56" s="54"/>
    </row>
    <row r="57" spans="1:12" s="55" customFormat="1" ht="19.5" customHeight="1" x14ac:dyDescent="0.3">
      <c r="A57" s="44" t="s">
        <v>1872</v>
      </c>
      <c r="B57" s="76" t="s">
        <v>187</v>
      </c>
      <c r="C57" s="77">
        <v>28</v>
      </c>
      <c r="D57" s="47" t="s">
        <v>245</v>
      </c>
      <c r="E57" s="48">
        <v>2</v>
      </c>
      <c r="F57" s="49">
        <v>4.76</v>
      </c>
      <c r="G57" s="50" t="s">
        <v>560</v>
      </c>
      <c r="H57" s="51">
        <v>3050</v>
      </c>
      <c r="I57" s="45">
        <v>4000</v>
      </c>
      <c r="J57" s="52">
        <v>1</v>
      </c>
      <c r="K57" s="53">
        <f t="shared" si="2"/>
        <v>12.2</v>
      </c>
      <c r="L57" s="54"/>
    </row>
    <row r="58" spans="1:12" s="55" customFormat="1" ht="19.5" customHeight="1" x14ac:dyDescent="0.3">
      <c r="A58" s="44"/>
      <c r="B58" s="76"/>
      <c r="C58" s="77">
        <v>28</v>
      </c>
      <c r="D58" s="47" t="s">
        <v>188</v>
      </c>
      <c r="E58" s="48">
        <v>2</v>
      </c>
      <c r="F58" s="49">
        <v>1.57</v>
      </c>
      <c r="G58" s="50" t="s">
        <v>246</v>
      </c>
      <c r="H58" s="51">
        <v>3050</v>
      </c>
      <c r="I58" s="45">
        <v>4000</v>
      </c>
      <c r="J58" s="52">
        <v>1</v>
      </c>
      <c r="K58" s="53">
        <f t="shared" si="2"/>
        <v>12.2</v>
      </c>
      <c r="L58" s="54" t="s">
        <v>166</v>
      </c>
    </row>
    <row r="59" spans="1:12" s="55" customFormat="1" ht="19.5" customHeight="1" x14ac:dyDescent="0.3">
      <c r="A59" s="44"/>
      <c r="B59" s="45"/>
      <c r="C59" s="46">
        <v>28</v>
      </c>
      <c r="D59" s="47" t="s">
        <v>339</v>
      </c>
      <c r="E59" s="48">
        <v>2</v>
      </c>
      <c r="F59" s="49">
        <v>5.36</v>
      </c>
      <c r="G59" s="50" t="s">
        <v>209</v>
      </c>
      <c r="H59" s="51">
        <v>2438</v>
      </c>
      <c r="I59" s="45">
        <v>3353</v>
      </c>
      <c r="J59" s="52">
        <v>1</v>
      </c>
      <c r="K59" s="53">
        <f t="shared" si="2"/>
        <v>8.174614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1541</v>
      </c>
      <c r="B61" s="45" t="s">
        <v>21</v>
      </c>
      <c r="C61" s="46">
        <v>22</v>
      </c>
      <c r="D61" s="47" t="s">
        <v>228</v>
      </c>
      <c r="E61" s="48">
        <v>1</v>
      </c>
      <c r="F61" s="49">
        <v>1.78</v>
      </c>
      <c r="G61" s="50"/>
      <c r="H61" s="51"/>
      <c r="I61" s="45"/>
      <c r="J61" s="52"/>
      <c r="K61" s="53">
        <f t="shared" si="0"/>
        <v>0</v>
      </c>
      <c r="L61" s="54" t="s">
        <v>345</v>
      </c>
    </row>
    <row r="62" spans="1:12" s="55" customFormat="1" ht="19.5" customHeight="1" x14ac:dyDescent="0.3">
      <c r="A62" s="44"/>
      <c r="B62" s="45"/>
      <c r="C62" s="46">
        <v>46.76</v>
      </c>
      <c r="D62" s="47" t="s">
        <v>272</v>
      </c>
      <c r="E62" s="48">
        <v>1</v>
      </c>
      <c r="F62" s="49">
        <v>0.45</v>
      </c>
      <c r="G62" s="50"/>
      <c r="H62" s="51"/>
      <c r="I62" s="45"/>
      <c r="J62" s="52"/>
      <c r="K62" s="53">
        <f t="shared" si="0"/>
        <v>0</v>
      </c>
      <c r="L62" s="54" t="s">
        <v>1873</v>
      </c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1567</v>
      </c>
      <c r="B64" s="45" t="s">
        <v>1568</v>
      </c>
      <c r="C64" s="46">
        <v>39</v>
      </c>
      <c r="D64" s="47" t="s">
        <v>1569</v>
      </c>
      <c r="E64" s="48">
        <v>2</v>
      </c>
      <c r="F64" s="49">
        <v>1.79</v>
      </c>
      <c r="G64" s="50"/>
      <c r="H64" s="51"/>
      <c r="I64" s="45"/>
      <c r="J64" s="52"/>
      <c r="K64" s="53">
        <f t="shared" ref="K64:K70" si="3">(H64/1000*I64/1000)*J64</f>
        <v>0</v>
      </c>
      <c r="L64" s="54" t="s">
        <v>1874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3"/>
        <v>0</v>
      </c>
      <c r="L65" s="54"/>
    </row>
    <row r="66" spans="1:12" s="55" customFormat="1" ht="19.5" customHeight="1" x14ac:dyDescent="0.3">
      <c r="A66" s="44" t="s">
        <v>1730</v>
      </c>
      <c r="B66" s="45" t="s">
        <v>1684</v>
      </c>
      <c r="C66" s="46">
        <v>26</v>
      </c>
      <c r="D66" s="47" t="s">
        <v>289</v>
      </c>
      <c r="E66" s="48">
        <v>1</v>
      </c>
      <c r="F66" s="49">
        <v>0.73</v>
      </c>
      <c r="G66" s="50"/>
      <c r="H66" s="51"/>
      <c r="I66" s="45"/>
      <c r="J66" s="52"/>
      <c r="K66" s="53">
        <f t="shared" si="3"/>
        <v>0</v>
      </c>
      <c r="L66" s="54" t="s">
        <v>346</v>
      </c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3"/>
        <v>0</v>
      </c>
      <c r="L67" s="54"/>
    </row>
    <row r="68" spans="1:12" s="55" customFormat="1" ht="19.5" customHeight="1" x14ac:dyDescent="0.3">
      <c r="A68" s="44" t="s">
        <v>1875</v>
      </c>
      <c r="B68" s="45" t="s">
        <v>1876</v>
      </c>
      <c r="C68" s="46">
        <v>24</v>
      </c>
      <c r="D68" s="47" t="s">
        <v>34</v>
      </c>
      <c r="E68" s="48">
        <v>1</v>
      </c>
      <c r="F68" s="49">
        <v>0.38</v>
      </c>
      <c r="G68" s="50"/>
      <c r="H68" s="51"/>
      <c r="I68" s="45"/>
      <c r="J68" s="52"/>
      <c r="K68" s="53">
        <f t="shared" si="3"/>
        <v>0</v>
      </c>
      <c r="L68" s="54" t="s">
        <v>31</v>
      </c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3"/>
        <v>0</v>
      </c>
      <c r="L69" s="54"/>
    </row>
    <row r="70" spans="1:12" s="55" customFormat="1" ht="19.5" customHeight="1" x14ac:dyDescent="0.3">
      <c r="A70" s="44" t="s">
        <v>1877</v>
      </c>
      <c r="B70" s="45" t="s">
        <v>204</v>
      </c>
      <c r="C70" s="46">
        <v>28</v>
      </c>
      <c r="D70" s="47" t="s">
        <v>205</v>
      </c>
      <c r="E70" s="48">
        <v>34</v>
      </c>
      <c r="F70" s="49">
        <v>60.46</v>
      </c>
      <c r="G70" s="50" t="s">
        <v>189</v>
      </c>
      <c r="H70" s="51">
        <v>2438</v>
      </c>
      <c r="I70" s="45">
        <v>3353</v>
      </c>
      <c r="J70" s="52">
        <v>8</v>
      </c>
      <c r="K70" s="53">
        <f t="shared" si="3"/>
        <v>65.396912</v>
      </c>
      <c r="L70" s="54" t="s">
        <v>100</v>
      </c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9" customFormat="1" ht="20.100000000000001" customHeight="1" x14ac:dyDescent="0.3">
      <c r="A74" s="44"/>
      <c r="B74" s="45"/>
      <c r="C74" s="46"/>
      <c r="D74" s="47"/>
      <c r="E74" s="56"/>
      <c r="F74" s="57"/>
      <c r="G74" s="50"/>
      <c r="H74" s="51"/>
      <c r="I74" s="45"/>
      <c r="J74" s="52"/>
      <c r="K74" s="53">
        <f t="shared" si="0"/>
        <v>0</v>
      </c>
      <c r="L74" s="58">
        <f>SUM(J33:J75)</f>
        <v>88</v>
      </c>
    </row>
    <row r="75" spans="1:12" s="59" customFormat="1" ht="20.100000000000001" customHeight="1" x14ac:dyDescent="0.3">
      <c r="A75" s="44"/>
      <c r="B75" s="45"/>
      <c r="C75" s="46"/>
      <c r="D75" s="47"/>
      <c r="E75" s="60"/>
      <c r="F75" s="61"/>
      <c r="G75" s="62"/>
      <c r="H75" s="51"/>
      <c r="I75" s="45"/>
      <c r="J75" s="63"/>
      <c r="K75" s="53">
        <f t="shared" si="0"/>
        <v>0</v>
      </c>
      <c r="L75" s="64">
        <f>SUM(K33:K75)</f>
        <v>619.73496000000011</v>
      </c>
    </row>
    <row r="76" spans="1:12" s="59" customFormat="1" ht="20.100000000000001" customHeight="1" thickBot="1" x14ac:dyDescent="0.35">
      <c r="A76" s="114"/>
      <c r="B76" s="115"/>
      <c r="C76" s="115"/>
      <c r="D76" s="115"/>
      <c r="E76" s="115"/>
      <c r="F76" s="115"/>
      <c r="G76" s="115"/>
      <c r="H76" s="115"/>
      <c r="I76" s="115"/>
      <c r="J76" s="65">
        <f>SUM(J7:J75)</f>
        <v>240</v>
      </c>
      <c r="K76" s="66">
        <f>SUM(K7:K75)</f>
        <v>1552.40544</v>
      </c>
      <c r="L76" s="67"/>
    </row>
    <row r="77" spans="1:12" s="59" customFormat="1" ht="20.100000000000001" customHeight="1" thickTop="1" thickBot="1" x14ac:dyDescent="0.35">
      <c r="A77" s="116" t="s">
        <v>52</v>
      </c>
      <c r="B77" s="117"/>
      <c r="C77" s="68"/>
      <c r="D77" s="118">
        <f>J76</f>
        <v>240</v>
      </c>
      <c r="E77" s="119"/>
      <c r="F77" s="119"/>
      <c r="G77" s="120"/>
      <c r="H77" s="121"/>
      <c r="I77" s="121"/>
      <c r="J77" s="122"/>
      <c r="K77" s="119"/>
      <c r="L77" s="123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71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72"/>
      <c r="F83" s="5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5"/>
      <c r="G84" s="73"/>
      <c r="H84" s="5"/>
      <c r="I84" s="74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5"/>
      <c r="F88" s="70"/>
      <c r="G88" s="5"/>
      <c r="H88" s="72"/>
      <c r="I88" s="72"/>
      <c r="J88" s="5"/>
      <c r="K88" s="5"/>
      <c r="L88" s="5"/>
    </row>
    <row r="89" spans="1:12" ht="20.100000000000001" customHeight="1" x14ac:dyDescent="0.3">
      <c r="A89" s="113"/>
      <c r="B89" s="113"/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A92" s="113"/>
      <c r="B92" s="113"/>
      <c r="H92" s="72"/>
      <c r="I92" s="72"/>
    </row>
    <row r="93" spans="1:12" ht="20.100000000000001" customHeight="1" x14ac:dyDescent="0.3">
      <c r="A93" s="113"/>
      <c r="B93" s="113"/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H95" s="72"/>
      <c r="I95" s="72"/>
    </row>
    <row r="96" spans="1:12" ht="20.100000000000001" customHeight="1" x14ac:dyDescent="0.3">
      <c r="H96" s="72"/>
      <c r="I96" s="72"/>
    </row>
    <row r="97" spans="1:12" s="72" customFormat="1" ht="20.100000000000001" customHeight="1" x14ac:dyDescent="0.3">
      <c r="A97" s="69"/>
      <c r="B97" s="5"/>
      <c r="C97" s="5"/>
      <c r="D97" s="5"/>
      <c r="E97" s="5"/>
      <c r="F97" s="70"/>
      <c r="G97" s="5"/>
      <c r="J97" s="5"/>
      <c r="K97" s="5"/>
      <c r="L97" s="5"/>
    </row>
    <row r="98" spans="1:12" s="72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5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5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5" customFormat="1" ht="19.5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2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ht="19.5" customHeight="1" x14ac:dyDescent="0.3"/>
    <row r="105" spans="1:12" ht="19.5" customHeight="1" x14ac:dyDescent="0.3"/>
    <row r="106" spans="1:12" ht="19.5" customHeight="1" x14ac:dyDescent="0.3"/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>
        <v>2</v>
      </c>
      <c r="C167" s="5"/>
      <c r="D167" s="5"/>
      <c r="E167" s="5"/>
      <c r="F167" s="70"/>
      <c r="G167" s="5"/>
      <c r="H167" s="5"/>
      <c r="I167" s="5"/>
      <c r="J167" s="5"/>
      <c r="K167" s="5"/>
      <c r="L167" s="5"/>
    </row>
  </sheetData>
  <mergeCells count="30">
    <mergeCell ref="A92:B92"/>
    <mergeCell ref="A93:B93"/>
    <mergeCell ref="A83:B83"/>
    <mergeCell ref="A84:B84"/>
    <mergeCell ref="A85:B85"/>
    <mergeCell ref="A87:B87"/>
    <mergeCell ref="A88:B88"/>
    <mergeCell ref="A89:B89"/>
    <mergeCell ref="A82:B82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6:I76"/>
    <mergeCell ref="A77:B77"/>
    <mergeCell ref="D77:G77"/>
    <mergeCell ref="H77:J77"/>
    <mergeCell ref="K77:L77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L156"/>
  <sheetViews>
    <sheetView view="pageBreakPreview" topLeftCell="F46" zoomScale="85" zoomScaleSheetLayoutView="85" workbookViewId="0">
      <selection activeCell="L63" sqref="L63:L6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46085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4" si="0">(H7/1000*I7/1000)*J7</f>
        <v>0</v>
      </c>
      <c r="L7" s="26">
        <f>SUM(J7:J32)</f>
        <v>153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SUM(K7:K32)</f>
        <v>947.49073999999996</v>
      </c>
    </row>
    <row r="9" spans="1:12" s="27" customFormat="1" ht="19.5" customHeight="1" x14ac:dyDescent="0.3">
      <c r="A9" s="28" t="s">
        <v>1831</v>
      </c>
      <c r="B9" s="16" t="s">
        <v>1832</v>
      </c>
      <c r="C9" s="17">
        <v>5</v>
      </c>
      <c r="D9" s="18" t="s">
        <v>1833</v>
      </c>
      <c r="E9" s="41">
        <v>52</v>
      </c>
      <c r="F9" s="42">
        <v>19.32</v>
      </c>
      <c r="G9" s="34" t="s">
        <v>1835</v>
      </c>
      <c r="H9" s="35">
        <v>2134</v>
      </c>
      <c r="I9" s="36">
        <v>3353</v>
      </c>
      <c r="J9" s="37">
        <v>3</v>
      </c>
      <c r="K9" s="38">
        <f t="shared" si="0"/>
        <v>21.465906</v>
      </c>
      <c r="L9" s="86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38">
        <f t="shared" si="0"/>
        <v>0</v>
      </c>
      <c r="L10" s="86"/>
    </row>
    <row r="11" spans="1:12" s="27" customFormat="1" ht="19.5" customHeight="1" x14ac:dyDescent="0.3">
      <c r="A11" s="28" t="s">
        <v>1834</v>
      </c>
      <c r="B11" s="16" t="s">
        <v>1832</v>
      </c>
      <c r="C11" s="17">
        <v>5</v>
      </c>
      <c r="D11" s="18" t="s">
        <v>1833</v>
      </c>
      <c r="E11" s="41">
        <v>50</v>
      </c>
      <c r="F11" s="42">
        <v>18</v>
      </c>
      <c r="G11" s="34" t="s">
        <v>1835</v>
      </c>
      <c r="H11" s="35">
        <v>2134</v>
      </c>
      <c r="I11" s="36">
        <v>3353</v>
      </c>
      <c r="J11" s="37">
        <v>3</v>
      </c>
      <c r="K11" s="38">
        <f t="shared" si="0"/>
        <v>21.465906</v>
      </c>
      <c r="L11" s="86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1836</v>
      </c>
      <c r="B13" s="16" t="s">
        <v>1837</v>
      </c>
      <c r="C13" s="17">
        <v>22</v>
      </c>
      <c r="D13" s="18" t="s">
        <v>1838</v>
      </c>
      <c r="E13" s="41">
        <v>1</v>
      </c>
      <c r="F13" s="42">
        <v>0.72</v>
      </c>
      <c r="G13" s="34"/>
      <c r="H13" s="35"/>
      <c r="I13" s="36"/>
      <c r="J13" s="37"/>
      <c r="K13" s="38">
        <f t="shared" si="0"/>
        <v>0</v>
      </c>
      <c r="L13" s="39" t="s">
        <v>1839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1823</v>
      </c>
      <c r="B15" s="16" t="s">
        <v>306</v>
      </c>
      <c r="C15" s="17">
        <v>22</v>
      </c>
      <c r="D15" s="18" t="s">
        <v>307</v>
      </c>
      <c r="E15" s="41">
        <v>112</v>
      </c>
      <c r="F15" s="42">
        <v>92</v>
      </c>
      <c r="G15" s="34" t="s">
        <v>39</v>
      </c>
      <c r="H15" s="35">
        <v>1829</v>
      </c>
      <c r="I15" s="36">
        <v>3353</v>
      </c>
      <c r="J15" s="37">
        <v>16</v>
      </c>
      <c r="K15" s="38">
        <f t="shared" si="0"/>
        <v>98.122191999999998</v>
      </c>
      <c r="L15" s="39" t="s">
        <v>1840</v>
      </c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1841</v>
      </c>
      <c r="B17" s="16" t="s">
        <v>1842</v>
      </c>
      <c r="C17" s="17">
        <v>26</v>
      </c>
      <c r="D17" s="18" t="s">
        <v>1843</v>
      </c>
      <c r="E17" s="41">
        <v>10</v>
      </c>
      <c r="F17" s="42">
        <v>6.53</v>
      </c>
      <c r="G17" s="34" t="s">
        <v>1844</v>
      </c>
      <c r="H17" s="35">
        <v>2438</v>
      </c>
      <c r="I17" s="36">
        <v>3353</v>
      </c>
      <c r="J17" s="37">
        <v>1</v>
      </c>
      <c r="K17" s="38">
        <f t="shared" si="0"/>
        <v>8.174614</v>
      </c>
      <c r="L17" s="39" t="s">
        <v>1845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 t="s">
        <v>1841</v>
      </c>
      <c r="B19" s="16" t="s">
        <v>1842</v>
      </c>
      <c r="C19" s="17">
        <v>26</v>
      </c>
      <c r="D19" s="18" t="s">
        <v>1843</v>
      </c>
      <c r="E19" s="41">
        <v>8</v>
      </c>
      <c r="F19" s="42">
        <v>5.66</v>
      </c>
      <c r="G19" s="34"/>
      <c r="H19" s="35"/>
      <c r="I19" s="36"/>
      <c r="J19" s="37"/>
      <c r="K19" s="38">
        <f t="shared" si="0"/>
        <v>0</v>
      </c>
      <c r="L19" s="39" t="s">
        <v>1846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1847</v>
      </c>
      <c r="B21" s="16" t="s">
        <v>306</v>
      </c>
      <c r="C21" s="17">
        <v>22</v>
      </c>
      <c r="D21" s="18" t="s">
        <v>307</v>
      </c>
      <c r="E21" s="41">
        <v>164</v>
      </c>
      <c r="F21" s="42">
        <v>141.72</v>
      </c>
      <c r="G21" s="34" t="s">
        <v>49</v>
      </c>
      <c r="H21" s="35">
        <v>1829</v>
      </c>
      <c r="I21" s="36">
        <v>3353</v>
      </c>
      <c r="J21" s="37">
        <v>24</v>
      </c>
      <c r="K21" s="38">
        <f t="shared" si="0"/>
        <v>147.183288</v>
      </c>
      <c r="L21" s="39" t="s">
        <v>949</v>
      </c>
    </row>
    <row r="22" spans="1:12" s="27" customFormat="1" ht="19.5" customHeight="1" x14ac:dyDescent="0.3">
      <c r="A22" s="28"/>
      <c r="B22" s="16"/>
      <c r="C22" s="17">
        <v>22</v>
      </c>
      <c r="D22" s="18" t="s">
        <v>320</v>
      </c>
      <c r="E22" s="41">
        <v>164</v>
      </c>
      <c r="F22" s="42">
        <v>141.72</v>
      </c>
      <c r="G22" s="34" t="s">
        <v>49</v>
      </c>
      <c r="H22" s="35">
        <v>1981</v>
      </c>
      <c r="I22" s="36">
        <v>3353</v>
      </c>
      <c r="J22" s="37">
        <v>1</v>
      </c>
      <c r="K22" s="38">
        <f t="shared" si="0"/>
        <v>6.6422930000000004</v>
      </c>
      <c r="L22" s="39" t="s">
        <v>949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 t="s">
        <v>18</v>
      </c>
      <c r="H23" s="35">
        <v>1829</v>
      </c>
      <c r="I23" s="36">
        <v>3353</v>
      </c>
      <c r="J23" s="37">
        <v>24</v>
      </c>
      <c r="K23" s="38">
        <f t="shared" si="0"/>
        <v>147.183288</v>
      </c>
      <c r="L23" s="39" t="s">
        <v>949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39</v>
      </c>
      <c r="H24" s="35">
        <v>1829</v>
      </c>
      <c r="I24" s="36">
        <v>3353</v>
      </c>
      <c r="J24" s="37">
        <v>48</v>
      </c>
      <c r="K24" s="38">
        <f t="shared" si="0"/>
        <v>294.36657600000001</v>
      </c>
      <c r="L24" s="39" t="s">
        <v>949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 t="s">
        <v>39</v>
      </c>
      <c r="H25" s="35">
        <v>1981</v>
      </c>
      <c r="I25" s="36">
        <v>3353</v>
      </c>
      <c r="J25" s="37">
        <v>1</v>
      </c>
      <c r="K25" s="38">
        <f t="shared" si="0"/>
        <v>6.6422930000000004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 t="s">
        <v>1848</v>
      </c>
      <c r="B27" s="16" t="s">
        <v>306</v>
      </c>
      <c r="C27" s="17">
        <v>22</v>
      </c>
      <c r="D27" s="18" t="s">
        <v>307</v>
      </c>
      <c r="E27" s="41">
        <v>112</v>
      </c>
      <c r="F27" s="42">
        <v>92</v>
      </c>
      <c r="G27" s="34" t="s">
        <v>39</v>
      </c>
      <c r="H27" s="35">
        <v>1829</v>
      </c>
      <c r="I27" s="36">
        <v>3353</v>
      </c>
      <c r="J27" s="37">
        <v>32</v>
      </c>
      <c r="K27" s="38">
        <f t="shared" si="0"/>
        <v>196.244384</v>
      </c>
      <c r="L27" s="39" t="s">
        <v>1840</v>
      </c>
    </row>
    <row r="28" spans="1:12" s="27" customFormat="1" ht="19.5" customHeight="1" x14ac:dyDescent="0.3">
      <c r="A28" s="28"/>
      <c r="B28" s="16"/>
      <c r="C28" s="17">
        <v>22</v>
      </c>
      <c r="D28" s="18" t="s">
        <v>320</v>
      </c>
      <c r="E28" s="41">
        <v>112</v>
      </c>
      <c r="F28" s="42">
        <v>92</v>
      </c>
      <c r="G28" s="34"/>
      <c r="H28" s="35"/>
      <c r="I28" s="36"/>
      <c r="J28" s="37"/>
      <c r="K28" s="38">
        <f t="shared" si="0"/>
        <v>0</v>
      </c>
      <c r="L28" s="39" t="s">
        <v>1840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29"/>
      <c r="C32" s="30"/>
      <c r="D32" s="31"/>
      <c r="E32" s="41"/>
      <c r="F32" s="42"/>
      <c r="G32" s="43"/>
      <c r="H32" s="35"/>
      <c r="I32" s="36"/>
      <c r="J32" s="37"/>
      <c r="K32" s="38">
        <f t="shared" si="0"/>
        <v>0</v>
      </c>
      <c r="L32" s="39"/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1849</v>
      </c>
      <c r="B34" s="76" t="s">
        <v>1850</v>
      </c>
      <c r="C34" s="77">
        <v>26</v>
      </c>
      <c r="D34" s="47" t="s">
        <v>1851</v>
      </c>
      <c r="E34" s="48">
        <v>18</v>
      </c>
      <c r="F34" s="49">
        <v>16.57</v>
      </c>
      <c r="G34" s="50" t="s">
        <v>1853</v>
      </c>
      <c r="H34" s="51">
        <v>1829</v>
      </c>
      <c r="I34" s="45">
        <v>3353</v>
      </c>
      <c r="J34" s="52">
        <v>3</v>
      </c>
      <c r="K34" s="53">
        <f t="shared" si="0"/>
        <v>18.397911000000001</v>
      </c>
      <c r="L34" s="54"/>
    </row>
    <row r="35" spans="1:12" s="55" customFormat="1" ht="19.5" customHeight="1" x14ac:dyDescent="0.3">
      <c r="A35" s="44"/>
      <c r="B35" s="45"/>
      <c r="C35" s="77">
        <v>24</v>
      </c>
      <c r="D35" s="47" t="s">
        <v>1852</v>
      </c>
      <c r="E35" s="48">
        <v>1</v>
      </c>
      <c r="F35" s="49">
        <v>2.4</v>
      </c>
      <c r="G35" s="50" t="s">
        <v>1835</v>
      </c>
      <c r="H35" s="51">
        <v>2590</v>
      </c>
      <c r="I35" s="45">
        <v>3353</v>
      </c>
      <c r="J35" s="52">
        <v>2</v>
      </c>
      <c r="K35" s="53">
        <f t="shared" si="0"/>
        <v>17.368539999999996</v>
      </c>
      <c r="L35" s="54" t="s">
        <v>1839</v>
      </c>
    </row>
    <row r="36" spans="1:12" s="55" customFormat="1" ht="19.5" customHeight="1" x14ac:dyDescent="0.3">
      <c r="A36" s="44"/>
      <c r="B36" s="76"/>
      <c r="C36" s="77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1854</v>
      </c>
      <c r="B37" s="76" t="s">
        <v>1855</v>
      </c>
      <c r="C37" s="77">
        <v>24</v>
      </c>
      <c r="D37" s="47" t="s">
        <v>1856</v>
      </c>
      <c r="E37" s="48">
        <v>125</v>
      </c>
      <c r="F37" s="49">
        <v>108</v>
      </c>
      <c r="G37" s="50" t="s">
        <v>1858</v>
      </c>
      <c r="H37" s="51">
        <v>1981</v>
      </c>
      <c r="I37" s="45">
        <v>3353</v>
      </c>
      <c r="J37" s="52">
        <v>21</v>
      </c>
      <c r="K37" s="53">
        <f t="shared" si="0"/>
        <v>139.48815300000001</v>
      </c>
      <c r="L37" s="54"/>
    </row>
    <row r="38" spans="1:12" s="55" customFormat="1" ht="19.5" customHeight="1" x14ac:dyDescent="0.3">
      <c r="A38" s="44"/>
      <c r="B38" s="45"/>
      <c r="C38" s="77">
        <v>24</v>
      </c>
      <c r="D38" s="47" t="s">
        <v>1857</v>
      </c>
      <c r="E38" s="48">
        <v>140</v>
      </c>
      <c r="F38" s="49">
        <v>155.1</v>
      </c>
      <c r="G38" s="50" t="s">
        <v>1835</v>
      </c>
      <c r="H38" s="51">
        <v>2590</v>
      </c>
      <c r="I38" s="45">
        <v>3048</v>
      </c>
      <c r="J38" s="52">
        <v>21</v>
      </c>
      <c r="K38" s="53">
        <f t="shared" si="0"/>
        <v>165.78072</v>
      </c>
      <c r="L38" s="54"/>
    </row>
    <row r="39" spans="1:12" s="55" customFormat="1" ht="19.5" customHeight="1" x14ac:dyDescent="0.3">
      <c r="A39" s="44"/>
      <c r="B39" s="45"/>
      <c r="C39" s="77">
        <v>22</v>
      </c>
      <c r="D39" s="47" t="s">
        <v>1856</v>
      </c>
      <c r="E39" s="48">
        <v>20</v>
      </c>
      <c r="F39" s="49">
        <v>23.4</v>
      </c>
      <c r="G39" s="50" t="s">
        <v>1859</v>
      </c>
      <c r="H39" s="51">
        <v>1981</v>
      </c>
      <c r="I39" s="45">
        <v>3353</v>
      </c>
      <c r="J39" s="52">
        <v>46</v>
      </c>
      <c r="K39" s="53">
        <f t="shared" si="0"/>
        <v>305.545478</v>
      </c>
      <c r="L39" s="54"/>
    </row>
    <row r="40" spans="1:12" s="55" customFormat="1" ht="19.5" customHeight="1" x14ac:dyDescent="0.3">
      <c r="A40" s="44"/>
      <c r="B40" s="76"/>
      <c r="C40" s="77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1860</v>
      </c>
      <c r="B41" s="45" t="s">
        <v>1861</v>
      </c>
      <c r="C41" s="77">
        <v>24</v>
      </c>
      <c r="D41" s="47" t="s">
        <v>1851</v>
      </c>
      <c r="E41" s="48">
        <v>62</v>
      </c>
      <c r="F41" s="49">
        <v>40.770000000000003</v>
      </c>
      <c r="G41" s="50" t="s">
        <v>1853</v>
      </c>
      <c r="H41" s="51">
        <v>1981</v>
      </c>
      <c r="I41" s="45">
        <v>3353</v>
      </c>
      <c r="J41" s="52">
        <v>7</v>
      </c>
      <c r="K41" s="53">
        <f t="shared" si="0"/>
        <v>46.496051000000001</v>
      </c>
      <c r="L41" s="54" t="s">
        <v>1862</v>
      </c>
    </row>
    <row r="42" spans="1:12" s="55" customFormat="1" ht="19.5" customHeight="1" x14ac:dyDescent="0.3">
      <c r="A42" s="44"/>
      <c r="B42" s="45"/>
      <c r="C42" s="77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1863</v>
      </c>
      <c r="B43" s="45" t="s">
        <v>1861</v>
      </c>
      <c r="C43" s="77">
        <v>24</v>
      </c>
      <c r="D43" s="47" t="s">
        <v>1851</v>
      </c>
      <c r="E43" s="48">
        <v>62</v>
      </c>
      <c r="F43" s="49">
        <v>40.75</v>
      </c>
      <c r="G43" s="50" t="s">
        <v>1853</v>
      </c>
      <c r="H43" s="51">
        <v>1981</v>
      </c>
      <c r="I43" s="45">
        <v>3353</v>
      </c>
      <c r="J43" s="52">
        <v>7</v>
      </c>
      <c r="K43" s="53">
        <f t="shared" si="0"/>
        <v>46.496051000000001</v>
      </c>
      <c r="L43" s="54" t="s">
        <v>1862</v>
      </c>
    </row>
    <row r="44" spans="1:12" s="55" customFormat="1" ht="19.5" customHeight="1" x14ac:dyDescent="0.3">
      <c r="A44" s="44"/>
      <c r="B44" s="76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1864</v>
      </c>
      <c r="B45" s="45" t="s">
        <v>1861</v>
      </c>
      <c r="C45" s="77">
        <v>24</v>
      </c>
      <c r="D45" s="47" t="s">
        <v>1851</v>
      </c>
      <c r="E45" s="48">
        <v>65</v>
      </c>
      <c r="F45" s="49">
        <v>62.82</v>
      </c>
      <c r="G45" s="50" t="s">
        <v>1853</v>
      </c>
      <c r="H45" s="51">
        <v>1981</v>
      </c>
      <c r="I45" s="45">
        <v>3353</v>
      </c>
      <c r="J45" s="52">
        <v>11</v>
      </c>
      <c r="K45" s="53">
        <f t="shared" si="0"/>
        <v>73.065223000000003</v>
      </c>
      <c r="L45" s="54" t="s">
        <v>1862</v>
      </c>
    </row>
    <row r="46" spans="1:12" s="55" customFormat="1" ht="19.5" customHeight="1" x14ac:dyDescent="0.3">
      <c r="A46" s="44"/>
      <c r="B46" s="76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76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76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76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45"/>
      <c r="C50" s="77"/>
      <c r="D50" s="78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76"/>
      <c r="C51" s="77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77"/>
      <c r="D52" s="78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/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9" customFormat="1" ht="20.100000000000001" customHeight="1" x14ac:dyDescent="0.3">
      <c r="A63" s="44"/>
      <c r="B63" s="45"/>
      <c r="C63" s="46"/>
      <c r="D63" s="47"/>
      <c r="E63" s="56"/>
      <c r="F63" s="57"/>
      <c r="G63" s="50"/>
      <c r="H63" s="51"/>
      <c r="I63" s="45"/>
      <c r="J63" s="52"/>
      <c r="K63" s="53">
        <f t="shared" si="0"/>
        <v>0</v>
      </c>
      <c r="L63" s="58">
        <f>SUM(J33:J64)</f>
        <v>118</v>
      </c>
    </row>
    <row r="64" spans="1:12" s="59" customFormat="1" ht="20.100000000000001" customHeight="1" x14ac:dyDescent="0.3">
      <c r="A64" s="44"/>
      <c r="B64" s="45"/>
      <c r="C64" s="46"/>
      <c r="D64" s="47"/>
      <c r="E64" s="60"/>
      <c r="F64" s="61"/>
      <c r="G64" s="62"/>
      <c r="H64" s="51"/>
      <c r="I64" s="45"/>
      <c r="J64" s="63"/>
      <c r="K64" s="53">
        <f t="shared" si="0"/>
        <v>0</v>
      </c>
      <c r="L64" s="64">
        <f>SUM(K33:K64)</f>
        <v>812.63812699999994</v>
      </c>
    </row>
    <row r="65" spans="1:12" s="59" customFormat="1" ht="20.100000000000001" customHeight="1" thickBot="1" x14ac:dyDescent="0.35">
      <c r="A65" s="114"/>
      <c r="B65" s="115"/>
      <c r="C65" s="115"/>
      <c r="D65" s="115"/>
      <c r="E65" s="115"/>
      <c r="F65" s="115"/>
      <c r="G65" s="115"/>
      <c r="H65" s="115"/>
      <c r="I65" s="115"/>
      <c r="J65" s="65">
        <f>SUM(J7:J64)</f>
        <v>271</v>
      </c>
      <c r="K65" s="66">
        <f>SUM(K7:K64)</f>
        <v>1760.1288670000001</v>
      </c>
      <c r="L65" s="67"/>
    </row>
    <row r="66" spans="1:12" s="59" customFormat="1" ht="20.100000000000001" customHeight="1" thickTop="1" thickBot="1" x14ac:dyDescent="0.35">
      <c r="A66" s="116" t="s">
        <v>52</v>
      </c>
      <c r="B66" s="117"/>
      <c r="C66" s="68"/>
      <c r="D66" s="118">
        <f>J65</f>
        <v>271</v>
      </c>
      <c r="E66" s="119"/>
      <c r="F66" s="119"/>
      <c r="G66" s="120"/>
      <c r="H66" s="121"/>
      <c r="I66" s="121"/>
      <c r="J66" s="122"/>
      <c r="K66" s="119"/>
      <c r="L66" s="123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71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72"/>
      <c r="F72" s="5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5"/>
      <c r="G73" s="73"/>
      <c r="H73" s="5"/>
      <c r="I73" s="74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72"/>
      <c r="I77" s="72"/>
      <c r="J77" s="5"/>
      <c r="K77" s="5"/>
      <c r="L77" s="5"/>
    </row>
    <row r="78" spans="1:12" ht="20.100000000000001" customHeight="1" x14ac:dyDescent="0.3">
      <c r="A78" s="113"/>
      <c r="B78" s="113"/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H85" s="72"/>
      <c r="I85" s="72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J86" s="5"/>
      <c r="K86" s="5"/>
      <c r="L86" s="5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5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5" customFormat="1" ht="19.5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2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ht="19.5" customHeight="1" x14ac:dyDescent="0.3"/>
    <row r="94" spans="1:12" ht="19.5" customHeight="1" x14ac:dyDescent="0.3"/>
    <row r="95" spans="1:12" ht="19.5" customHeight="1" x14ac:dyDescent="0.3"/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>
        <v>2</v>
      </c>
      <c r="C156" s="5"/>
      <c r="D156" s="5"/>
      <c r="E156" s="5"/>
      <c r="F156" s="70"/>
      <c r="G156" s="5"/>
      <c r="H156" s="5"/>
      <c r="I156" s="5"/>
      <c r="J156" s="5"/>
      <c r="K156" s="5"/>
      <c r="L156" s="5"/>
    </row>
  </sheetData>
  <mergeCells count="30">
    <mergeCell ref="A81:B81"/>
    <mergeCell ref="A82:B82"/>
    <mergeCell ref="A72:B72"/>
    <mergeCell ref="A73:B73"/>
    <mergeCell ref="A74:B74"/>
    <mergeCell ref="A76:B76"/>
    <mergeCell ref="A77:B77"/>
    <mergeCell ref="A78:B78"/>
    <mergeCell ref="A71:B7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5:I65"/>
    <mergeCell ref="A66:B66"/>
    <mergeCell ref="D66:G66"/>
    <mergeCell ref="H66:J66"/>
    <mergeCell ref="K66:L66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L156"/>
  <sheetViews>
    <sheetView view="pageBreakPreview" topLeftCell="F40" zoomScale="85" zoomScaleSheetLayoutView="85" workbookViewId="0">
      <selection activeCell="L63" sqref="L63:L6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46084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4" si="0">(H7/1000*I7/1000)*J7</f>
        <v>0</v>
      </c>
      <c r="L7" s="26">
        <f>SUM(J7:J32)</f>
        <v>153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SUM(K7:K32)</f>
        <v>939.59184800000014</v>
      </c>
    </row>
    <row r="9" spans="1:12" s="27" customFormat="1" ht="19.5" customHeight="1" x14ac:dyDescent="0.3">
      <c r="A9" s="28" t="s">
        <v>1818</v>
      </c>
      <c r="B9" s="16" t="s">
        <v>1819</v>
      </c>
      <c r="C9" s="17">
        <v>22</v>
      </c>
      <c r="D9" s="18" t="s">
        <v>17</v>
      </c>
      <c r="E9" s="41">
        <v>10</v>
      </c>
      <c r="F9" s="42">
        <v>15.1</v>
      </c>
      <c r="G9" s="34" t="s">
        <v>18</v>
      </c>
      <c r="H9" s="35">
        <v>1829</v>
      </c>
      <c r="I9" s="36">
        <v>3353</v>
      </c>
      <c r="J9" s="37">
        <v>3</v>
      </c>
      <c r="K9" s="38">
        <f t="shared" si="0"/>
        <v>18.397911000000001</v>
      </c>
      <c r="L9" s="86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 t="s">
        <v>39</v>
      </c>
      <c r="H10" s="35">
        <v>1829</v>
      </c>
      <c r="I10" s="36">
        <v>3353</v>
      </c>
      <c r="J10" s="37">
        <v>3</v>
      </c>
      <c r="K10" s="38">
        <f t="shared" si="0"/>
        <v>18.397911000000001</v>
      </c>
      <c r="L10" s="86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38">
        <f t="shared" si="0"/>
        <v>0</v>
      </c>
      <c r="L11" s="86"/>
    </row>
    <row r="12" spans="1:12" s="27" customFormat="1" ht="19.5" customHeight="1" x14ac:dyDescent="0.3">
      <c r="A12" s="28" t="s">
        <v>1820</v>
      </c>
      <c r="B12" s="16" t="s">
        <v>694</v>
      </c>
      <c r="C12" s="17">
        <v>12</v>
      </c>
      <c r="D12" s="18" t="s">
        <v>570</v>
      </c>
      <c r="E12" s="41">
        <v>1</v>
      </c>
      <c r="F12" s="42">
        <v>0.45</v>
      </c>
      <c r="G12" s="34"/>
      <c r="H12" s="35"/>
      <c r="I12" s="36"/>
      <c r="J12" s="37"/>
      <c r="K12" s="38">
        <f t="shared" si="0"/>
        <v>0</v>
      </c>
      <c r="L12" s="39" t="s">
        <v>31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1821</v>
      </c>
      <c r="B14" s="16" t="s">
        <v>110</v>
      </c>
      <c r="C14" s="17">
        <v>10</v>
      </c>
      <c r="D14" s="18" t="s">
        <v>926</v>
      </c>
      <c r="E14" s="41">
        <v>10</v>
      </c>
      <c r="F14" s="42">
        <v>8.51</v>
      </c>
      <c r="G14" s="34" t="s">
        <v>927</v>
      </c>
      <c r="H14" s="35">
        <v>2438</v>
      </c>
      <c r="I14" s="36">
        <v>3048</v>
      </c>
      <c r="J14" s="37">
        <v>1</v>
      </c>
      <c r="K14" s="38">
        <f t="shared" si="0"/>
        <v>7.4310240000000007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1822</v>
      </c>
      <c r="B16" s="16" t="s">
        <v>306</v>
      </c>
      <c r="C16" s="17">
        <v>22</v>
      </c>
      <c r="D16" s="18" t="s">
        <v>307</v>
      </c>
      <c r="E16" s="81">
        <v>120</v>
      </c>
      <c r="F16" s="82">
        <v>94.72</v>
      </c>
      <c r="G16" s="34" t="s">
        <v>49</v>
      </c>
      <c r="H16" s="35">
        <v>1829</v>
      </c>
      <c r="I16" s="36">
        <v>3353</v>
      </c>
      <c r="J16" s="37">
        <v>16</v>
      </c>
      <c r="K16" s="38">
        <f t="shared" si="0"/>
        <v>98.122191999999998</v>
      </c>
      <c r="L16" s="39" t="s">
        <v>321</v>
      </c>
    </row>
    <row r="17" spans="1:12" s="27" customFormat="1" ht="19.5" customHeight="1" x14ac:dyDescent="0.3">
      <c r="A17" s="28"/>
      <c r="B17" s="16"/>
      <c r="C17" s="17">
        <v>22</v>
      </c>
      <c r="D17" s="18" t="s">
        <v>320</v>
      </c>
      <c r="E17" s="41">
        <v>120</v>
      </c>
      <c r="F17" s="42">
        <v>94.72</v>
      </c>
      <c r="G17" s="34" t="s">
        <v>18</v>
      </c>
      <c r="H17" s="35">
        <v>1829</v>
      </c>
      <c r="I17" s="36">
        <v>3353</v>
      </c>
      <c r="J17" s="37">
        <v>16</v>
      </c>
      <c r="K17" s="38">
        <f t="shared" si="0"/>
        <v>98.122191999999998</v>
      </c>
      <c r="L17" s="39" t="s">
        <v>321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39</v>
      </c>
      <c r="H18" s="35">
        <v>1829</v>
      </c>
      <c r="I18" s="36">
        <v>3353</v>
      </c>
      <c r="J18" s="37">
        <v>33</v>
      </c>
      <c r="K18" s="38">
        <f t="shared" si="0"/>
        <v>202.37702099999998</v>
      </c>
      <c r="L18" s="39" t="s">
        <v>321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1791</v>
      </c>
      <c r="B20" s="16" t="s">
        <v>306</v>
      </c>
      <c r="C20" s="17">
        <v>22</v>
      </c>
      <c r="D20" s="18" t="s">
        <v>307</v>
      </c>
      <c r="E20" s="41">
        <v>112</v>
      </c>
      <c r="F20" s="42">
        <v>92.96</v>
      </c>
      <c r="G20" s="34" t="s">
        <v>49</v>
      </c>
      <c r="H20" s="35">
        <v>1829</v>
      </c>
      <c r="I20" s="36">
        <v>3353</v>
      </c>
      <c r="J20" s="37">
        <v>17</v>
      </c>
      <c r="K20" s="38">
        <f t="shared" si="0"/>
        <v>104.254829</v>
      </c>
      <c r="L20" s="39" t="s">
        <v>465</v>
      </c>
    </row>
    <row r="21" spans="1:12" s="27" customFormat="1" ht="19.5" customHeight="1" x14ac:dyDescent="0.3">
      <c r="A21" s="28"/>
      <c r="B21" s="16"/>
      <c r="C21" s="17">
        <v>22</v>
      </c>
      <c r="D21" s="18" t="s">
        <v>320</v>
      </c>
      <c r="E21" s="41">
        <v>112</v>
      </c>
      <c r="F21" s="42">
        <v>92.96</v>
      </c>
      <c r="G21" s="34" t="s">
        <v>18</v>
      </c>
      <c r="H21" s="35">
        <v>1829</v>
      </c>
      <c r="I21" s="36">
        <v>3353</v>
      </c>
      <c r="J21" s="37">
        <v>16</v>
      </c>
      <c r="K21" s="38">
        <f t="shared" si="0"/>
        <v>98.122191999999998</v>
      </c>
      <c r="L21" s="39" t="s">
        <v>601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1823</v>
      </c>
      <c r="B23" s="16" t="s">
        <v>306</v>
      </c>
      <c r="C23" s="17">
        <v>22</v>
      </c>
      <c r="D23" s="18" t="s">
        <v>307</v>
      </c>
      <c r="E23" s="41">
        <v>112</v>
      </c>
      <c r="F23" s="42">
        <v>92</v>
      </c>
      <c r="G23" s="34" t="s">
        <v>49</v>
      </c>
      <c r="H23" s="35">
        <v>1829</v>
      </c>
      <c r="I23" s="36">
        <v>3353</v>
      </c>
      <c r="J23" s="37">
        <v>16</v>
      </c>
      <c r="K23" s="38">
        <f t="shared" si="0"/>
        <v>98.122191999999998</v>
      </c>
      <c r="L23" s="39" t="s">
        <v>465</v>
      </c>
    </row>
    <row r="24" spans="1:12" s="27" customFormat="1" ht="19.5" customHeight="1" x14ac:dyDescent="0.3">
      <c r="A24" s="28"/>
      <c r="B24" s="16"/>
      <c r="C24" s="17">
        <v>22</v>
      </c>
      <c r="D24" s="18" t="s">
        <v>320</v>
      </c>
      <c r="E24" s="41">
        <v>112</v>
      </c>
      <c r="F24" s="42">
        <v>92</v>
      </c>
      <c r="G24" s="34" t="s">
        <v>18</v>
      </c>
      <c r="H24" s="35">
        <v>1829</v>
      </c>
      <c r="I24" s="36">
        <v>3353</v>
      </c>
      <c r="J24" s="37">
        <v>16</v>
      </c>
      <c r="K24" s="38">
        <f t="shared" si="0"/>
        <v>98.122191999999998</v>
      </c>
      <c r="L24" s="39" t="s">
        <v>321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 t="s">
        <v>39</v>
      </c>
      <c r="H25" s="35">
        <v>1829</v>
      </c>
      <c r="I25" s="36">
        <v>3353</v>
      </c>
      <c r="J25" s="37">
        <v>16</v>
      </c>
      <c r="K25" s="38">
        <f t="shared" si="0"/>
        <v>98.122191999999998</v>
      </c>
      <c r="L25" s="39" t="s">
        <v>321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29"/>
      <c r="C32" s="30"/>
      <c r="D32" s="31"/>
      <c r="E32" s="41"/>
      <c r="F32" s="42"/>
      <c r="G32" s="43"/>
      <c r="H32" s="35"/>
      <c r="I32" s="36"/>
      <c r="J32" s="37"/>
      <c r="K32" s="38">
        <f t="shared" si="0"/>
        <v>0</v>
      </c>
      <c r="L32" s="39"/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1824</v>
      </c>
      <c r="B34" s="76" t="s">
        <v>1825</v>
      </c>
      <c r="C34" s="77">
        <v>24</v>
      </c>
      <c r="D34" s="47" t="s">
        <v>1826</v>
      </c>
      <c r="E34" s="48">
        <v>1</v>
      </c>
      <c r="F34" s="49">
        <v>0.28000000000000003</v>
      </c>
      <c r="G34" s="50"/>
      <c r="H34" s="51"/>
      <c r="I34" s="45"/>
      <c r="J34" s="52"/>
      <c r="K34" s="53">
        <f t="shared" si="0"/>
        <v>0</v>
      </c>
      <c r="L34" s="54" t="s">
        <v>31</v>
      </c>
    </row>
    <row r="35" spans="1:12" s="55" customFormat="1" ht="19.5" customHeight="1" x14ac:dyDescent="0.3">
      <c r="A35" s="44"/>
      <c r="B35" s="45"/>
      <c r="C35" s="77">
        <v>24</v>
      </c>
      <c r="D35" s="47" t="s">
        <v>1827</v>
      </c>
      <c r="E35" s="48">
        <v>1</v>
      </c>
      <c r="F35" s="49">
        <v>0.28000000000000003</v>
      </c>
      <c r="G35" s="50"/>
      <c r="H35" s="51"/>
      <c r="I35" s="45"/>
      <c r="J35" s="52"/>
      <c r="K35" s="53">
        <f t="shared" si="0"/>
        <v>0</v>
      </c>
      <c r="L35" s="54" t="s">
        <v>31</v>
      </c>
    </row>
    <row r="36" spans="1:12" s="55" customFormat="1" ht="19.5" customHeight="1" x14ac:dyDescent="0.3">
      <c r="A36" s="44"/>
      <c r="B36" s="76"/>
      <c r="C36" s="77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1828</v>
      </c>
      <c r="B37" s="76" t="s">
        <v>110</v>
      </c>
      <c r="C37" s="77">
        <v>24</v>
      </c>
      <c r="D37" s="47" t="s">
        <v>1829</v>
      </c>
      <c r="E37" s="48">
        <v>10</v>
      </c>
      <c r="F37" s="49">
        <v>7.4</v>
      </c>
      <c r="G37" s="50" t="s">
        <v>170</v>
      </c>
      <c r="H37" s="51">
        <v>2438</v>
      </c>
      <c r="I37" s="45">
        <v>3353</v>
      </c>
      <c r="J37" s="52">
        <v>1</v>
      </c>
      <c r="K37" s="53">
        <f t="shared" si="0"/>
        <v>8.174614</v>
      </c>
      <c r="L37" s="54"/>
    </row>
    <row r="38" spans="1:12" s="55" customFormat="1" ht="19.5" customHeight="1" x14ac:dyDescent="0.3">
      <c r="A38" s="44"/>
      <c r="B38" s="45"/>
      <c r="C38" s="77"/>
      <c r="D38" s="47"/>
      <c r="E38" s="48"/>
      <c r="F38" s="49"/>
      <c r="G38" s="50" t="s">
        <v>18</v>
      </c>
      <c r="H38" s="51">
        <v>2438</v>
      </c>
      <c r="I38" s="45">
        <v>3353</v>
      </c>
      <c r="J38" s="52">
        <v>1</v>
      </c>
      <c r="K38" s="53">
        <f t="shared" si="0"/>
        <v>8.174614</v>
      </c>
      <c r="L38" s="54"/>
    </row>
    <row r="39" spans="1:12" s="55" customFormat="1" ht="19.5" customHeight="1" x14ac:dyDescent="0.3">
      <c r="A39" s="44"/>
      <c r="B39" s="45"/>
      <c r="C39" s="77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1830</v>
      </c>
      <c r="B40" s="76" t="s">
        <v>1769</v>
      </c>
      <c r="C40" s="77">
        <v>22</v>
      </c>
      <c r="D40" s="47" t="s">
        <v>1771</v>
      </c>
      <c r="E40" s="48">
        <v>160</v>
      </c>
      <c r="F40" s="49">
        <v>121.8</v>
      </c>
      <c r="G40" s="50" t="s">
        <v>49</v>
      </c>
      <c r="H40" s="51">
        <v>1981</v>
      </c>
      <c r="I40" s="45">
        <v>3353</v>
      </c>
      <c r="J40" s="52">
        <v>20</v>
      </c>
      <c r="K40" s="53">
        <f t="shared" si="0"/>
        <v>132.84586000000002</v>
      </c>
      <c r="L40" s="54" t="s">
        <v>1472</v>
      </c>
    </row>
    <row r="41" spans="1:12" s="55" customFormat="1" ht="19.5" customHeight="1" x14ac:dyDescent="0.3">
      <c r="A41" s="44"/>
      <c r="B41" s="45"/>
      <c r="C41" s="77">
        <v>22</v>
      </c>
      <c r="D41" s="47" t="s">
        <v>1795</v>
      </c>
      <c r="E41" s="48">
        <v>160</v>
      </c>
      <c r="F41" s="49">
        <v>121.8</v>
      </c>
      <c r="G41" s="50" t="s">
        <v>18</v>
      </c>
      <c r="H41" s="51">
        <v>1981</v>
      </c>
      <c r="I41" s="45">
        <v>3353</v>
      </c>
      <c r="J41" s="52">
        <v>20</v>
      </c>
      <c r="K41" s="53">
        <f t="shared" si="0"/>
        <v>132.84586000000002</v>
      </c>
      <c r="L41" s="54" t="s">
        <v>1472</v>
      </c>
    </row>
    <row r="42" spans="1:12" s="55" customFormat="1" ht="19.5" customHeight="1" x14ac:dyDescent="0.3">
      <c r="A42" s="44"/>
      <c r="B42" s="45"/>
      <c r="C42" s="77"/>
      <c r="D42" s="47"/>
      <c r="E42" s="48"/>
      <c r="F42" s="49"/>
      <c r="G42" s="50" t="s">
        <v>39</v>
      </c>
      <c r="H42" s="51">
        <v>1981</v>
      </c>
      <c r="I42" s="45">
        <v>3353</v>
      </c>
      <c r="J42" s="52">
        <v>40</v>
      </c>
      <c r="K42" s="53">
        <f t="shared" si="0"/>
        <v>265.69172000000003</v>
      </c>
      <c r="L42" s="54" t="s">
        <v>1472</v>
      </c>
    </row>
    <row r="43" spans="1:12" s="55" customFormat="1" ht="19.5" customHeight="1" x14ac:dyDescent="0.3">
      <c r="A43" s="44"/>
      <c r="B43" s="76"/>
      <c r="C43" s="77"/>
      <c r="D43" s="47"/>
      <c r="E43" s="48"/>
      <c r="F43" s="49"/>
      <c r="G43" s="50"/>
      <c r="H43" s="51"/>
      <c r="I43" s="45"/>
      <c r="J43" s="52"/>
      <c r="K43" s="53">
        <f t="shared" ref="K43:K51" si="1">(H43/1000*I43/1000)*J43</f>
        <v>0</v>
      </c>
      <c r="L43" s="54"/>
    </row>
    <row r="44" spans="1:12" s="55" customFormat="1" ht="19.5" customHeight="1" x14ac:dyDescent="0.3">
      <c r="A44" s="44" t="s">
        <v>1801</v>
      </c>
      <c r="B44" s="76" t="s">
        <v>1769</v>
      </c>
      <c r="C44" s="77">
        <v>22</v>
      </c>
      <c r="D44" s="47" t="s">
        <v>1795</v>
      </c>
      <c r="E44" s="48">
        <v>160</v>
      </c>
      <c r="F44" s="49">
        <v>121.8</v>
      </c>
      <c r="G44" s="50" t="s">
        <v>18</v>
      </c>
      <c r="H44" s="51">
        <v>1981</v>
      </c>
      <c r="I44" s="45">
        <v>3353</v>
      </c>
      <c r="J44" s="52">
        <v>20</v>
      </c>
      <c r="K44" s="53">
        <f t="shared" si="1"/>
        <v>132.84586000000002</v>
      </c>
      <c r="L44" s="54" t="s">
        <v>1472</v>
      </c>
    </row>
    <row r="45" spans="1:12" s="55" customFormat="1" ht="19.5" customHeight="1" x14ac:dyDescent="0.3">
      <c r="A45" s="44"/>
      <c r="B45" s="76"/>
      <c r="C45" s="77"/>
      <c r="D45" s="47"/>
      <c r="E45" s="48"/>
      <c r="F45" s="49"/>
      <c r="G45" s="50" t="s">
        <v>39</v>
      </c>
      <c r="H45" s="51">
        <v>1981</v>
      </c>
      <c r="I45" s="45">
        <v>3353</v>
      </c>
      <c r="J45" s="52">
        <v>20</v>
      </c>
      <c r="K45" s="53">
        <f t="shared" si="1"/>
        <v>132.84586000000002</v>
      </c>
      <c r="L45" s="54" t="s">
        <v>1472</v>
      </c>
    </row>
    <row r="46" spans="1:12" s="55" customFormat="1" ht="19.5" customHeight="1" x14ac:dyDescent="0.3">
      <c r="A46" s="44"/>
      <c r="B46" s="76"/>
      <c r="C46" s="77"/>
      <c r="D46" s="47"/>
      <c r="E46" s="48"/>
      <c r="F46" s="49"/>
      <c r="G46" s="50"/>
      <c r="H46" s="51"/>
      <c r="I46" s="45"/>
      <c r="J46" s="52"/>
      <c r="K46" s="53">
        <f t="shared" si="1"/>
        <v>0</v>
      </c>
      <c r="L46" s="54"/>
    </row>
    <row r="47" spans="1:12" s="55" customFormat="1" ht="19.5" customHeight="1" x14ac:dyDescent="0.3">
      <c r="A47" s="44" t="s">
        <v>1745</v>
      </c>
      <c r="B47" s="76" t="s">
        <v>21</v>
      </c>
      <c r="C47" s="77">
        <v>25.76</v>
      </c>
      <c r="D47" s="47" t="s">
        <v>227</v>
      </c>
      <c r="E47" s="48">
        <v>108</v>
      </c>
      <c r="F47" s="49">
        <v>52.8</v>
      </c>
      <c r="G47" s="50" t="s">
        <v>19</v>
      </c>
      <c r="H47" s="51">
        <v>2134</v>
      </c>
      <c r="I47" s="45">
        <v>3353</v>
      </c>
      <c r="J47" s="52">
        <v>8</v>
      </c>
      <c r="K47" s="53">
        <f t="shared" si="1"/>
        <v>57.242415999999999</v>
      </c>
      <c r="L47" s="54"/>
    </row>
    <row r="48" spans="1:12" s="55" customFormat="1" ht="19.5" customHeight="1" x14ac:dyDescent="0.3">
      <c r="A48" s="44"/>
      <c r="B48" s="76"/>
      <c r="C48" s="77"/>
      <c r="D48" s="47"/>
      <c r="E48" s="48"/>
      <c r="F48" s="49"/>
      <c r="G48" s="50"/>
      <c r="H48" s="51"/>
      <c r="I48" s="45"/>
      <c r="J48" s="52"/>
      <c r="K48" s="53">
        <f t="shared" si="1"/>
        <v>0</v>
      </c>
      <c r="L48" s="54"/>
    </row>
    <row r="49" spans="1:12" s="55" customFormat="1" ht="19.5" customHeight="1" x14ac:dyDescent="0.3">
      <c r="A49" s="44" t="s">
        <v>1781</v>
      </c>
      <c r="B49" s="76" t="s">
        <v>21</v>
      </c>
      <c r="C49" s="77">
        <v>25.76</v>
      </c>
      <c r="D49" s="47" t="s">
        <v>227</v>
      </c>
      <c r="E49" s="48">
        <v>72</v>
      </c>
      <c r="F49" s="49">
        <v>43.56</v>
      </c>
      <c r="G49" s="50" t="s">
        <v>19</v>
      </c>
      <c r="H49" s="51">
        <v>2134</v>
      </c>
      <c r="I49" s="45">
        <v>3353</v>
      </c>
      <c r="J49" s="52">
        <v>7</v>
      </c>
      <c r="K49" s="53">
        <f t="shared" si="1"/>
        <v>50.087114</v>
      </c>
      <c r="L49" s="54"/>
    </row>
    <row r="50" spans="1:12" s="55" customFormat="1" ht="19.5" customHeight="1" x14ac:dyDescent="0.3">
      <c r="A50" s="44"/>
      <c r="B50" s="45"/>
      <c r="C50" s="77"/>
      <c r="D50" s="78"/>
      <c r="E50" s="48"/>
      <c r="F50" s="49"/>
      <c r="G50" s="50"/>
      <c r="H50" s="51"/>
      <c r="I50" s="45"/>
      <c r="J50" s="52"/>
      <c r="K50" s="53">
        <f t="shared" si="1"/>
        <v>0</v>
      </c>
      <c r="L50" s="54"/>
    </row>
    <row r="51" spans="1:12" s="55" customFormat="1" ht="19.5" customHeight="1" x14ac:dyDescent="0.3">
      <c r="A51" s="44" t="s">
        <v>1789</v>
      </c>
      <c r="B51" s="76" t="s">
        <v>1769</v>
      </c>
      <c r="C51" s="77">
        <v>22</v>
      </c>
      <c r="D51" s="47" t="s">
        <v>1795</v>
      </c>
      <c r="E51" s="48">
        <v>160</v>
      </c>
      <c r="F51" s="49">
        <v>121.8</v>
      </c>
      <c r="G51" s="50" t="s">
        <v>18</v>
      </c>
      <c r="H51" s="51">
        <v>1981</v>
      </c>
      <c r="I51" s="45">
        <v>3353</v>
      </c>
      <c r="J51" s="52">
        <v>20</v>
      </c>
      <c r="K51" s="53">
        <f t="shared" si="1"/>
        <v>132.84586000000002</v>
      </c>
      <c r="L51" s="54" t="s">
        <v>601</v>
      </c>
    </row>
    <row r="52" spans="1:12" s="55" customFormat="1" ht="19.5" customHeight="1" x14ac:dyDescent="0.3">
      <c r="A52" s="44"/>
      <c r="B52" s="45"/>
      <c r="C52" s="77"/>
      <c r="D52" s="78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/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9" customFormat="1" ht="20.100000000000001" customHeight="1" x14ac:dyDescent="0.3">
      <c r="A63" s="44"/>
      <c r="B63" s="45"/>
      <c r="C63" s="46"/>
      <c r="D63" s="47"/>
      <c r="E63" s="56"/>
      <c r="F63" s="57"/>
      <c r="G63" s="50"/>
      <c r="H63" s="51"/>
      <c r="I63" s="45"/>
      <c r="J63" s="52"/>
      <c r="K63" s="53">
        <f t="shared" si="0"/>
        <v>0</v>
      </c>
      <c r="L63" s="58">
        <f>SUM(J33:J64)</f>
        <v>157</v>
      </c>
    </row>
    <row r="64" spans="1:12" s="59" customFormat="1" ht="20.100000000000001" customHeight="1" x14ac:dyDescent="0.3">
      <c r="A64" s="44"/>
      <c r="B64" s="45"/>
      <c r="C64" s="46"/>
      <c r="D64" s="47"/>
      <c r="E64" s="60"/>
      <c r="F64" s="61"/>
      <c r="G64" s="62"/>
      <c r="H64" s="51"/>
      <c r="I64" s="45"/>
      <c r="J64" s="63"/>
      <c r="K64" s="53">
        <f t="shared" si="0"/>
        <v>0</v>
      </c>
      <c r="L64" s="64">
        <f>SUM(K33:K64)</f>
        <v>1053.5997780000002</v>
      </c>
    </row>
    <row r="65" spans="1:12" s="59" customFormat="1" ht="20.100000000000001" customHeight="1" thickBot="1" x14ac:dyDescent="0.35">
      <c r="A65" s="114"/>
      <c r="B65" s="115"/>
      <c r="C65" s="115"/>
      <c r="D65" s="115"/>
      <c r="E65" s="115"/>
      <c r="F65" s="115"/>
      <c r="G65" s="115"/>
      <c r="H65" s="115"/>
      <c r="I65" s="115"/>
      <c r="J65" s="65">
        <f>SUM(J7:J64)</f>
        <v>310</v>
      </c>
      <c r="K65" s="66">
        <f>SUM(K7:K64)</f>
        <v>1993.1916260000003</v>
      </c>
      <c r="L65" s="67"/>
    </row>
    <row r="66" spans="1:12" s="59" customFormat="1" ht="20.100000000000001" customHeight="1" thickTop="1" thickBot="1" x14ac:dyDescent="0.35">
      <c r="A66" s="116" t="s">
        <v>52</v>
      </c>
      <c r="B66" s="117"/>
      <c r="C66" s="68"/>
      <c r="D66" s="118">
        <f>J65</f>
        <v>310</v>
      </c>
      <c r="E66" s="119"/>
      <c r="F66" s="119"/>
      <c r="G66" s="120"/>
      <c r="H66" s="121"/>
      <c r="I66" s="121"/>
      <c r="J66" s="122"/>
      <c r="K66" s="119"/>
      <c r="L66" s="123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71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72"/>
      <c r="F72" s="5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5"/>
      <c r="G73" s="73"/>
      <c r="H73" s="5"/>
      <c r="I73" s="74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72"/>
      <c r="I77" s="72"/>
      <c r="J77" s="5"/>
      <c r="K77" s="5"/>
      <c r="L77" s="5"/>
    </row>
    <row r="78" spans="1:12" ht="20.100000000000001" customHeight="1" x14ac:dyDescent="0.3">
      <c r="A78" s="113"/>
      <c r="B78" s="113"/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H85" s="72"/>
      <c r="I85" s="72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J86" s="5"/>
      <c r="K86" s="5"/>
      <c r="L86" s="5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5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5" customFormat="1" ht="19.5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2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ht="19.5" customHeight="1" x14ac:dyDescent="0.3"/>
    <row r="94" spans="1:12" ht="19.5" customHeight="1" x14ac:dyDescent="0.3"/>
    <row r="95" spans="1:12" ht="19.5" customHeight="1" x14ac:dyDescent="0.3"/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>
        <v>2</v>
      </c>
      <c r="C156" s="5"/>
      <c r="D156" s="5"/>
      <c r="E156" s="5"/>
      <c r="F156" s="70"/>
      <c r="G156" s="5"/>
      <c r="H156" s="5"/>
      <c r="I156" s="5"/>
      <c r="J156" s="5"/>
      <c r="K156" s="5"/>
      <c r="L15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1:B7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5:I65"/>
    <mergeCell ref="A66:B66"/>
    <mergeCell ref="D66:G66"/>
    <mergeCell ref="H66:J66"/>
    <mergeCell ref="K66:L66"/>
    <mergeCell ref="A81:B81"/>
    <mergeCell ref="A82:B82"/>
    <mergeCell ref="A72:B72"/>
    <mergeCell ref="A73:B73"/>
    <mergeCell ref="A74:B74"/>
    <mergeCell ref="A76:B76"/>
    <mergeCell ref="A77:B77"/>
    <mergeCell ref="A78:B7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L162"/>
  <sheetViews>
    <sheetView view="pageBreakPreview" topLeftCell="A22" zoomScale="85" zoomScaleSheetLayoutView="85" workbookViewId="0">
      <selection activeCell="D48" sqref="D4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46080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0" si="0">(H7/1000*I7/1000)*J7</f>
        <v>0</v>
      </c>
      <c r="L7" s="26">
        <f>SUM(J7:J38)</f>
        <v>155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SUM(K7:K38)</f>
        <v>950.55873500000007</v>
      </c>
    </row>
    <row r="9" spans="1:12" s="27" customFormat="1" ht="19.5" customHeight="1" x14ac:dyDescent="0.3">
      <c r="A9" s="28" t="s">
        <v>1791</v>
      </c>
      <c r="B9" s="16" t="s">
        <v>1792</v>
      </c>
      <c r="C9" s="17">
        <v>22</v>
      </c>
      <c r="D9" s="18" t="s">
        <v>1793</v>
      </c>
      <c r="E9" s="41">
        <v>112</v>
      </c>
      <c r="F9" s="42">
        <v>92.96</v>
      </c>
      <c r="G9" s="34" t="s">
        <v>1794</v>
      </c>
      <c r="H9" s="35">
        <v>1829</v>
      </c>
      <c r="I9" s="36">
        <v>3353</v>
      </c>
      <c r="J9" s="37">
        <v>17</v>
      </c>
      <c r="K9" s="38">
        <f t="shared" si="0"/>
        <v>104.254829</v>
      </c>
      <c r="L9" s="86" t="s">
        <v>1800</v>
      </c>
    </row>
    <row r="10" spans="1:12" s="27" customFormat="1" ht="19.5" customHeight="1" x14ac:dyDescent="0.3">
      <c r="A10" s="28"/>
      <c r="B10" s="16"/>
      <c r="C10" s="17">
        <v>22</v>
      </c>
      <c r="D10" s="18" t="s">
        <v>1796</v>
      </c>
      <c r="E10" s="41">
        <v>112</v>
      </c>
      <c r="F10" s="42">
        <v>92.96</v>
      </c>
      <c r="G10" s="34" t="s">
        <v>1794</v>
      </c>
      <c r="H10" s="35">
        <v>1829</v>
      </c>
      <c r="I10" s="36">
        <v>3353</v>
      </c>
      <c r="J10" s="37">
        <v>16</v>
      </c>
      <c r="K10" s="38">
        <f t="shared" si="0"/>
        <v>98.122191999999998</v>
      </c>
      <c r="L10" s="86" t="s">
        <v>1800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38">
        <f t="shared" si="0"/>
        <v>0</v>
      </c>
      <c r="L11" s="86"/>
    </row>
    <row r="12" spans="1:12" s="27" customFormat="1" ht="19.5" customHeight="1" x14ac:dyDescent="0.3">
      <c r="A12" s="28" t="s">
        <v>1816</v>
      </c>
      <c r="B12" s="16" t="s">
        <v>1797</v>
      </c>
      <c r="C12" s="17">
        <v>22</v>
      </c>
      <c r="D12" s="18" t="s">
        <v>1793</v>
      </c>
      <c r="E12" s="41">
        <v>150</v>
      </c>
      <c r="F12" s="42">
        <v>118.4</v>
      </c>
      <c r="G12" s="34" t="s">
        <v>1120</v>
      </c>
      <c r="H12" s="35">
        <v>1829</v>
      </c>
      <c r="I12" s="36">
        <v>3353</v>
      </c>
      <c r="J12" s="37">
        <v>20</v>
      </c>
      <c r="K12" s="38">
        <f t="shared" si="0"/>
        <v>122.65273999999999</v>
      </c>
      <c r="L12" s="39" t="s">
        <v>1172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 t="s">
        <v>1794</v>
      </c>
      <c r="H13" s="35">
        <v>1829</v>
      </c>
      <c r="I13" s="36">
        <v>3353</v>
      </c>
      <c r="J13" s="37">
        <v>21</v>
      </c>
      <c r="K13" s="38">
        <f t="shared" si="0"/>
        <v>128.78537700000001</v>
      </c>
      <c r="L13" s="39" t="s">
        <v>1172</v>
      </c>
    </row>
    <row r="14" spans="1:12" s="27" customFormat="1" ht="19.5" customHeight="1" x14ac:dyDescent="0.3">
      <c r="A14" s="28"/>
      <c r="B14" s="16"/>
      <c r="C14" s="17">
        <v>22</v>
      </c>
      <c r="D14" s="18" t="s">
        <v>1796</v>
      </c>
      <c r="E14" s="41">
        <v>150</v>
      </c>
      <c r="F14" s="42">
        <v>118.4</v>
      </c>
      <c r="G14" s="34" t="s">
        <v>1798</v>
      </c>
      <c r="H14" s="35">
        <v>1829</v>
      </c>
      <c r="I14" s="36">
        <v>3353</v>
      </c>
      <c r="J14" s="37">
        <v>21</v>
      </c>
      <c r="K14" s="38">
        <f t="shared" si="0"/>
        <v>128.78537700000001</v>
      </c>
      <c r="L14" s="39" t="s">
        <v>1172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1794</v>
      </c>
      <c r="H15" s="35">
        <v>1829</v>
      </c>
      <c r="I15" s="36">
        <v>3353</v>
      </c>
      <c r="J15" s="37">
        <v>20</v>
      </c>
      <c r="K15" s="38">
        <f t="shared" si="0"/>
        <v>122.65273999999999</v>
      </c>
      <c r="L15" s="39" t="s">
        <v>1172</v>
      </c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1799</v>
      </c>
      <c r="B17" s="16" t="s">
        <v>1797</v>
      </c>
      <c r="C17" s="17">
        <v>22</v>
      </c>
      <c r="D17" s="18" t="s">
        <v>1796</v>
      </c>
      <c r="E17" s="41">
        <v>140</v>
      </c>
      <c r="F17" s="42">
        <v>115</v>
      </c>
      <c r="G17" s="34" t="s">
        <v>1798</v>
      </c>
      <c r="H17" s="35">
        <v>1829</v>
      </c>
      <c r="I17" s="36">
        <v>3353</v>
      </c>
      <c r="J17" s="37">
        <v>20</v>
      </c>
      <c r="K17" s="38">
        <f t="shared" si="0"/>
        <v>122.65273999999999</v>
      </c>
      <c r="L17" s="39" t="s">
        <v>1172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1794</v>
      </c>
      <c r="H18" s="35">
        <v>1829</v>
      </c>
      <c r="I18" s="36">
        <v>3353</v>
      </c>
      <c r="J18" s="37">
        <v>20</v>
      </c>
      <c r="K18" s="38">
        <f t="shared" si="0"/>
        <v>122.65273999999999</v>
      </c>
      <c r="L18" s="39" t="s">
        <v>1172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81"/>
      <c r="F32" s="82"/>
      <c r="G32" s="34"/>
      <c r="H32" s="35"/>
      <c r="I32" s="36"/>
      <c r="J32" s="37"/>
      <c r="K32" s="38">
        <f t="shared" si="0"/>
        <v>0</v>
      </c>
      <c r="L32" s="86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38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1801</v>
      </c>
      <c r="B40" s="76" t="s">
        <v>1769</v>
      </c>
      <c r="C40" s="77">
        <v>22</v>
      </c>
      <c r="D40" s="47" t="s">
        <v>1771</v>
      </c>
      <c r="E40" s="48">
        <v>160</v>
      </c>
      <c r="F40" s="49">
        <v>121.8</v>
      </c>
      <c r="G40" s="50" t="s">
        <v>452</v>
      </c>
      <c r="H40" s="51">
        <v>1981</v>
      </c>
      <c r="I40" s="45">
        <v>3353</v>
      </c>
      <c r="J40" s="52">
        <v>20</v>
      </c>
      <c r="K40" s="53">
        <f t="shared" si="0"/>
        <v>132.84586000000002</v>
      </c>
      <c r="L40" s="54" t="s">
        <v>1472</v>
      </c>
    </row>
    <row r="41" spans="1:12" s="55" customFormat="1" ht="19.5" customHeight="1" x14ac:dyDescent="0.3">
      <c r="A41" s="44"/>
      <c r="B41" s="45"/>
      <c r="C41" s="77"/>
      <c r="D41" s="47"/>
      <c r="E41" s="48"/>
      <c r="F41" s="49"/>
      <c r="G41" s="50" t="s">
        <v>286</v>
      </c>
      <c r="H41" s="51">
        <v>1981</v>
      </c>
      <c r="I41" s="45">
        <v>3353</v>
      </c>
      <c r="J41" s="52">
        <v>20</v>
      </c>
      <c r="K41" s="53">
        <f t="shared" si="0"/>
        <v>132.84586000000002</v>
      </c>
      <c r="L41" s="54" t="s">
        <v>1472</v>
      </c>
    </row>
    <row r="42" spans="1:12" s="55" customFormat="1" ht="19.5" customHeight="1" x14ac:dyDescent="0.3">
      <c r="A42" s="44"/>
      <c r="B42" s="76"/>
      <c r="C42" s="77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1802</v>
      </c>
      <c r="B43" s="76" t="s">
        <v>1803</v>
      </c>
      <c r="C43" s="77">
        <v>25</v>
      </c>
      <c r="D43" s="47" t="s">
        <v>1804</v>
      </c>
      <c r="E43" s="48">
        <v>1</v>
      </c>
      <c r="F43" s="49">
        <v>0.49</v>
      </c>
      <c r="G43" s="50" t="s">
        <v>1805</v>
      </c>
      <c r="H43" s="51">
        <v>2438</v>
      </c>
      <c r="I43" s="45">
        <v>3353</v>
      </c>
      <c r="J43" s="52">
        <v>1</v>
      </c>
      <c r="K43" s="53">
        <f t="shared" si="0"/>
        <v>8.174614</v>
      </c>
      <c r="L43" s="54"/>
    </row>
    <row r="44" spans="1:12" s="55" customFormat="1" ht="19.5" customHeight="1" x14ac:dyDescent="0.3">
      <c r="A44" s="44"/>
      <c r="B44" s="45"/>
      <c r="C44" s="77"/>
      <c r="D44" s="47"/>
      <c r="E44" s="48"/>
      <c r="F44" s="49"/>
      <c r="G44" s="50" t="s">
        <v>286</v>
      </c>
      <c r="H44" s="51"/>
      <c r="I44" s="45"/>
      <c r="J44" s="52"/>
      <c r="K44" s="53">
        <f t="shared" si="0"/>
        <v>0</v>
      </c>
      <c r="L44" s="54" t="s">
        <v>1806</v>
      </c>
    </row>
    <row r="45" spans="1:12" s="55" customFormat="1" ht="19.5" customHeight="1" x14ac:dyDescent="0.3">
      <c r="A45" s="44"/>
      <c r="B45" s="45"/>
      <c r="C45" s="77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1807</v>
      </c>
      <c r="B46" s="76" t="s">
        <v>1769</v>
      </c>
      <c r="C46" s="77">
        <v>22</v>
      </c>
      <c r="D46" s="47" t="s">
        <v>1771</v>
      </c>
      <c r="E46" s="48">
        <v>160</v>
      </c>
      <c r="F46" s="49">
        <v>121.8</v>
      </c>
      <c r="G46" s="50" t="s">
        <v>286</v>
      </c>
      <c r="H46" s="51">
        <v>1981</v>
      </c>
      <c r="I46" s="45">
        <v>3353</v>
      </c>
      <c r="J46" s="52">
        <v>20</v>
      </c>
      <c r="K46" s="53">
        <f t="shared" si="0"/>
        <v>132.84586000000002</v>
      </c>
      <c r="L46" s="54" t="s">
        <v>1817</v>
      </c>
    </row>
    <row r="47" spans="1:12" s="55" customFormat="1" ht="19.5" customHeight="1" x14ac:dyDescent="0.3">
      <c r="A47" s="44"/>
      <c r="B47" s="45"/>
      <c r="C47" s="77">
        <v>22</v>
      </c>
      <c r="D47" s="47" t="s">
        <v>1795</v>
      </c>
      <c r="E47" s="48">
        <v>160</v>
      </c>
      <c r="F47" s="49">
        <v>121.8</v>
      </c>
      <c r="G47" s="50" t="s">
        <v>286</v>
      </c>
      <c r="H47" s="51">
        <v>1981</v>
      </c>
      <c r="I47" s="45">
        <v>3353</v>
      </c>
      <c r="J47" s="52">
        <v>20</v>
      </c>
      <c r="K47" s="53">
        <f t="shared" si="0"/>
        <v>132.84586000000002</v>
      </c>
      <c r="L47" s="54" t="s">
        <v>1817</v>
      </c>
    </row>
    <row r="48" spans="1:12" s="55" customFormat="1" ht="19.5" customHeight="1" x14ac:dyDescent="0.3">
      <c r="A48" s="44"/>
      <c r="B48" s="45"/>
      <c r="C48" s="77"/>
      <c r="D48" s="47"/>
      <c r="E48" s="48"/>
      <c r="F48" s="49"/>
      <c r="G48" s="50"/>
      <c r="H48" s="51"/>
      <c r="I48" s="45"/>
      <c r="J48" s="52"/>
      <c r="K48" s="53"/>
      <c r="L48" s="54"/>
    </row>
    <row r="49" spans="1:12" s="55" customFormat="1" ht="19.5" customHeight="1" x14ac:dyDescent="0.3">
      <c r="A49" s="44" t="s">
        <v>1808</v>
      </c>
      <c r="B49" s="76" t="s">
        <v>1809</v>
      </c>
      <c r="C49" s="77">
        <v>25.76</v>
      </c>
      <c r="D49" s="47" t="s">
        <v>1810</v>
      </c>
      <c r="E49" s="48">
        <v>54</v>
      </c>
      <c r="F49" s="49">
        <v>31.32</v>
      </c>
      <c r="G49" s="50" t="s">
        <v>286</v>
      </c>
      <c r="H49" s="51">
        <v>2134</v>
      </c>
      <c r="I49" s="45">
        <v>3353</v>
      </c>
      <c r="J49" s="52">
        <v>5</v>
      </c>
      <c r="K49" s="53">
        <f t="shared" ref="K49" si="1">(H49/1000*I49/1000)*J49</f>
        <v>35.776510000000002</v>
      </c>
      <c r="L49" s="54" t="s">
        <v>1811</v>
      </c>
    </row>
    <row r="50" spans="1:12" s="55" customFormat="1" ht="19.5" customHeight="1" x14ac:dyDescent="0.3">
      <c r="A50" s="44"/>
      <c r="B50" s="45"/>
      <c r="C50" s="77"/>
      <c r="D50" s="47"/>
      <c r="E50" s="48"/>
      <c r="F50" s="49"/>
      <c r="G50" s="50"/>
      <c r="H50" s="51"/>
      <c r="I50" s="45"/>
      <c r="J50" s="52"/>
      <c r="K50" s="53"/>
      <c r="L50" s="54"/>
    </row>
    <row r="51" spans="1:12" s="55" customFormat="1" ht="19.5" customHeight="1" x14ac:dyDescent="0.3">
      <c r="A51" s="44" t="s">
        <v>1812</v>
      </c>
      <c r="B51" s="76" t="s">
        <v>1809</v>
      </c>
      <c r="C51" s="77">
        <v>25.76</v>
      </c>
      <c r="D51" s="47" t="s">
        <v>1810</v>
      </c>
      <c r="E51" s="48">
        <v>54</v>
      </c>
      <c r="F51" s="49">
        <v>27.72</v>
      </c>
      <c r="G51" s="50" t="s">
        <v>286</v>
      </c>
      <c r="H51" s="51">
        <v>2134</v>
      </c>
      <c r="I51" s="45">
        <v>3353</v>
      </c>
      <c r="J51" s="52">
        <v>4</v>
      </c>
      <c r="K51" s="53">
        <f t="shared" ref="K51:K57" si="2">(H51/1000*I51/1000)*J51</f>
        <v>28.621207999999999</v>
      </c>
      <c r="L51" s="54" t="s">
        <v>1811</v>
      </c>
    </row>
    <row r="52" spans="1:12" s="55" customFormat="1" ht="19.5" customHeight="1" x14ac:dyDescent="0.3">
      <c r="A52" s="44"/>
      <c r="B52" s="76"/>
      <c r="C52" s="77"/>
      <c r="D52" s="47"/>
      <c r="E52" s="48"/>
      <c r="F52" s="49"/>
      <c r="G52" s="50"/>
      <c r="H52" s="51"/>
      <c r="I52" s="45"/>
      <c r="J52" s="52"/>
      <c r="K52" s="53">
        <f t="shared" si="2"/>
        <v>0</v>
      </c>
      <c r="L52" s="54"/>
    </row>
    <row r="53" spans="1:12" s="55" customFormat="1" ht="19.5" customHeight="1" x14ac:dyDescent="0.3">
      <c r="A53" s="44" t="s">
        <v>1813</v>
      </c>
      <c r="B53" s="76" t="s">
        <v>1809</v>
      </c>
      <c r="C53" s="77">
        <v>25.76</v>
      </c>
      <c r="D53" s="47" t="s">
        <v>1810</v>
      </c>
      <c r="E53" s="48">
        <v>42</v>
      </c>
      <c r="F53" s="49">
        <v>20.04</v>
      </c>
      <c r="G53" s="50" t="s">
        <v>286</v>
      </c>
      <c r="H53" s="51">
        <v>2134</v>
      </c>
      <c r="I53" s="45">
        <v>3353</v>
      </c>
      <c r="J53" s="52">
        <v>3</v>
      </c>
      <c r="K53" s="53">
        <f t="shared" si="2"/>
        <v>21.465906</v>
      </c>
      <c r="L53" s="54" t="s">
        <v>1811</v>
      </c>
    </row>
    <row r="54" spans="1:12" s="55" customFormat="1" ht="19.5" customHeight="1" x14ac:dyDescent="0.3">
      <c r="A54" s="44"/>
      <c r="B54" s="76"/>
      <c r="C54" s="77"/>
      <c r="D54" s="47"/>
      <c r="E54" s="48"/>
      <c r="F54" s="49"/>
      <c r="G54" s="50"/>
      <c r="H54" s="51"/>
      <c r="I54" s="45"/>
      <c r="J54" s="52"/>
      <c r="K54" s="53">
        <f t="shared" si="2"/>
        <v>0</v>
      </c>
      <c r="L54" s="54"/>
    </row>
    <row r="55" spans="1:12" s="55" customFormat="1" ht="19.5" customHeight="1" x14ac:dyDescent="0.3">
      <c r="A55" s="44" t="s">
        <v>1814</v>
      </c>
      <c r="B55" s="76" t="s">
        <v>1809</v>
      </c>
      <c r="C55" s="77">
        <v>25.76</v>
      </c>
      <c r="D55" s="47" t="s">
        <v>1810</v>
      </c>
      <c r="E55" s="48">
        <v>84</v>
      </c>
      <c r="F55" s="49">
        <v>49.92</v>
      </c>
      <c r="G55" s="50" t="s">
        <v>286</v>
      </c>
      <c r="H55" s="51">
        <v>2134</v>
      </c>
      <c r="I55" s="45">
        <v>3353</v>
      </c>
      <c r="J55" s="52">
        <v>8</v>
      </c>
      <c r="K55" s="53">
        <f t="shared" si="2"/>
        <v>57.242415999999999</v>
      </c>
      <c r="L55" s="54" t="s">
        <v>1811</v>
      </c>
    </row>
    <row r="56" spans="1:12" s="55" customFormat="1" ht="19.5" customHeight="1" x14ac:dyDescent="0.3">
      <c r="A56" s="44"/>
      <c r="B56" s="45"/>
      <c r="C56" s="77"/>
      <c r="D56" s="78"/>
      <c r="E56" s="48"/>
      <c r="F56" s="49"/>
      <c r="G56" s="50"/>
      <c r="H56" s="51"/>
      <c r="I56" s="45"/>
      <c r="J56" s="52"/>
      <c r="K56" s="53">
        <f t="shared" si="2"/>
        <v>0</v>
      </c>
      <c r="L56" s="54"/>
    </row>
    <row r="57" spans="1:12" s="55" customFormat="1" ht="19.5" customHeight="1" x14ac:dyDescent="0.3">
      <c r="A57" s="44" t="s">
        <v>1815</v>
      </c>
      <c r="B57" s="76" t="s">
        <v>1809</v>
      </c>
      <c r="C57" s="77">
        <v>25.76</v>
      </c>
      <c r="D57" s="47" t="s">
        <v>1810</v>
      </c>
      <c r="E57" s="48">
        <v>54</v>
      </c>
      <c r="F57" s="49">
        <v>31.32</v>
      </c>
      <c r="G57" s="50" t="s">
        <v>286</v>
      </c>
      <c r="H57" s="51">
        <v>2134</v>
      </c>
      <c r="I57" s="45">
        <v>3353</v>
      </c>
      <c r="J57" s="52">
        <v>5</v>
      </c>
      <c r="K57" s="53">
        <f t="shared" si="2"/>
        <v>35.776510000000002</v>
      </c>
      <c r="L57" s="54" t="s">
        <v>1811</v>
      </c>
    </row>
    <row r="58" spans="1:12" s="55" customFormat="1" ht="19.5" customHeight="1" x14ac:dyDescent="0.3">
      <c r="A58" s="44"/>
      <c r="B58" s="45"/>
      <c r="C58" s="77"/>
      <c r="D58" s="78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76"/>
      <c r="C59" s="77"/>
      <c r="D59" s="47"/>
      <c r="E59" s="48"/>
      <c r="F59" s="49"/>
      <c r="G59" s="50"/>
      <c r="H59" s="51"/>
      <c r="I59" s="45"/>
      <c r="J59" s="52"/>
      <c r="K59" s="53"/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9" customFormat="1" ht="20.100000000000001" customHeight="1" x14ac:dyDescent="0.3">
      <c r="A69" s="44"/>
      <c r="B69" s="45"/>
      <c r="C69" s="46"/>
      <c r="D69" s="47"/>
      <c r="E69" s="56"/>
      <c r="F69" s="57"/>
      <c r="G69" s="50"/>
      <c r="H69" s="51"/>
      <c r="I69" s="45"/>
      <c r="J69" s="52"/>
      <c r="K69" s="53">
        <f t="shared" si="0"/>
        <v>0</v>
      </c>
      <c r="L69" s="58">
        <f>SUM(J39:J70)</f>
        <v>106</v>
      </c>
    </row>
    <row r="70" spans="1:12" s="59" customFormat="1" ht="20.100000000000001" customHeight="1" x14ac:dyDescent="0.3">
      <c r="A70" s="44"/>
      <c r="B70" s="45"/>
      <c r="C70" s="46"/>
      <c r="D70" s="47"/>
      <c r="E70" s="60"/>
      <c r="F70" s="61"/>
      <c r="G70" s="62"/>
      <c r="H70" s="51"/>
      <c r="I70" s="45"/>
      <c r="J70" s="63"/>
      <c r="K70" s="53">
        <f t="shared" si="0"/>
        <v>0</v>
      </c>
      <c r="L70" s="64">
        <f>SUM(K39:K70)</f>
        <v>718.44060400000023</v>
      </c>
    </row>
    <row r="71" spans="1:12" s="59" customFormat="1" ht="20.100000000000001" customHeight="1" thickBot="1" x14ac:dyDescent="0.35">
      <c r="A71" s="114"/>
      <c r="B71" s="115"/>
      <c r="C71" s="115"/>
      <c r="D71" s="115"/>
      <c r="E71" s="115"/>
      <c r="F71" s="115"/>
      <c r="G71" s="115"/>
      <c r="H71" s="115"/>
      <c r="I71" s="115"/>
      <c r="J71" s="65">
        <f>SUM(J7:J70)</f>
        <v>261</v>
      </c>
      <c r="K71" s="66">
        <f>SUM(K7:K70)</f>
        <v>1668.9993389999995</v>
      </c>
      <c r="L71" s="67"/>
    </row>
    <row r="72" spans="1:12" s="59" customFormat="1" ht="20.100000000000001" customHeight="1" thickTop="1" thickBot="1" x14ac:dyDescent="0.35">
      <c r="A72" s="116" t="s">
        <v>52</v>
      </c>
      <c r="B72" s="117"/>
      <c r="C72" s="68"/>
      <c r="D72" s="118">
        <f>J71</f>
        <v>261</v>
      </c>
      <c r="E72" s="119"/>
      <c r="F72" s="119"/>
      <c r="G72" s="120"/>
      <c r="H72" s="121"/>
      <c r="I72" s="121"/>
      <c r="J72" s="122"/>
      <c r="K72" s="119"/>
      <c r="L72" s="123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71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72"/>
      <c r="F78" s="5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5"/>
      <c r="G79" s="73"/>
      <c r="H79" s="5"/>
      <c r="I79" s="74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70"/>
      <c r="G83" s="5"/>
      <c r="H83" s="72"/>
      <c r="I83" s="72"/>
      <c r="J83" s="5"/>
      <c r="K83" s="5"/>
      <c r="L83" s="5"/>
    </row>
    <row r="84" spans="1:12" ht="20.100000000000001" customHeight="1" x14ac:dyDescent="0.3">
      <c r="A84" s="113"/>
      <c r="B84" s="113"/>
      <c r="H84" s="72"/>
      <c r="I84" s="72"/>
    </row>
    <row r="85" spans="1:12" ht="20.100000000000001" customHeight="1" x14ac:dyDescent="0.3"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A87" s="113"/>
      <c r="B87" s="113"/>
      <c r="H87" s="72"/>
      <c r="I87" s="72"/>
    </row>
    <row r="88" spans="1:12" ht="20.100000000000001" customHeight="1" x14ac:dyDescent="0.3">
      <c r="A88" s="113"/>
      <c r="B88" s="113"/>
      <c r="H88" s="72"/>
      <c r="I88" s="72"/>
    </row>
    <row r="89" spans="1:12" ht="20.100000000000001" customHeight="1" x14ac:dyDescent="0.3"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H91" s="72"/>
      <c r="I91" s="72"/>
    </row>
    <row r="92" spans="1:12" s="72" customFormat="1" ht="20.100000000000001" customHeight="1" x14ac:dyDescent="0.3">
      <c r="A92" s="69"/>
      <c r="B92" s="5"/>
      <c r="C92" s="5"/>
      <c r="D92" s="5"/>
      <c r="E92" s="5"/>
      <c r="F92" s="70"/>
      <c r="G92" s="5"/>
      <c r="J92" s="5"/>
      <c r="K92" s="5"/>
      <c r="L92" s="5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5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5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5" customFormat="1" ht="19.5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2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2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ht="19.5" customHeight="1" x14ac:dyDescent="0.3"/>
    <row r="100" spans="1:12" ht="19.5" customHeight="1" x14ac:dyDescent="0.3"/>
    <row r="101" spans="1:12" ht="19.5" customHeight="1" x14ac:dyDescent="0.3"/>
    <row r="102" spans="1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>
        <v>2</v>
      </c>
      <c r="C162" s="5"/>
      <c r="D162" s="5"/>
      <c r="E162" s="5"/>
      <c r="F162" s="70"/>
      <c r="G162" s="5"/>
      <c r="H162" s="5"/>
      <c r="I162" s="5"/>
      <c r="J162" s="5"/>
      <c r="K162" s="5"/>
      <c r="L162" s="5"/>
    </row>
  </sheetData>
  <mergeCells count="30">
    <mergeCell ref="A87:B87"/>
    <mergeCell ref="A88:B88"/>
    <mergeCell ref="A78:B78"/>
    <mergeCell ref="A79:B79"/>
    <mergeCell ref="A80:B80"/>
    <mergeCell ref="A82:B82"/>
    <mergeCell ref="A83:B83"/>
    <mergeCell ref="A84:B84"/>
    <mergeCell ref="A77:B77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1:I71"/>
    <mergeCell ref="A72:B72"/>
    <mergeCell ref="D72:G72"/>
    <mergeCell ref="H72:J72"/>
    <mergeCell ref="K72:L72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L162"/>
  <sheetViews>
    <sheetView view="pageBreakPreview" topLeftCell="A13" zoomScale="85" zoomScaleSheetLayoutView="85" workbookViewId="0">
      <selection activeCell="B18" sqref="B1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46079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0" si="0">(H7/1000*I7/1000)*J7</f>
        <v>0</v>
      </c>
      <c r="L7" s="26">
        <f>SUM(J7:J38)</f>
        <v>147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SUM(K7:K38)</f>
        <v>1047.1258559999999</v>
      </c>
    </row>
    <row r="9" spans="1:12" s="27" customFormat="1" ht="19.5" customHeight="1" x14ac:dyDescent="0.3">
      <c r="A9" s="28" t="s">
        <v>1749</v>
      </c>
      <c r="B9" s="16" t="s">
        <v>1750</v>
      </c>
      <c r="C9" s="17">
        <v>8</v>
      </c>
      <c r="D9" s="31" t="s">
        <v>1751</v>
      </c>
      <c r="E9" s="81">
        <v>1</v>
      </c>
      <c r="F9" s="82">
        <v>1</v>
      </c>
      <c r="G9" s="34"/>
      <c r="H9" s="35"/>
      <c r="I9" s="36"/>
      <c r="J9" s="37"/>
      <c r="K9" s="38">
        <f t="shared" si="0"/>
        <v>0</v>
      </c>
      <c r="L9" s="86" t="s">
        <v>1752</v>
      </c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86"/>
    </row>
    <row r="11" spans="1:12" s="27" customFormat="1" ht="19.5" customHeight="1" x14ac:dyDescent="0.3">
      <c r="A11" s="28" t="s">
        <v>1753</v>
      </c>
      <c r="B11" s="16" t="s">
        <v>1754</v>
      </c>
      <c r="C11" s="17">
        <v>22</v>
      </c>
      <c r="D11" s="18" t="s">
        <v>1755</v>
      </c>
      <c r="E11" s="81">
        <v>1</v>
      </c>
      <c r="F11" s="82">
        <v>0.35</v>
      </c>
      <c r="G11" s="34"/>
      <c r="H11" s="35"/>
      <c r="I11" s="36"/>
      <c r="J11" s="37"/>
      <c r="K11" s="38">
        <f t="shared" si="0"/>
        <v>0</v>
      </c>
      <c r="L11" s="86" t="s">
        <v>1752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1756</v>
      </c>
      <c r="B13" s="16" t="s">
        <v>1757</v>
      </c>
      <c r="C13" s="17">
        <v>24</v>
      </c>
      <c r="D13" s="18" t="s">
        <v>1755</v>
      </c>
      <c r="E13" s="41">
        <v>38</v>
      </c>
      <c r="F13" s="42">
        <v>37.520000000000003</v>
      </c>
      <c r="G13" s="34" t="s">
        <v>1759</v>
      </c>
      <c r="H13" s="35">
        <v>1981</v>
      </c>
      <c r="I13" s="36">
        <v>3353</v>
      </c>
      <c r="J13" s="37">
        <v>7</v>
      </c>
      <c r="K13" s="38">
        <f t="shared" si="0"/>
        <v>46.496051000000001</v>
      </c>
      <c r="L13" s="39"/>
    </row>
    <row r="14" spans="1:12" s="27" customFormat="1" ht="19.5" customHeight="1" x14ac:dyDescent="0.3">
      <c r="A14" s="28"/>
      <c r="B14" s="16"/>
      <c r="C14" s="17">
        <v>24</v>
      </c>
      <c r="D14" s="18" t="s">
        <v>1758</v>
      </c>
      <c r="E14" s="41">
        <v>38</v>
      </c>
      <c r="F14" s="42">
        <v>37.520000000000003</v>
      </c>
      <c r="G14" s="34" t="s">
        <v>1760</v>
      </c>
      <c r="H14" s="35">
        <v>2590</v>
      </c>
      <c r="I14" s="36">
        <v>3353</v>
      </c>
      <c r="J14" s="37">
        <v>2</v>
      </c>
      <c r="K14" s="38">
        <f t="shared" si="0"/>
        <v>17.368539999999996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1755</v>
      </c>
      <c r="E15" s="41">
        <v>8</v>
      </c>
      <c r="F15" s="42">
        <v>9.56</v>
      </c>
      <c r="G15" s="34" t="s">
        <v>1760</v>
      </c>
      <c r="H15" s="35">
        <v>2590</v>
      </c>
      <c r="I15" s="36">
        <v>3048</v>
      </c>
      <c r="J15" s="37">
        <v>3</v>
      </c>
      <c r="K15" s="38">
        <f t="shared" si="0"/>
        <v>23.682959999999998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 t="s">
        <v>1761</v>
      </c>
      <c r="H16" s="35">
        <v>1981</v>
      </c>
      <c r="I16" s="36">
        <v>3353</v>
      </c>
      <c r="J16" s="37">
        <v>13</v>
      </c>
      <c r="K16" s="38">
        <f t="shared" si="0"/>
        <v>86.349809000000008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81"/>
      <c r="F17" s="8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1762</v>
      </c>
      <c r="B18" s="16" t="s">
        <v>1757</v>
      </c>
      <c r="C18" s="17">
        <v>24</v>
      </c>
      <c r="D18" s="18" t="s">
        <v>1764</v>
      </c>
      <c r="E18" s="81">
        <v>2</v>
      </c>
      <c r="F18" s="82">
        <v>6.66</v>
      </c>
      <c r="G18" s="34" t="s">
        <v>1759</v>
      </c>
      <c r="H18" s="35">
        <v>1981</v>
      </c>
      <c r="I18" s="36">
        <v>3353</v>
      </c>
      <c r="J18" s="37">
        <v>8</v>
      </c>
      <c r="K18" s="38">
        <f t="shared" si="0"/>
        <v>53.138344000000004</v>
      </c>
      <c r="L18" s="39"/>
    </row>
    <row r="19" spans="1:12" s="27" customFormat="1" ht="19.5" customHeight="1" x14ac:dyDescent="0.3">
      <c r="A19" s="28"/>
      <c r="B19" s="16"/>
      <c r="C19" s="17">
        <v>24</v>
      </c>
      <c r="D19" s="18" t="s">
        <v>1755</v>
      </c>
      <c r="E19" s="41">
        <v>30</v>
      </c>
      <c r="F19" s="82">
        <v>29.68</v>
      </c>
      <c r="G19" s="34" t="s">
        <v>1760</v>
      </c>
      <c r="H19" s="35">
        <v>1981</v>
      </c>
      <c r="I19" s="36">
        <v>3353</v>
      </c>
      <c r="J19" s="37">
        <v>6</v>
      </c>
      <c r="K19" s="38">
        <f t="shared" si="0"/>
        <v>39.853757999999999</v>
      </c>
      <c r="L19" s="39"/>
    </row>
    <row r="20" spans="1:12" s="27" customFormat="1" ht="19.5" customHeight="1" x14ac:dyDescent="0.3">
      <c r="A20" s="28"/>
      <c r="B20" s="16"/>
      <c r="C20" s="17">
        <v>24</v>
      </c>
      <c r="D20" s="18" t="s">
        <v>1758</v>
      </c>
      <c r="E20" s="81">
        <v>32</v>
      </c>
      <c r="F20" s="82">
        <v>36.340000000000003</v>
      </c>
      <c r="G20" s="34" t="s">
        <v>1765</v>
      </c>
      <c r="H20" s="35">
        <v>1981</v>
      </c>
      <c r="I20" s="36">
        <v>3353</v>
      </c>
      <c r="J20" s="37">
        <v>2</v>
      </c>
      <c r="K20" s="38">
        <f t="shared" si="0"/>
        <v>13.284586000000001</v>
      </c>
      <c r="L20" s="39"/>
    </row>
    <row r="21" spans="1:12" s="27" customFormat="1" ht="19.5" customHeight="1" x14ac:dyDescent="0.3">
      <c r="A21" s="28"/>
      <c r="B21" s="16"/>
      <c r="C21" s="17">
        <v>22</v>
      </c>
      <c r="D21" s="18" t="s">
        <v>1755</v>
      </c>
      <c r="E21" s="41">
        <v>8</v>
      </c>
      <c r="F21" s="42">
        <v>9.1999999999999993</v>
      </c>
      <c r="G21" s="34" t="s">
        <v>1761</v>
      </c>
      <c r="H21" s="35">
        <v>1981</v>
      </c>
      <c r="I21" s="36">
        <v>3353</v>
      </c>
      <c r="J21" s="37">
        <v>12</v>
      </c>
      <c r="K21" s="38">
        <f t="shared" si="0"/>
        <v>79.707515999999998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1683</v>
      </c>
      <c r="B23" s="16" t="s">
        <v>1684</v>
      </c>
      <c r="C23" s="17">
        <v>26</v>
      </c>
      <c r="D23" s="18" t="s">
        <v>289</v>
      </c>
      <c r="E23" s="41">
        <v>272</v>
      </c>
      <c r="F23" s="42">
        <v>178</v>
      </c>
      <c r="G23" s="34" t="s">
        <v>1760</v>
      </c>
      <c r="H23" s="35">
        <v>2438</v>
      </c>
      <c r="I23" s="36">
        <v>3353</v>
      </c>
      <c r="J23" s="37">
        <v>22</v>
      </c>
      <c r="K23" s="38">
        <f t="shared" si="0"/>
        <v>179.841508</v>
      </c>
      <c r="L23" s="39" t="s">
        <v>1766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1760</v>
      </c>
      <c r="H24" s="35">
        <v>2590</v>
      </c>
      <c r="I24" s="36">
        <v>3353</v>
      </c>
      <c r="J24" s="37">
        <v>1</v>
      </c>
      <c r="K24" s="38">
        <f t="shared" si="0"/>
        <v>8.6842699999999979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 t="s">
        <v>1688</v>
      </c>
      <c r="B26" s="16" t="s">
        <v>1684</v>
      </c>
      <c r="C26" s="17">
        <v>26</v>
      </c>
      <c r="D26" s="18" t="s">
        <v>289</v>
      </c>
      <c r="E26" s="41">
        <v>288</v>
      </c>
      <c r="F26" s="42">
        <v>153.36000000000001</v>
      </c>
      <c r="G26" s="34" t="s">
        <v>1760</v>
      </c>
      <c r="H26" s="35">
        <v>2438</v>
      </c>
      <c r="I26" s="36">
        <v>3353</v>
      </c>
      <c r="J26" s="37">
        <v>20</v>
      </c>
      <c r="K26" s="38">
        <f t="shared" si="0"/>
        <v>163.49227999999999</v>
      </c>
      <c r="L26" s="39" t="s">
        <v>1766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 t="s">
        <v>1767</v>
      </c>
      <c r="B28" s="16" t="s">
        <v>1684</v>
      </c>
      <c r="C28" s="17">
        <v>26</v>
      </c>
      <c r="D28" s="18" t="s">
        <v>289</v>
      </c>
      <c r="E28" s="41">
        <v>153</v>
      </c>
      <c r="F28" s="42">
        <v>83.45</v>
      </c>
      <c r="G28" s="34" t="s">
        <v>1760</v>
      </c>
      <c r="H28" s="35">
        <v>2438</v>
      </c>
      <c r="I28" s="36">
        <v>3353</v>
      </c>
      <c r="J28" s="37">
        <v>11</v>
      </c>
      <c r="K28" s="38">
        <f t="shared" si="0"/>
        <v>89.920754000000002</v>
      </c>
      <c r="L28" s="39" t="s">
        <v>1766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 t="s">
        <v>1768</v>
      </c>
      <c r="B30" s="16" t="s">
        <v>1770</v>
      </c>
      <c r="C30" s="17">
        <v>22</v>
      </c>
      <c r="D30" s="18" t="s">
        <v>1772</v>
      </c>
      <c r="E30" s="41">
        <v>140</v>
      </c>
      <c r="F30" s="42">
        <v>115</v>
      </c>
      <c r="G30" s="34" t="s">
        <v>1759</v>
      </c>
      <c r="H30" s="35">
        <v>1829</v>
      </c>
      <c r="I30" s="36">
        <v>3353</v>
      </c>
      <c r="J30" s="37">
        <v>20</v>
      </c>
      <c r="K30" s="38">
        <f t="shared" si="0"/>
        <v>122.65273999999999</v>
      </c>
      <c r="L30" s="39" t="s">
        <v>1774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 t="s">
        <v>1773</v>
      </c>
      <c r="H31" s="35">
        <v>1829</v>
      </c>
      <c r="I31" s="36">
        <v>3353</v>
      </c>
      <c r="J31" s="37">
        <v>20</v>
      </c>
      <c r="K31" s="38">
        <f t="shared" si="0"/>
        <v>122.65273999999999</v>
      </c>
      <c r="L31" s="39" t="s">
        <v>1774</v>
      </c>
    </row>
    <row r="32" spans="1:12" s="27" customFormat="1" ht="19.5" customHeight="1" x14ac:dyDescent="0.3">
      <c r="A32" s="28"/>
      <c r="B32" s="16"/>
      <c r="C32" s="17"/>
      <c r="D32" s="18"/>
      <c r="E32" s="81"/>
      <c r="F32" s="82"/>
      <c r="G32" s="34"/>
      <c r="H32" s="35"/>
      <c r="I32" s="36"/>
      <c r="J32" s="37"/>
      <c r="K32" s="38">
        <f t="shared" si="0"/>
        <v>0</v>
      </c>
      <c r="L32" s="86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38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1775</v>
      </c>
      <c r="B40" s="76" t="s">
        <v>1776</v>
      </c>
      <c r="C40" s="77">
        <v>22</v>
      </c>
      <c r="D40" s="47" t="s">
        <v>1777</v>
      </c>
      <c r="E40" s="48">
        <v>18</v>
      </c>
      <c r="F40" s="49">
        <v>19.8</v>
      </c>
      <c r="G40" s="50" t="s">
        <v>1760</v>
      </c>
      <c r="H40" s="51">
        <v>2590</v>
      </c>
      <c r="I40" s="45">
        <v>3048</v>
      </c>
      <c r="J40" s="52">
        <v>3</v>
      </c>
      <c r="K40" s="53">
        <f t="shared" si="0"/>
        <v>23.682959999999998</v>
      </c>
      <c r="L40" s="54"/>
    </row>
    <row r="41" spans="1:12" s="55" customFormat="1" ht="19.5" customHeight="1" x14ac:dyDescent="0.3">
      <c r="A41" s="44"/>
      <c r="B41" s="45"/>
      <c r="C41" s="77">
        <v>46.76</v>
      </c>
      <c r="D41" s="47" t="s">
        <v>1778</v>
      </c>
      <c r="E41" s="48">
        <v>6</v>
      </c>
      <c r="F41" s="49">
        <v>2.7</v>
      </c>
      <c r="G41" s="50" t="s">
        <v>1761</v>
      </c>
      <c r="H41" s="51">
        <v>1981</v>
      </c>
      <c r="I41" s="45">
        <v>3353</v>
      </c>
      <c r="J41" s="52">
        <v>4</v>
      </c>
      <c r="K41" s="53">
        <f t="shared" si="0"/>
        <v>26.569172000000002</v>
      </c>
      <c r="L41" s="54" t="s">
        <v>1780</v>
      </c>
    </row>
    <row r="42" spans="1:12" s="55" customFormat="1" ht="19.5" customHeight="1" x14ac:dyDescent="0.3">
      <c r="A42" s="44"/>
      <c r="B42" s="76"/>
      <c r="C42" s="77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/>
      <c r="B43" s="76"/>
      <c r="C43" s="77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1779</v>
      </c>
      <c r="B44" s="76" t="s">
        <v>1776</v>
      </c>
      <c r="C44" s="77">
        <v>22</v>
      </c>
      <c r="D44" s="47" t="s">
        <v>1777</v>
      </c>
      <c r="E44" s="48">
        <v>24</v>
      </c>
      <c r="F44" s="49">
        <v>33.840000000000003</v>
      </c>
      <c r="G44" s="50" t="s">
        <v>1760</v>
      </c>
      <c r="H44" s="51">
        <v>2590</v>
      </c>
      <c r="I44" s="45">
        <v>3048</v>
      </c>
      <c r="J44" s="52">
        <v>5</v>
      </c>
      <c r="K44" s="53">
        <f t="shared" si="0"/>
        <v>39.471599999999995</v>
      </c>
      <c r="L44" s="54"/>
    </row>
    <row r="45" spans="1:12" s="55" customFormat="1" ht="19.5" customHeight="1" x14ac:dyDescent="0.3">
      <c r="A45" s="44"/>
      <c r="B45" s="45"/>
      <c r="C45" s="77">
        <v>46.76</v>
      </c>
      <c r="D45" s="47" t="s">
        <v>1778</v>
      </c>
      <c r="E45" s="48">
        <v>12</v>
      </c>
      <c r="F45" s="49">
        <v>4.8</v>
      </c>
      <c r="G45" s="50" t="s">
        <v>1761</v>
      </c>
      <c r="H45" s="51">
        <v>1981</v>
      </c>
      <c r="I45" s="45">
        <v>3353</v>
      </c>
      <c r="J45" s="52">
        <v>7</v>
      </c>
      <c r="K45" s="53">
        <f t="shared" si="0"/>
        <v>46.496051000000001</v>
      </c>
      <c r="L45" s="54" t="s">
        <v>1780</v>
      </c>
    </row>
    <row r="46" spans="1:12" s="55" customFormat="1" ht="19.5" customHeight="1" x14ac:dyDescent="0.3">
      <c r="A46" s="44"/>
      <c r="B46" s="45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1781</v>
      </c>
      <c r="B47" s="76" t="s">
        <v>1776</v>
      </c>
      <c r="C47" s="77">
        <v>22</v>
      </c>
      <c r="D47" s="47" t="s">
        <v>1777</v>
      </c>
      <c r="E47" s="48">
        <v>36</v>
      </c>
      <c r="F47" s="49">
        <v>39.6</v>
      </c>
      <c r="G47" s="50" t="s">
        <v>1760</v>
      </c>
      <c r="H47" s="51">
        <v>2590</v>
      </c>
      <c r="I47" s="45">
        <v>3048</v>
      </c>
      <c r="J47" s="52">
        <v>3</v>
      </c>
      <c r="K47" s="53">
        <f t="shared" si="0"/>
        <v>23.682959999999998</v>
      </c>
      <c r="L47" s="54"/>
    </row>
    <row r="48" spans="1:12" s="55" customFormat="1" ht="19.5" customHeight="1" x14ac:dyDescent="0.3">
      <c r="A48" s="44"/>
      <c r="B48" s="45"/>
      <c r="C48" s="77">
        <v>46.76</v>
      </c>
      <c r="D48" s="47" t="s">
        <v>1778</v>
      </c>
      <c r="E48" s="48">
        <v>12</v>
      </c>
      <c r="F48" s="49">
        <v>5.4</v>
      </c>
      <c r="G48" s="50" t="s">
        <v>1760</v>
      </c>
      <c r="H48" s="51">
        <v>2134</v>
      </c>
      <c r="I48" s="45">
        <v>3353</v>
      </c>
      <c r="J48" s="52">
        <v>3</v>
      </c>
      <c r="K48" s="53">
        <f t="shared" si="0"/>
        <v>21.465906</v>
      </c>
      <c r="L48" s="54" t="s">
        <v>1780</v>
      </c>
    </row>
    <row r="49" spans="1:12" s="55" customFormat="1" ht="19.5" customHeight="1" x14ac:dyDescent="0.3">
      <c r="A49" s="44"/>
      <c r="B49" s="76"/>
      <c r="C49" s="77"/>
      <c r="D49" s="47"/>
      <c r="E49" s="48"/>
      <c r="F49" s="49"/>
      <c r="G49" s="50" t="s">
        <v>1761</v>
      </c>
      <c r="H49" s="51">
        <v>1981</v>
      </c>
      <c r="I49" s="45">
        <v>3353</v>
      </c>
      <c r="J49" s="52">
        <v>8</v>
      </c>
      <c r="K49" s="53">
        <f t="shared" si="0"/>
        <v>53.138344000000004</v>
      </c>
      <c r="L49" s="54"/>
    </row>
    <row r="50" spans="1:12" s="55" customFormat="1" ht="19.5" customHeight="1" x14ac:dyDescent="0.3">
      <c r="A50" s="44"/>
      <c r="B50" s="76"/>
      <c r="C50" s="77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1775</v>
      </c>
      <c r="B51" s="76" t="s">
        <v>1776</v>
      </c>
      <c r="C51" s="77">
        <v>46.76</v>
      </c>
      <c r="D51" s="47" t="s">
        <v>1778</v>
      </c>
      <c r="E51" s="48">
        <v>6</v>
      </c>
      <c r="F51" s="49">
        <v>2.7</v>
      </c>
      <c r="G51" s="50" t="s">
        <v>1765</v>
      </c>
      <c r="H51" s="51">
        <v>1981</v>
      </c>
      <c r="I51" s="45">
        <v>3353</v>
      </c>
      <c r="J51" s="52">
        <v>2</v>
      </c>
      <c r="K51" s="53">
        <f t="shared" si="0"/>
        <v>13.284586000000001</v>
      </c>
      <c r="L51" s="54" t="s">
        <v>1782</v>
      </c>
    </row>
    <row r="52" spans="1:12" s="55" customFormat="1" ht="19.5" customHeight="1" x14ac:dyDescent="0.3">
      <c r="A52" s="44" t="s">
        <v>1779</v>
      </c>
      <c r="B52" s="76" t="s">
        <v>1776</v>
      </c>
      <c r="C52" s="77">
        <v>46.76</v>
      </c>
      <c r="D52" s="47" t="s">
        <v>1778</v>
      </c>
      <c r="E52" s="48">
        <v>12</v>
      </c>
      <c r="F52" s="49">
        <v>4.8</v>
      </c>
      <c r="G52" s="50"/>
      <c r="H52" s="51"/>
      <c r="I52" s="45"/>
      <c r="J52" s="52"/>
      <c r="K52" s="53">
        <f t="shared" si="0"/>
        <v>0</v>
      </c>
      <c r="L52" s="54" t="s">
        <v>1782</v>
      </c>
    </row>
    <row r="53" spans="1:12" s="55" customFormat="1" ht="19.5" customHeight="1" x14ac:dyDescent="0.3">
      <c r="A53" s="44" t="s">
        <v>1781</v>
      </c>
      <c r="B53" s="76" t="s">
        <v>1776</v>
      </c>
      <c r="C53" s="77">
        <v>46.76</v>
      </c>
      <c r="D53" s="47" t="s">
        <v>1778</v>
      </c>
      <c r="E53" s="48">
        <v>12</v>
      </c>
      <c r="F53" s="49">
        <v>5.4</v>
      </c>
      <c r="G53" s="50"/>
      <c r="H53" s="51"/>
      <c r="I53" s="45"/>
      <c r="J53" s="52"/>
      <c r="K53" s="53">
        <f t="shared" si="0"/>
        <v>0</v>
      </c>
      <c r="L53" s="54" t="s">
        <v>1782</v>
      </c>
    </row>
    <row r="54" spans="1:12" s="55" customFormat="1" ht="19.5" customHeight="1" x14ac:dyDescent="0.3">
      <c r="A54" s="44"/>
      <c r="B54" s="76"/>
      <c r="C54" s="77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1781</v>
      </c>
      <c r="B55" s="76" t="s">
        <v>1776</v>
      </c>
      <c r="C55" s="77">
        <v>22</v>
      </c>
      <c r="D55" s="47" t="s">
        <v>1758</v>
      </c>
      <c r="E55" s="48">
        <v>312</v>
      </c>
      <c r="F55" s="49">
        <v>255.18</v>
      </c>
      <c r="G55" s="50" t="s">
        <v>1760</v>
      </c>
      <c r="H55" s="51">
        <v>2590</v>
      </c>
      <c r="I55" s="45">
        <v>3048</v>
      </c>
      <c r="J55" s="52">
        <v>35</v>
      </c>
      <c r="K55" s="53">
        <f t="shared" si="0"/>
        <v>276.30119999999999</v>
      </c>
      <c r="L55" s="54"/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 t="s">
        <v>1761</v>
      </c>
      <c r="H56" s="51">
        <v>1981</v>
      </c>
      <c r="I56" s="45">
        <v>3353</v>
      </c>
      <c r="J56" s="52">
        <v>42</v>
      </c>
      <c r="K56" s="53">
        <f t="shared" si="0"/>
        <v>278.97630600000002</v>
      </c>
      <c r="L56" s="54"/>
    </row>
    <row r="57" spans="1:12" s="55" customFormat="1" ht="19.5" customHeight="1" x14ac:dyDescent="0.3">
      <c r="A57" s="44"/>
      <c r="B57" s="45"/>
      <c r="C57" s="77"/>
      <c r="D57" s="78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1783</v>
      </c>
      <c r="B58" s="45" t="s">
        <v>1784</v>
      </c>
      <c r="C58" s="77">
        <v>24</v>
      </c>
      <c r="D58" s="78" t="s">
        <v>1785</v>
      </c>
      <c r="E58" s="48">
        <v>1</v>
      </c>
      <c r="F58" s="49">
        <v>1.23</v>
      </c>
      <c r="G58" s="50"/>
      <c r="H58" s="51"/>
      <c r="I58" s="45"/>
      <c r="J58" s="52"/>
      <c r="K58" s="53">
        <f t="shared" si="0"/>
        <v>0</v>
      </c>
      <c r="L58" s="54" t="s">
        <v>1752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1786</v>
      </c>
      <c r="B60" s="45" t="s">
        <v>1787</v>
      </c>
      <c r="C60" s="46">
        <v>22</v>
      </c>
      <c r="D60" s="47" t="s">
        <v>1763</v>
      </c>
      <c r="E60" s="48">
        <v>8</v>
      </c>
      <c r="F60" s="49">
        <v>4.72</v>
      </c>
      <c r="G60" s="50" t="s">
        <v>1759</v>
      </c>
      <c r="H60" s="51">
        <v>1829</v>
      </c>
      <c r="I60" s="45">
        <v>3353</v>
      </c>
      <c r="J60" s="52">
        <v>1</v>
      </c>
      <c r="K60" s="53">
        <f t="shared" si="0"/>
        <v>6.1326369999999999</v>
      </c>
      <c r="L60" s="54" t="s">
        <v>1788</v>
      </c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ref="K61:K68" si="1">(H61/1000*I61/1000)*J61</f>
        <v>0</v>
      </c>
      <c r="L61" s="54"/>
    </row>
    <row r="62" spans="1:12" s="55" customFormat="1" ht="19.5" customHeight="1" x14ac:dyDescent="0.3">
      <c r="A62" s="44" t="s">
        <v>1789</v>
      </c>
      <c r="B62" s="45" t="s">
        <v>1769</v>
      </c>
      <c r="C62" s="46">
        <v>22</v>
      </c>
      <c r="D62" s="47" t="s">
        <v>1771</v>
      </c>
      <c r="E62" s="48">
        <v>160</v>
      </c>
      <c r="F62" s="49">
        <v>121.8</v>
      </c>
      <c r="G62" s="50" t="s">
        <v>1759</v>
      </c>
      <c r="H62" s="51">
        <v>1981</v>
      </c>
      <c r="I62" s="45">
        <v>3353</v>
      </c>
      <c r="J62" s="52">
        <v>20</v>
      </c>
      <c r="K62" s="53">
        <f t="shared" si="1"/>
        <v>132.84586000000002</v>
      </c>
      <c r="L62" s="54" t="s">
        <v>1790</v>
      </c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1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1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1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1"/>
        <v>0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1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1"/>
        <v>0</v>
      </c>
      <c r="L68" s="54"/>
    </row>
    <row r="69" spans="1:12" s="59" customFormat="1" ht="20.100000000000001" customHeight="1" x14ac:dyDescent="0.3">
      <c r="A69" s="44"/>
      <c r="B69" s="45"/>
      <c r="C69" s="46"/>
      <c r="D69" s="47"/>
      <c r="E69" s="56"/>
      <c r="F69" s="57"/>
      <c r="G69" s="50"/>
      <c r="H69" s="51"/>
      <c r="I69" s="45"/>
      <c r="J69" s="52"/>
      <c r="K69" s="53">
        <f t="shared" si="0"/>
        <v>0</v>
      </c>
      <c r="L69" s="58">
        <f>SUM(J39:J70)</f>
        <v>133</v>
      </c>
    </row>
    <row r="70" spans="1:12" s="59" customFormat="1" ht="20.100000000000001" customHeight="1" x14ac:dyDescent="0.3">
      <c r="A70" s="44"/>
      <c r="B70" s="45"/>
      <c r="C70" s="46"/>
      <c r="D70" s="47"/>
      <c r="E70" s="60"/>
      <c r="F70" s="61"/>
      <c r="G70" s="62"/>
      <c r="H70" s="51"/>
      <c r="I70" s="45"/>
      <c r="J70" s="63"/>
      <c r="K70" s="53">
        <f t="shared" si="0"/>
        <v>0</v>
      </c>
      <c r="L70" s="64">
        <f>SUM(K39:K70)</f>
        <v>942.04758200000015</v>
      </c>
    </row>
    <row r="71" spans="1:12" s="59" customFormat="1" ht="20.100000000000001" customHeight="1" thickBot="1" x14ac:dyDescent="0.35">
      <c r="A71" s="114"/>
      <c r="B71" s="115"/>
      <c r="C71" s="115"/>
      <c r="D71" s="115"/>
      <c r="E71" s="115"/>
      <c r="F71" s="115"/>
      <c r="G71" s="115"/>
      <c r="H71" s="115"/>
      <c r="I71" s="115"/>
      <c r="J71" s="65">
        <f>SUM(J7:J70)</f>
        <v>280</v>
      </c>
      <c r="K71" s="66">
        <f>SUM(K7:K70)</f>
        <v>1989.1734380000003</v>
      </c>
      <c r="L71" s="67"/>
    </row>
    <row r="72" spans="1:12" s="59" customFormat="1" ht="20.100000000000001" customHeight="1" thickTop="1" thickBot="1" x14ac:dyDescent="0.35">
      <c r="A72" s="116" t="s">
        <v>52</v>
      </c>
      <c r="B72" s="117"/>
      <c r="C72" s="68"/>
      <c r="D72" s="118">
        <f>J71</f>
        <v>280</v>
      </c>
      <c r="E72" s="119"/>
      <c r="F72" s="119"/>
      <c r="G72" s="120"/>
      <c r="H72" s="121"/>
      <c r="I72" s="121"/>
      <c r="J72" s="122"/>
      <c r="K72" s="119"/>
      <c r="L72" s="123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71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72"/>
      <c r="F78" s="5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5"/>
      <c r="G79" s="73"/>
      <c r="H79" s="5"/>
      <c r="I79" s="74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70"/>
      <c r="G83" s="5"/>
      <c r="H83" s="72"/>
      <c r="I83" s="72"/>
      <c r="J83" s="5"/>
      <c r="K83" s="5"/>
      <c r="L83" s="5"/>
    </row>
    <row r="84" spans="1:12" ht="20.100000000000001" customHeight="1" x14ac:dyDescent="0.3">
      <c r="A84" s="113"/>
      <c r="B84" s="113"/>
      <c r="H84" s="72"/>
      <c r="I84" s="72"/>
    </row>
    <row r="85" spans="1:12" ht="20.100000000000001" customHeight="1" x14ac:dyDescent="0.3"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A87" s="113"/>
      <c r="B87" s="113"/>
      <c r="H87" s="72"/>
      <c r="I87" s="72"/>
    </row>
    <row r="88" spans="1:12" ht="20.100000000000001" customHeight="1" x14ac:dyDescent="0.3">
      <c r="A88" s="113"/>
      <c r="B88" s="113"/>
      <c r="H88" s="72"/>
      <c r="I88" s="72"/>
    </row>
    <row r="89" spans="1:12" ht="20.100000000000001" customHeight="1" x14ac:dyDescent="0.3"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H91" s="72"/>
      <c r="I91" s="72"/>
    </row>
    <row r="92" spans="1:12" s="72" customFormat="1" ht="20.100000000000001" customHeight="1" x14ac:dyDescent="0.3">
      <c r="A92" s="69"/>
      <c r="B92" s="5"/>
      <c r="C92" s="5"/>
      <c r="D92" s="5"/>
      <c r="E92" s="5"/>
      <c r="F92" s="70"/>
      <c r="G92" s="5"/>
      <c r="J92" s="5"/>
      <c r="K92" s="5"/>
      <c r="L92" s="5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5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5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5" customFormat="1" ht="19.5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2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2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ht="19.5" customHeight="1" x14ac:dyDescent="0.3"/>
    <row r="100" spans="1:12" ht="19.5" customHeight="1" x14ac:dyDescent="0.3"/>
    <row r="101" spans="1:12" ht="19.5" customHeight="1" x14ac:dyDescent="0.3"/>
    <row r="102" spans="1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>
        <v>2</v>
      </c>
      <c r="C162" s="5"/>
      <c r="D162" s="5"/>
      <c r="E162" s="5"/>
      <c r="F162" s="70"/>
      <c r="G162" s="5"/>
      <c r="H162" s="5"/>
      <c r="I162" s="5"/>
      <c r="J162" s="5"/>
      <c r="K162" s="5"/>
      <c r="L162" s="5"/>
    </row>
  </sheetData>
  <mergeCells count="30">
    <mergeCell ref="A87:B87"/>
    <mergeCell ref="A88:B88"/>
    <mergeCell ref="A78:B78"/>
    <mergeCell ref="A79:B79"/>
    <mergeCell ref="A80:B80"/>
    <mergeCell ref="A82:B82"/>
    <mergeCell ref="A83:B83"/>
    <mergeCell ref="A84:B84"/>
    <mergeCell ref="A77:B77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1:I71"/>
    <mergeCell ref="A72:B72"/>
    <mergeCell ref="D72:G72"/>
    <mergeCell ref="H72:J72"/>
    <mergeCell ref="K72:L72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L154"/>
  <sheetViews>
    <sheetView view="pageBreakPreview" topLeftCell="A12" zoomScale="85" zoomScaleSheetLayoutView="85" workbookViewId="0">
      <selection activeCell="G41" sqref="G4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46078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2" si="0">(H7/1000*I7/1000)*J7</f>
        <v>0</v>
      </c>
      <c r="L7" s="26">
        <f>SUM(J7:J38)</f>
        <v>90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SUM(K7:K38)</f>
        <v>633.97482200000002</v>
      </c>
    </row>
    <row r="9" spans="1:12" s="27" customFormat="1" ht="19.5" customHeight="1" x14ac:dyDescent="0.3">
      <c r="A9" s="28" t="s">
        <v>1705</v>
      </c>
      <c r="B9" s="16" t="s">
        <v>204</v>
      </c>
      <c r="C9" s="17">
        <v>28</v>
      </c>
      <c r="D9" s="31" t="s">
        <v>205</v>
      </c>
      <c r="E9" s="81">
        <v>18</v>
      </c>
      <c r="F9" s="82">
        <v>82.97</v>
      </c>
      <c r="G9" s="34" t="s">
        <v>1706</v>
      </c>
      <c r="H9" s="35">
        <v>1829</v>
      </c>
      <c r="I9" s="36">
        <v>3353</v>
      </c>
      <c r="J9" s="37">
        <v>13</v>
      </c>
      <c r="K9" s="38">
        <f t="shared" si="0"/>
        <v>79.724281000000005</v>
      </c>
      <c r="L9" s="86" t="s">
        <v>1707</v>
      </c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 t="s">
        <v>1706</v>
      </c>
      <c r="H10" s="35">
        <v>1981</v>
      </c>
      <c r="I10" s="36">
        <v>3353</v>
      </c>
      <c r="J10" s="37">
        <v>1</v>
      </c>
      <c r="K10" s="38">
        <f t="shared" si="0"/>
        <v>6.6422930000000004</v>
      </c>
      <c r="L10" s="86"/>
    </row>
    <row r="11" spans="1:12" s="27" customFormat="1" ht="19.5" customHeight="1" x14ac:dyDescent="0.3">
      <c r="A11" s="28"/>
      <c r="B11" s="16"/>
      <c r="C11" s="17"/>
      <c r="D11" s="18"/>
      <c r="E11" s="81"/>
      <c r="F11" s="82"/>
      <c r="G11" s="34"/>
      <c r="H11" s="35"/>
      <c r="I11" s="36"/>
      <c r="J11" s="37"/>
      <c r="K11" s="38">
        <f t="shared" si="0"/>
        <v>0</v>
      </c>
      <c r="L11" s="86"/>
    </row>
    <row r="12" spans="1:12" s="27" customFormat="1" ht="19.5" customHeight="1" x14ac:dyDescent="0.3">
      <c r="A12" s="28" t="s">
        <v>1628</v>
      </c>
      <c r="B12" s="16" t="s">
        <v>145</v>
      </c>
      <c r="C12" s="17">
        <v>24</v>
      </c>
      <c r="D12" s="18" t="s">
        <v>45</v>
      </c>
      <c r="E12" s="41">
        <v>90</v>
      </c>
      <c r="F12" s="42">
        <v>81.2</v>
      </c>
      <c r="G12" s="34" t="s">
        <v>1709</v>
      </c>
      <c r="H12" s="35">
        <v>1981</v>
      </c>
      <c r="I12" s="36">
        <v>3353</v>
      </c>
      <c r="J12" s="37">
        <v>14</v>
      </c>
      <c r="K12" s="38">
        <f t="shared" si="0"/>
        <v>92.992102000000003</v>
      </c>
      <c r="L12" s="39" t="s">
        <v>1708</v>
      </c>
    </row>
    <row r="13" spans="1:12" s="27" customFormat="1" ht="19.5" customHeight="1" x14ac:dyDescent="0.3">
      <c r="A13" s="28"/>
      <c r="B13" s="16"/>
      <c r="C13" s="17">
        <v>24</v>
      </c>
      <c r="D13" s="18" t="s">
        <v>17</v>
      </c>
      <c r="E13" s="41">
        <v>100</v>
      </c>
      <c r="F13" s="42">
        <v>110.45</v>
      </c>
      <c r="G13" s="34" t="s">
        <v>1710</v>
      </c>
      <c r="H13" s="35">
        <v>2590</v>
      </c>
      <c r="I13" s="36">
        <v>3048</v>
      </c>
      <c r="J13" s="37">
        <v>6</v>
      </c>
      <c r="K13" s="38">
        <f t="shared" si="0"/>
        <v>47.365919999999996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45</v>
      </c>
      <c r="E14" s="41">
        <v>10</v>
      </c>
      <c r="F14" s="42">
        <v>12.6</v>
      </c>
      <c r="G14" s="34" t="s">
        <v>1710</v>
      </c>
      <c r="H14" s="35">
        <v>2590</v>
      </c>
      <c r="I14" s="36">
        <v>3353</v>
      </c>
      <c r="J14" s="37">
        <v>8</v>
      </c>
      <c r="K14" s="38">
        <f t="shared" si="0"/>
        <v>69.474159999999983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1711</v>
      </c>
      <c r="H15" s="35">
        <v>1981</v>
      </c>
      <c r="I15" s="36">
        <v>3353</v>
      </c>
      <c r="J15" s="37">
        <v>31</v>
      </c>
      <c r="K15" s="38">
        <f t="shared" si="0"/>
        <v>205.91108300000002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1712</v>
      </c>
      <c r="B17" s="16" t="s">
        <v>1713</v>
      </c>
      <c r="C17" s="17">
        <v>24</v>
      </c>
      <c r="D17" s="18" t="s">
        <v>1714</v>
      </c>
      <c r="E17" s="81">
        <v>4</v>
      </c>
      <c r="F17" s="82">
        <v>2.87</v>
      </c>
      <c r="G17" s="34" t="s">
        <v>1716</v>
      </c>
      <c r="H17" s="35">
        <v>1829</v>
      </c>
      <c r="I17" s="36">
        <v>3353</v>
      </c>
      <c r="J17" s="37">
        <v>1</v>
      </c>
      <c r="K17" s="38">
        <f t="shared" si="0"/>
        <v>6.1326369999999999</v>
      </c>
      <c r="L17" s="39" t="s">
        <v>1717</v>
      </c>
    </row>
    <row r="18" spans="1:12" s="27" customFormat="1" ht="19.5" customHeight="1" x14ac:dyDescent="0.3">
      <c r="A18" s="28"/>
      <c r="B18" s="16"/>
      <c r="C18" s="17">
        <v>10</v>
      </c>
      <c r="D18" s="18" t="s">
        <v>1715</v>
      </c>
      <c r="E18" s="81">
        <v>20</v>
      </c>
      <c r="F18" s="82">
        <v>28.34</v>
      </c>
      <c r="G18" s="34" t="s">
        <v>1718</v>
      </c>
      <c r="H18" s="35">
        <v>2438</v>
      </c>
      <c r="I18" s="36">
        <v>3048</v>
      </c>
      <c r="J18" s="37">
        <v>3</v>
      </c>
      <c r="K18" s="38">
        <f t="shared" si="0"/>
        <v>22.293072000000002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82"/>
      <c r="G19" s="34" t="s">
        <v>1718</v>
      </c>
      <c r="H19" s="35">
        <v>2134</v>
      </c>
      <c r="I19" s="36">
        <v>3048</v>
      </c>
      <c r="J19" s="37">
        <v>2</v>
      </c>
      <c r="K19" s="38">
        <f t="shared" si="0"/>
        <v>13.008863999999999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1719</v>
      </c>
      <c r="B21" s="16" t="s">
        <v>1720</v>
      </c>
      <c r="C21" s="17">
        <v>5</v>
      </c>
      <c r="D21" s="18" t="s">
        <v>1721</v>
      </c>
      <c r="E21" s="41">
        <v>12</v>
      </c>
      <c r="F21" s="42">
        <v>10.68</v>
      </c>
      <c r="G21" s="34" t="s">
        <v>1710</v>
      </c>
      <c r="H21" s="35">
        <v>2590</v>
      </c>
      <c r="I21" s="36">
        <v>3353</v>
      </c>
      <c r="J21" s="37">
        <v>1</v>
      </c>
      <c r="K21" s="38">
        <f t="shared" si="0"/>
        <v>8.6842699999999979</v>
      </c>
      <c r="L21" s="39" t="s">
        <v>1722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1723</v>
      </c>
      <c r="B23" s="16" t="s">
        <v>1724</v>
      </c>
      <c r="C23" s="17">
        <v>26</v>
      </c>
      <c r="D23" s="18" t="s">
        <v>1725</v>
      </c>
      <c r="E23" s="41">
        <v>1</v>
      </c>
      <c r="F23" s="42">
        <v>0.69</v>
      </c>
      <c r="G23" s="34"/>
      <c r="H23" s="35"/>
      <c r="I23" s="36"/>
      <c r="J23" s="37"/>
      <c r="K23" s="38">
        <f t="shared" si="0"/>
        <v>0</v>
      </c>
      <c r="L23" s="39" t="s">
        <v>1726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1727</v>
      </c>
      <c r="B25" s="16" t="s">
        <v>1724</v>
      </c>
      <c r="C25" s="17">
        <v>26</v>
      </c>
      <c r="D25" s="18" t="s">
        <v>1725</v>
      </c>
      <c r="E25" s="41">
        <v>2</v>
      </c>
      <c r="F25" s="42">
        <v>0.68</v>
      </c>
      <c r="G25" s="34"/>
      <c r="H25" s="35"/>
      <c r="I25" s="36"/>
      <c r="J25" s="37"/>
      <c r="K25" s="38">
        <f t="shared" si="0"/>
        <v>0</v>
      </c>
      <c r="L25" s="39" t="s">
        <v>1726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 t="s">
        <v>1728</v>
      </c>
      <c r="B27" s="16" t="s">
        <v>1720</v>
      </c>
      <c r="C27" s="17">
        <v>24</v>
      </c>
      <c r="D27" s="18" t="s">
        <v>1729</v>
      </c>
      <c r="E27" s="41">
        <v>3</v>
      </c>
      <c r="F27" s="42">
        <v>0.93</v>
      </c>
      <c r="G27" s="34"/>
      <c r="H27" s="35"/>
      <c r="I27" s="36"/>
      <c r="J27" s="37"/>
      <c r="K27" s="38">
        <f t="shared" si="0"/>
        <v>0</v>
      </c>
      <c r="L27" s="39" t="s">
        <v>1726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 t="s">
        <v>1730</v>
      </c>
      <c r="B29" s="16" t="s">
        <v>1724</v>
      </c>
      <c r="C29" s="17">
        <v>26</v>
      </c>
      <c r="D29" s="18" t="s">
        <v>1725</v>
      </c>
      <c r="E29" s="41">
        <v>153</v>
      </c>
      <c r="F29" s="42">
        <v>83.45</v>
      </c>
      <c r="G29" s="34" t="s">
        <v>1731</v>
      </c>
      <c r="H29" s="35">
        <v>2438</v>
      </c>
      <c r="I29" s="36">
        <v>3353</v>
      </c>
      <c r="J29" s="37">
        <v>10</v>
      </c>
      <c r="K29" s="38">
        <f t="shared" si="0"/>
        <v>81.746139999999997</v>
      </c>
      <c r="L29" s="39" t="s">
        <v>1733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81"/>
      <c r="F32" s="82"/>
      <c r="G32" s="34"/>
      <c r="H32" s="35"/>
      <c r="I32" s="36"/>
      <c r="J32" s="37"/>
      <c r="K32" s="38">
        <f t="shared" si="0"/>
        <v>0</v>
      </c>
      <c r="L32" s="86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38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1734</v>
      </c>
      <c r="B40" s="76" t="s">
        <v>1735</v>
      </c>
      <c r="C40" s="77">
        <v>27.76</v>
      </c>
      <c r="D40" s="47" t="s">
        <v>1736</v>
      </c>
      <c r="E40" s="48">
        <v>2</v>
      </c>
      <c r="F40" s="49">
        <v>2.14</v>
      </c>
      <c r="G40" s="50"/>
      <c r="H40" s="51"/>
      <c r="I40" s="45"/>
      <c r="J40" s="52"/>
      <c r="K40" s="53">
        <f t="shared" si="0"/>
        <v>0</v>
      </c>
      <c r="L40" s="54" t="s">
        <v>1739</v>
      </c>
    </row>
    <row r="41" spans="1:12" s="55" customFormat="1" ht="19.5" customHeight="1" x14ac:dyDescent="0.3">
      <c r="A41" s="44"/>
      <c r="B41" s="45"/>
      <c r="C41" s="77">
        <v>42.76</v>
      </c>
      <c r="D41" s="47" t="s">
        <v>1737</v>
      </c>
      <c r="E41" s="48">
        <v>1</v>
      </c>
      <c r="F41" s="49">
        <v>0.36</v>
      </c>
      <c r="G41" s="50" t="s">
        <v>1738</v>
      </c>
      <c r="H41" s="51">
        <v>1829</v>
      </c>
      <c r="I41" s="45">
        <v>3048</v>
      </c>
      <c r="J41" s="52">
        <v>1</v>
      </c>
      <c r="K41" s="53">
        <f t="shared" si="0"/>
        <v>5.5747919999999995</v>
      </c>
      <c r="L41" s="54" t="s">
        <v>1740</v>
      </c>
    </row>
    <row r="42" spans="1:12" s="55" customFormat="1" ht="19.5" customHeight="1" x14ac:dyDescent="0.3">
      <c r="A42" s="44"/>
      <c r="B42" s="76"/>
      <c r="C42" s="77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1741</v>
      </c>
      <c r="B43" s="76" t="s">
        <v>204</v>
      </c>
      <c r="C43" s="77">
        <v>28</v>
      </c>
      <c r="D43" s="47" t="s">
        <v>205</v>
      </c>
      <c r="E43" s="48">
        <v>9</v>
      </c>
      <c r="F43" s="49">
        <v>42.13</v>
      </c>
      <c r="G43" s="50" t="s">
        <v>206</v>
      </c>
      <c r="H43" s="51">
        <v>2438</v>
      </c>
      <c r="I43" s="45">
        <v>3353</v>
      </c>
      <c r="J43" s="52">
        <v>7</v>
      </c>
      <c r="K43" s="53">
        <f t="shared" si="0"/>
        <v>57.222298000000002</v>
      </c>
      <c r="L43" s="54" t="s">
        <v>1743</v>
      </c>
    </row>
    <row r="44" spans="1:12" s="55" customFormat="1" ht="19.5" customHeight="1" x14ac:dyDescent="0.3">
      <c r="A44" s="44"/>
      <c r="B44" s="76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1744</v>
      </c>
      <c r="B45" s="76" t="s">
        <v>204</v>
      </c>
      <c r="C45" s="77">
        <v>28</v>
      </c>
      <c r="D45" s="47" t="s">
        <v>1393</v>
      </c>
      <c r="E45" s="48">
        <v>8</v>
      </c>
      <c r="F45" s="49">
        <v>33.950000000000003</v>
      </c>
      <c r="G45" s="50" t="s">
        <v>206</v>
      </c>
      <c r="H45" s="51">
        <v>2438</v>
      </c>
      <c r="I45" s="45">
        <v>3353</v>
      </c>
      <c r="J45" s="52">
        <v>16</v>
      </c>
      <c r="K45" s="53">
        <f t="shared" si="0"/>
        <v>130.793824</v>
      </c>
      <c r="L45" s="54" t="s">
        <v>1732</v>
      </c>
    </row>
    <row r="46" spans="1:12" s="55" customFormat="1" ht="19.5" customHeight="1" x14ac:dyDescent="0.3">
      <c r="A46" s="44"/>
      <c r="B46" s="45"/>
      <c r="C46" s="77">
        <v>28</v>
      </c>
      <c r="D46" s="47" t="s">
        <v>205</v>
      </c>
      <c r="E46" s="48">
        <v>8</v>
      </c>
      <c r="F46" s="49">
        <v>39.83</v>
      </c>
      <c r="G46" s="50"/>
      <c r="H46" s="51"/>
      <c r="I46" s="45"/>
      <c r="J46" s="52"/>
      <c r="K46" s="53">
        <f t="shared" si="0"/>
        <v>0</v>
      </c>
      <c r="L46" s="54" t="s">
        <v>1732</v>
      </c>
    </row>
    <row r="47" spans="1:12" s="55" customFormat="1" ht="19.5" customHeight="1" x14ac:dyDescent="0.3">
      <c r="A47" s="44"/>
      <c r="B47" s="76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1745</v>
      </c>
      <c r="B48" s="76" t="s">
        <v>1746</v>
      </c>
      <c r="C48" s="77">
        <v>22</v>
      </c>
      <c r="D48" s="47" t="s">
        <v>1747</v>
      </c>
      <c r="E48" s="48">
        <v>240</v>
      </c>
      <c r="F48" s="49">
        <v>201.48</v>
      </c>
      <c r="G48" s="50" t="s">
        <v>1710</v>
      </c>
      <c r="H48" s="51">
        <v>2590</v>
      </c>
      <c r="I48" s="45">
        <v>3048</v>
      </c>
      <c r="J48" s="52">
        <v>28</v>
      </c>
      <c r="K48" s="53">
        <f t="shared" si="0"/>
        <v>221.04095999999998</v>
      </c>
      <c r="L48" s="54"/>
    </row>
    <row r="49" spans="1:12" s="55" customFormat="1" ht="19.5" customHeight="1" x14ac:dyDescent="0.3">
      <c r="A49" s="44"/>
      <c r="B49" s="76"/>
      <c r="C49" s="77"/>
      <c r="D49" s="47"/>
      <c r="E49" s="48"/>
      <c r="F49" s="49"/>
      <c r="G49" s="50" t="s">
        <v>1711</v>
      </c>
      <c r="H49" s="51">
        <v>1981</v>
      </c>
      <c r="I49" s="45">
        <v>3353</v>
      </c>
      <c r="J49" s="52">
        <v>34</v>
      </c>
      <c r="K49" s="53">
        <f t="shared" si="0"/>
        <v>225.837962</v>
      </c>
      <c r="L49" s="54"/>
    </row>
    <row r="50" spans="1:12" s="55" customFormat="1" ht="19.5" customHeight="1" x14ac:dyDescent="0.3">
      <c r="A50" s="44"/>
      <c r="B50" s="76"/>
      <c r="C50" s="77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1748</v>
      </c>
      <c r="B51" s="76" t="s">
        <v>1746</v>
      </c>
      <c r="C51" s="77">
        <v>22</v>
      </c>
      <c r="D51" s="47" t="s">
        <v>1747</v>
      </c>
      <c r="E51" s="48">
        <v>126</v>
      </c>
      <c r="F51" s="49">
        <v>114.24</v>
      </c>
      <c r="G51" s="50" t="s">
        <v>1710</v>
      </c>
      <c r="H51" s="51">
        <v>2590</v>
      </c>
      <c r="I51" s="45">
        <v>3048</v>
      </c>
      <c r="J51" s="52">
        <v>16</v>
      </c>
      <c r="K51" s="53">
        <f t="shared" si="0"/>
        <v>126.30911999999999</v>
      </c>
      <c r="L51" s="54"/>
    </row>
    <row r="52" spans="1:12" s="55" customFormat="1" ht="19.5" customHeight="1" x14ac:dyDescent="0.3">
      <c r="A52" s="44"/>
      <c r="B52" s="76"/>
      <c r="C52" s="77"/>
      <c r="D52" s="47"/>
      <c r="E52" s="48"/>
      <c r="F52" s="49"/>
      <c r="G52" s="50" t="s">
        <v>1711</v>
      </c>
      <c r="H52" s="51">
        <v>1981</v>
      </c>
      <c r="I52" s="45">
        <v>3353</v>
      </c>
      <c r="J52" s="52">
        <v>19</v>
      </c>
      <c r="K52" s="53">
        <f t="shared" si="0"/>
        <v>126.20356700000001</v>
      </c>
      <c r="L52" s="54"/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76"/>
      <c r="C54" s="77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77"/>
      <c r="D57" s="78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77"/>
      <c r="D58" s="78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9" customFormat="1" ht="20.100000000000001" customHeight="1" x14ac:dyDescent="0.3">
      <c r="A61" s="44"/>
      <c r="B61" s="45"/>
      <c r="C61" s="46"/>
      <c r="D61" s="47"/>
      <c r="E61" s="56"/>
      <c r="F61" s="57"/>
      <c r="G61" s="50"/>
      <c r="H61" s="51"/>
      <c r="I61" s="45"/>
      <c r="J61" s="52"/>
      <c r="K61" s="53">
        <f t="shared" si="0"/>
        <v>0</v>
      </c>
      <c r="L61" s="58">
        <f>SUM(J39:J62)</f>
        <v>121</v>
      </c>
    </row>
    <row r="62" spans="1:12" s="59" customFormat="1" ht="20.100000000000001" customHeight="1" x14ac:dyDescent="0.3">
      <c r="A62" s="44"/>
      <c r="B62" s="45"/>
      <c r="C62" s="46"/>
      <c r="D62" s="47"/>
      <c r="E62" s="60"/>
      <c r="F62" s="61"/>
      <c r="G62" s="62"/>
      <c r="H62" s="51"/>
      <c r="I62" s="45"/>
      <c r="J62" s="63"/>
      <c r="K62" s="53">
        <f t="shared" si="0"/>
        <v>0</v>
      </c>
      <c r="L62" s="64">
        <f>SUM(K39:K62)</f>
        <v>892.98252300000001</v>
      </c>
    </row>
    <row r="63" spans="1:12" s="59" customFormat="1" ht="20.100000000000001" customHeight="1" thickBot="1" x14ac:dyDescent="0.35">
      <c r="A63" s="114"/>
      <c r="B63" s="115"/>
      <c r="C63" s="115"/>
      <c r="D63" s="115"/>
      <c r="E63" s="115"/>
      <c r="F63" s="115"/>
      <c r="G63" s="115"/>
      <c r="H63" s="115"/>
      <c r="I63" s="115"/>
      <c r="J63" s="65">
        <f>SUM(J7:J62)</f>
        <v>211</v>
      </c>
      <c r="K63" s="66">
        <f>SUM(K7:K62)</f>
        <v>1526.957345</v>
      </c>
      <c r="L63" s="67"/>
    </row>
    <row r="64" spans="1:12" s="59" customFormat="1" ht="20.100000000000001" customHeight="1" thickTop="1" thickBot="1" x14ac:dyDescent="0.35">
      <c r="A64" s="116" t="s">
        <v>52</v>
      </c>
      <c r="B64" s="117"/>
      <c r="C64" s="68"/>
      <c r="D64" s="118">
        <f>J63</f>
        <v>211</v>
      </c>
      <c r="E64" s="119"/>
      <c r="F64" s="119"/>
      <c r="G64" s="120"/>
      <c r="H64" s="121"/>
      <c r="I64" s="121"/>
      <c r="J64" s="122"/>
      <c r="K64" s="119"/>
      <c r="L64" s="123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71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72"/>
      <c r="F70" s="5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5"/>
      <c r="G71" s="73"/>
      <c r="H71" s="5"/>
      <c r="I71" s="74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72"/>
      <c r="I75" s="72"/>
      <c r="J75" s="5"/>
      <c r="K75" s="5"/>
      <c r="L75" s="5"/>
    </row>
    <row r="76" spans="1:12" ht="20.100000000000001" customHeight="1" x14ac:dyDescent="0.3">
      <c r="A76" s="113"/>
      <c r="B76" s="113"/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A79" s="113"/>
      <c r="B79" s="113"/>
      <c r="H79" s="72"/>
      <c r="I79" s="72"/>
    </row>
    <row r="80" spans="1:12" ht="20.100000000000001" customHeight="1" x14ac:dyDescent="0.3">
      <c r="A80" s="113"/>
      <c r="B80" s="113"/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J84" s="5"/>
      <c r="K84" s="5"/>
      <c r="L84" s="5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5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5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19.5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ht="19.5" customHeight="1" x14ac:dyDescent="0.3"/>
    <row r="92" spans="1:12" ht="19.5" customHeight="1" x14ac:dyDescent="0.3"/>
    <row r="93" spans="1:12" ht="19.5" customHeight="1" x14ac:dyDescent="0.3"/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>
        <v>2</v>
      </c>
      <c r="C154" s="5"/>
      <c r="D154" s="5"/>
      <c r="E154" s="5"/>
      <c r="F154" s="70"/>
      <c r="G154" s="5"/>
      <c r="H154" s="5"/>
      <c r="I154" s="5"/>
      <c r="J154" s="5"/>
      <c r="K154" s="5"/>
      <c r="L154" s="5"/>
    </row>
  </sheetData>
  <mergeCells count="30">
    <mergeCell ref="A79:B79"/>
    <mergeCell ref="A80:B80"/>
    <mergeCell ref="A70:B70"/>
    <mergeCell ref="A71:B71"/>
    <mergeCell ref="A72:B72"/>
    <mergeCell ref="A74:B74"/>
    <mergeCell ref="A75:B75"/>
    <mergeCell ref="A76:B76"/>
    <mergeCell ref="A69:B6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3:I63"/>
    <mergeCell ref="A64:B64"/>
    <mergeCell ref="D64:G64"/>
    <mergeCell ref="H64:J64"/>
    <mergeCell ref="K64:L64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L159"/>
  <sheetViews>
    <sheetView view="pageBreakPreview" zoomScale="85" zoomScaleSheetLayoutView="85" workbookViewId="0">
      <selection activeCell="B24" sqref="B2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46077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7" si="0">(H7/1000*I7/1000)*J7</f>
        <v>0</v>
      </c>
      <c r="L7" s="26">
        <f>SUM(J7:J38)</f>
        <v>119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SUM(K7:K38)</f>
        <v>854.24256300000002</v>
      </c>
    </row>
    <row r="9" spans="1:12" s="27" customFormat="1" ht="19.5" customHeight="1" x14ac:dyDescent="0.3">
      <c r="A9" s="28" t="s">
        <v>1664</v>
      </c>
      <c r="B9" s="16" t="s">
        <v>1665</v>
      </c>
      <c r="C9" s="17">
        <v>25.76</v>
      </c>
      <c r="D9" s="18" t="s">
        <v>1666</v>
      </c>
      <c r="E9" s="81">
        <v>2</v>
      </c>
      <c r="F9" s="82">
        <v>2.8</v>
      </c>
      <c r="G9" s="34" t="s">
        <v>1667</v>
      </c>
      <c r="H9" s="35">
        <v>1829</v>
      </c>
      <c r="I9" s="36">
        <v>3048</v>
      </c>
      <c r="J9" s="37">
        <v>1</v>
      </c>
      <c r="K9" s="38">
        <f t="shared" si="0"/>
        <v>5.5747919999999995</v>
      </c>
      <c r="L9" s="86"/>
    </row>
    <row r="10" spans="1:12" s="27" customFormat="1" ht="19.5" customHeight="1" x14ac:dyDescent="0.3">
      <c r="A10" s="28"/>
      <c r="B10" s="16"/>
      <c r="C10" s="17">
        <v>22</v>
      </c>
      <c r="D10" s="18" t="s">
        <v>1668</v>
      </c>
      <c r="E10" s="81">
        <v>1</v>
      </c>
      <c r="F10" s="82">
        <v>1.53</v>
      </c>
      <c r="G10" s="34"/>
      <c r="H10" s="35"/>
      <c r="I10" s="36"/>
      <c r="J10" s="37"/>
      <c r="K10" s="38">
        <f t="shared" si="0"/>
        <v>0</v>
      </c>
      <c r="L10" s="86" t="s">
        <v>1669</v>
      </c>
    </row>
    <row r="11" spans="1:12" s="27" customFormat="1" ht="19.5" customHeight="1" x14ac:dyDescent="0.3">
      <c r="A11" s="28"/>
      <c r="B11" s="16"/>
      <c r="C11" s="17"/>
      <c r="D11" s="18"/>
      <c r="E11" s="81"/>
      <c r="F11" s="82"/>
      <c r="G11" s="34"/>
      <c r="H11" s="35"/>
      <c r="I11" s="36"/>
      <c r="J11" s="37"/>
      <c r="K11" s="38">
        <f t="shared" si="0"/>
        <v>0</v>
      </c>
      <c r="L11" s="86"/>
    </row>
    <row r="12" spans="1:12" s="27" customFormat="1" ht="19.5" customHeight="1" x14ac:dyDescent="0.3">
      <c r="A12" s="28" t="s">
        <v>1670</v>
      </c>
      <c r="B12" s="16" t="s">
        <v>1671</v>
      </c>
      <c r="C12" s="17">
        <v>22</v>
      </c>
      <c r="D12" s="18" t="s">
        <v>1672</v>
      </c>
      <c r="E12" s="81">
        <v>3</v>
      </c>
      <c r="F12" s="82">
        <v>5.84</v>
      </c>
      <c r="G12" s="34" t="s">
        <v>1674</v>
      </c>
      <c r="H12" s="35">
        <v>1981</v>
      </c>
      <c r="I12" s="36">
        <v>3353</v>
      </c>
      <c r="J12" s="37">
        <v>2</v>
      </c>
      <c r="K12" s="38">
        <f t="shared" si="0"/>
        <v>13.284586000000001</v>
      </c>
      <c r="L12" s="86"/>
    </row>
    <row r="13" spans="1:12" s="27" customFormat="1" ht="19.5" customHeight="1" x14ac:dyDescent="0.3">
      <c r="A13" s="28"/>
      <c r="B13" s="16"/>
      <c r="C13" s="17">
        <v>22</v>
      </c>
      <c r="D13" s="18" t="s">
        <v>1673</v>
      </c>
      <c r="E13" s="81">
        <v>3</v>
      </c>
      <c r="F13" s="82">
        <v>3.73</v>
      </c>
      <c r="G13" s="34" t="s">
        <v>1667</v>
      </c>
      <c r="H13" s="35">
        <v>1981</v>
      </c>
      <c r="I13" s="36">
        <v>3353</v>
      </c>
      <c r="J13" s="37">
        <v>2</v>
      </c>
      <c r="K13" s="38">
        <f t="shared" si="0"/>
        <v>13.284586000000001</v>
      </c>
      <c r="L13" s="86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1675</v>
      </c>
      <c r="B15" s="16" t="s">
        <v>1676</v>
      </c>
      <c r="C15" s="17">
        <v>22</v>
      </c>
      <c r="D15" s="18" t="s">
        <v>1677</v>
      </c>
      <c r="E15" s="41">
        <v>16</v>
      </c>
      <c r="F15" s="42">
        <v>4.4800000000000004</v>
      </c>
      <c r="G15" s="34" t="s">
        <v>1679</v>
      </c>
      <c r="H15" s="35">
        <v>1829</v>
      </c>
      <c r="I15" s="36">
        <v>3353</v>
      </c>
      <c r="J15" s="37">
        <v>1</v>
      </c>
      <c r="K15" s="38">
        <f t="shared" si="0"/>
        <v>6.1326369999999999</v>
      </c>
      <c r="L15" s="39" t="s">
        <v>1681</v>
      </c>
    </row>
    <row r="16" spans="1:12" s="27" customFormat="1" ht="19.5" customHeight="1" x14ac:dyDescent="0.3">
      <c r="A16" s="28"/>
      <c r="B16" s="16"/>
      <c r="C16" s="17">
        <v>22</v>
      </c>
      <c r="D16" s="18" t="s">
        <v>1678</v>
      </c>
      <c r="E16" s="81">
        <v>16</v>
      </c>
      <c r="F16" s="82">
        <v>4.4800000000000004</v>
      </c>
      <c r="G16" s="34" t="s">
        <v>1674</v>
      </c>
      <c r="H16" s="35">
        <v>1829</v>
      </c>
      <c r="I16" s="36">
        <v>3353</v>
      </c>
      <c r="J16" s="37">
        <v>1</v>
      </c>
      <c r="K16" s="38">
        <f t="shared" si="0"/>
        <v>6.1326369999999999</v>
      </c>
      <c r="L16" s="39" t="s">
        <v>1681</v>
      </c>
    </row>
    <row r="17" spans="1:12" s="27" customFormat="1" ht="19.5" customHeight="1" x14ac:dyDescent="0.3">
      <c r="A17" s="28"/>
      <c r="B17" s="16"/>
      <c r="C17" s="17"/>
      <c r="D17" s="18"/>
      <c r="E17" s="81"/>
      <c r="F17" s="82"/>
      <c r="G17" s="34" t="s">
        <v>1680</v>
      </c>
      <c r="H17" s="35">
        <v>1829</v>
      </c>
      <c r="I17" s="36">
        <v>3353</v>
      </c>
      <c r="J17" s="37">
        <v>2</v>
      </c>
      <c r="K17" s="38">
        <f t="shared" si="0"/>
        <v>12.265274</v>
      </c>
      <c r="L17" s="39" t="s">
        <v>1681</v>
      </c>
    </row>
    <row r="18" spans="1:12" s="27" customFormat="1" ht="19.5" customHeight="1" x14ac:dyDescent="0.3">
      <c r="A18" s="28"/>
      <c r="B18" s="16"/>
      <c r="C18" s="17"/>
      <c r="D18" s="18"/>
      <c r="E18" s="81"/>
      <c r="F18" s="82"/>
      <c r="G18" s="34"/>
      <c r="H18" s="35"/>
      <c r="I18" s="36"/>
      <c r="J18" s="37"/>
      <c r="K18" s="38"/>
      <c r="L18" s="39"/>
    </row>
    <row r="19" spans="1:12" s="27" customFormat="1" ht="19.5" customHeight="1" x14ac:dyDescent="0.3">
      <c r="A19" s="28" t="s">
        <v>1695</v>
      </c>
      <c r="B19" s="16" t="s">
        <v>1676</v>
      </c>
      <c r="C19" s="17">
        <v>22</v>
      </c>
      <c r="D19" s="18" t="s">
        <v>1677</v>
      </c>
      <c r="E19" s="41">
        <v>10</v>
      </c>
      <c r="F19" s="82">
        <v>12.61</v>
      </c>
      <c r="G19" s="34" t="s">
        <v>1679</v>
      </c>
      <c r="H19" s="35">
        <v>1829</v>
      </c>
      <c r="I19" s="36">
        <v>3353</v>
      </c>
      <c r="J19" s="37">
        <v>2</v>
      </c>
      <c r="K19" s="38">
        <f t="shared" si="0"/>
        <v>12.265274</v>
      </c>
      <c r="L19" s="39" t="s">
        <v>1681</v>
      </c>
    </row>
    <row r="20" spans="1:12" s="27" customFormat="1" ht="19.5" customHeight="1" x14ac:dyDescent="0.3">
      <c r="A20" s="28"/>
      <c r="B20" s="16"/>
      <c r="C20" s="17">
        <v>22</v>
      </c>
      <c r="D20" s="18" t="s">
        <v>1678</v>
      </c>
      <c r="E20" s="81">
        <v>5</v>
      </c>
      <c r="F20" s="82">
        <v>6.26</v>
      </c>
      <c r="G20" s="34" t="s">
        <v>1674</v>
      </c>
      <c r="H20" s="35">
        <v>1981</v>
      </c>
      <c r="I20" s="36">
        <v>3353</v>
      </c>
      <c r="J20" s="37">
        <v>1</v>
      </c>
      <c r="K20" s="38">
        <f t="shared" si="0"/>
        <v>6.6422930000000004</v>
      </c>
      <c r="L20" s="39" t="s">
        <v>1681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 t="s">
        <v>1680</v>
      </c>
      <c r="H21" s="35">
        <v>1829</v>
      </c>
      <c r="I21" s="36">
        <v>3353</v>
      </c>
      <c r="J21" s="37">
        <v>2</v>
      </c>
      <c r="K21" s="38">
        <f t="shared" si="0"/>
        <v>12.265274</v>
      </c>
      <c r="L21" s="39" t="s">
        <v>1681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 t="s">
        <v>1680</v>
      </c>
      <c r="H22" s="35">
        <v>1981</v>
      </c>
      <c r="I22" s="36">
        <v>3353</v>
      </c>
      <c r="J22" s="37">
        <v>1</v>
      </c>
      <c r="K22" s="38">
        <f t="shared" si="0"/>
        <v>6.6422930000000004</v>
      </c>
      <c r="L22" s="39" t="s">
        <v>1681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 t="s">
        <v>1634</v>
      </c>
      <c r="B24" s="16" t="s">
        <v>145</v>
      </c>
      <c r="C24" s="17">
        <v>24</v>
      </c>
      <c r="D24" s="18" t="s">
        <v>45</v>
      </c>
      <c r="E24" s="41">
        <f>80-20</f>
        <v>60</v>
      </c>
      <c r="F24" s="42">
        <f>81.5-29.1</f>
        <v>52.4</v>
      </c>
      <c r="G24" s="34" t="s">
        <v>1679</v>
      </c>
      <c r="H24" s="35">
        <v>1981</v>
      </c>
      <c r="I24" s="36">
        <v>3353</v>
      </c>
      <c r="J24" s="37">
        <v>11</v>
      </c>
      <c r="K24" s="38">
        <f t="shared" si="0"/>
        <v>73.065223000000003</v>
      </c>
      <c r="L24" s="39" t="s">
        <v>919</v>
      </c>
    </row>
    <row r="25" spans="1:12" s="27" customFormat="1" ht="19.5" customHeight="1" x14ac:dyDescent="0.3">
      <c r="A25" s="28"/>
      <c r="B25" s="16"/>
      <c r="C25" s="17">
        <v>24</v>
      </c>
      <c r="D25" s="18" t="s">
        <v>17</v>
      </c>
      <c r="E25" s="41">
        <v>90</v>
      </c>
      <c r="F25" s="42">
        <v>114.8</v>
      </c>
      <c r="G25" s="34" t="s">
        <v>1674</v>
      </c>
      <c r="H25" s="35">
        <v>1981</v>
      </c>
      <c r="I25" s="36">
        <v>3353</v>
      </c>
      <c r="J25" s="37">
        <v>18</v>
      </c>
      <c r="K25" s="38">
        <f t="shared" si="0"/>
        <v>119.56127400000001</v>
      </c>
      <c r="L25" s="39"/>
    </row>
    <row r="26" spans="1:12" s="27" customFormat="1" ht="19.5" customHeight="1" x14ac:dyDescent="0.3">
      <c r="A26" s="28"/>
      <c r="B26" s="16"/>
      <c r="C26" s="17">
        <v>22</v>
      </c>
      <c r="D26" s="18" t="s">
        <v>45</v>
      </c>
      <c r="E26" s="41">
        <v>10</v>
      </c>
      <c r="F26" s="42">
        <v>11.7</v>
      </c>
      <c r="G26" s="34" t="s">
        <v>1682</v>
      </c>
      <c r="H26" s="35">
        <v>1981</v>
      </c>
      <c r="I26" s="36">
        <v>3353</v>
      </c>
      <c r="J26" s="37">
        <v>30</v>
      </c>
      <c r="K26" s="38">
        <f t="shared" si="0"/>
        <v>199.26879000000002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 t="s">
        <v>1683</v>
      </c>
      <c r="B28" s="16" t="s">
        <v>1684</v>
      </c>
      <c r="C28" s="17">
        <v>26</v>
      </c>
      <c r="D28" s="18" t="s">
        <v>1685</v>
      </c>
      <c r="E28" s="41">
        <v>272</v>
      </c>
      <c r="F28" s="42">
        <v>178</v>
      </c>
      <c r="G28" s="34" t="s">
        <v>1686</v>
      </c>
      <c r="H28" s="35">
        <v>2438</v>
      </c>
      <c r="I28" s="36">
        <v>3353</v>
      </c>
      <c r="J28" s="37">
        <v>24</v>
      </c>
      <c r="K28" s="38">
        <f t="shared" si="0"/>
        <v>196.19073600000002</v>
      </c>
      <c r="L28" s="39" t="s">
        <v>1687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 t="s">
        <v>1688</v>
      </c>
      <c r="B30" s="16" t="s">
        <v>1684</v>
      </c>
      <c r="C30" s="17">
        <v>26</v>
      </c>
      <c r="D30" s="18" t="s">
        <v>1685</v>
      </c>
      <c r="E30" s="41">
        <v>288</v>
      </c>
      <c r="F30" s="42">
        <v>153.36000000000001</v>
      </c>
      <c r="G30" s="34" t="s">
        <v>1686</v>
      </c>
      <c r="H30" s="35">
        <v>2438</v>
      </c>
      <c r="I30" s="36">
        <v>3353</v>
      </c>
      <c r="J30" s="37">
        <v>21</v>
      </c>
      <c r="K30" s="38">
        <f t="shared" si="0"/>
        <v>171.66689400000001</v>
      </c>
      <c r="L30" s="39" t="s">
        <v>1687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81"/>
      <c r="F32" s="82"/>
      <c r="G32" s="34"/>
      <c r="H32" s="35"/>
      <c r="I32" s="36"/>
      <c r="J32" s="37"/>
      <c r="K32" s="38">
        <f t="shared" si="0"/>
        <v>0</v>
      </c>
      <c r="L32" s="86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38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1689</v>
      </c>
      <c r="B40" s="76" t="s">
        <v>1690</v>
      </c>
      <c r="C40" s="77">
        <v>28</v>
      </c>
      <c r="D40" s="47" t="s">
        <v>1691</v>
      </c>
      <c r="E40" s="48">
        <v>21</v>
      </c>
      <c r="F40" s="49">
        <v>123.9</v>
      </c>
      <c r="G40" s="50" t="s">
        <v>1692</v>
      </c>
      <c r="H40" s="51">
        <v>2134</v>
      </c>
      <c r="I40" s="45">
        <v>3353</v>
      </c>
      <c r="J40" s="52">
        <v>21</v>
      </c>
      <c r="K40" s="53">
        <f t="shared" si="0"/>
        <v>150.26134199999998</v>
      </c>
      <c r="L40" s="54" t="s">
        <v>1687</v>
      </c>
    </row>
    <row r="41" spans="1:12" s="55" customFormat="1" ht="19.5" customHeight="1" x14ac:dyDescent="0.3">
      <c r="A41" s="44"/>
      <c r="B41" s="45"/>
      <c r="C41" s="77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1693</v>
      </c>
      <c r="B42" s="76" t="s">
        <v>1690</v>
      </c>
      <c r="C42" s="77">
        <v>28</v>
      </c>
      <c r="D42" s="47" t="s">
        <v>1691</v>
      </c>
      <c r="E42" s="48">
        <v>48</v>
      </c>
      <c r="F42" s="49">
        <v>272.8</v>
      </c>
      <c r="G42" s="50" t="s">
        <v>1692</v>
      </c>
      <c r="H42" s="51">
        <v>2134</v>
      </c>
      <c r="I42" s="45">
        <v>3353</v>
      </c>
      <c r="J42" s="52">
        <v>48</v>
      </c>
      <c r="K42" s="53">
        <f t="shared" si="0"/>
        <v>343.45449600000001</v>
      </c>
      <c r="L42" s="54" t="s">
        <v>1687</v>
      </c>
    </row>
    <row r="43" spans="1:12" s="55" customFormat="1" ht="19.5" customHeight="1" x14ac:dyDescent="0.3">
      <c r="A43" s="44"/>
      <c r="B43" s="76"/>
      <c r="C43" s="77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1694</v>
      </c>
      <c r="B44" s="76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1446</v>
      </c>
      <c r="B45" s="76" t="s">
        <v>59</v>
      </c>
      <c r="C45" s="77">
        <v>22</v>
      </c>
      <c r="D45" s="47" t="s">
        <v>17</v>
      </c>
      <c r="E45" s="48">
        <v>6</v>
      </c>
      <c r="F45" s="49">
        <v>7.96</v>
      </c>
      <c r="G45" s="50" t="s">
        <v>1696</v>
      </c>
      <c r="H45" s="51">
        <v>1981</v>
      </c>
      <c r="I45" s="45">
        <v>3353</v>
      </c>
      <c r="J45" s="52">
        <v>2</v>
      </c>
      <c r="K45" s="53">
        <f t="shared" si="0"/>
        <v>13.284586000000001</v>
      </c>
      <c r="L45" s="54" t="s">
        <v>1697</v>
      </c>
    </row>
    <row r="46" spans="1:12" s="55" customFormat="1" ht="19.5" customHeight="1" x14ac:dyDescent="0.3">
      <c r="A46" s="44"/>
      <c r="B46" s="45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1698</v>
      </c>
      <c r="B47" s="76" t="s">
        <v>1699</v>
      </c>
      <c r="C47" s="77">
        <v>28</v>
      </c>
      <c r="D47" s="47" t="s">
        <v>205</v>
      </c>
      <c r="E47" s="48">
        <v>1</v>
      </c>
      <c r="F47" s="49">
        <v>5.83</v>
      </c>
      <c r="G47" s="50" t="s">
        <v>1700</v>
      </c>
      <c r="H47" s="51">
        <v>2134</v>
      </c>
      <c r="I47" s="45">
        <v>3353</v>
      </c>
      <c r="J47" s="52">
        <v>1</v>
      </c>
      <c r="K47" s="53">
        <f t="shared" si="0"/>
        <v>7.1553019999999998</v>
      </c>
      <c r="L47" s="54" t="s">
        <v>1702</v>
      </c>
    </row>
    <row r="48" spans="1:12" s="55" customFormat="1" ht="19.5" customHeight="1" x14ac:dyDescent="0.3">
      <c r="A48" s="44"/>
      <c r="B48" s="76"/>
      <c r="C48" s="77"/>
      <c r="D48" s="47"/>
      <c r="E48" s="48"/>
      <c r="F48" s="49"/>
      <c r="G48" s="50" t="s">
        <v>1701</v>
      </c>
      <c r="H48" s="51">
        <v>1829</v>
      </c>
      <c r="I48" s="45">
        <v>3353</v>
      </c>
      <c r="J48" s="52">
        <v>1</v>
      </c>
      <c r="K48" s="53">
        <f t="shared" si="0"/>
        <v>6.1326369999999999</v>
      </c>
      <c r="L48" s="54"/>
    </row>
    <row r="49" spans="1:12" s="55" customFormat="1" ht="19.5" customHeight="1" x14ac:dyDescent="0.3">
      <c r="A49" s="44"/>
      <c r="B49" s="76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1703</v>
      </c>
      <c r="B50" s="76" t="s">
        <v>1699</v>
      </c>
      <c r="C50" s="77">
        <v>28</v>
      </c>
      <c r="D50" s="47" t="s">
        <v>205</v>
      </c>
      <c r="E50" s="48">
        <v>18</v>
      </c>
      <c r="F50" s="49">
        <v>82.97</v>
      </c>
      <c r="G50" s="50" t="s">
        <v>1700</v>
      </c>
      <c r="H50" s="51">
        <v>2134</v>
      </c>
      <c r="I50" s="45">
        <v>3353</v>
      </c>
      <c r="J50" s="52">
        <v>9</v>
      </c>
      <c r="K50" s="53">
        <f t="shared" si="0"/>
        <v>64.397717999999998</v>
      </c>
      <c r="L50" s="54" t="s">
        <v>106</v>
      </c>
    </row>
    <row r="51" spans="1:12" s="55" customFormat="1" ht="19.5" customHeight="1" x14ac:dyDescent="0.3">
      <c r="A51" s="44"/>
      <c r="B51" s="76"/>
      <c r="C51" s="77"/>
      <c r="D51" s="47"/>
      <c r="E51" s="48"/>
      <c r="F51" s="49"/>
      <c r="G51" s="50" t="s">
        <v>1700</v>
      </c>
      <c r="H51" s="51">
        <v>2438</v>
      </c>
      <c r="I51" s="45">
        <v>3353</v>
      </c>
      <c r="J51" s="52">
        <v>5</v>
      </c>
      <c r="K51" s="53">
        <f t="shared" si="0"/>
        <v>40.873069999999998</v>
      </c>
      <c r="L51" s="54"/>
    </row>
    <row r="52" spans="1:12" s="55" customFormat="1" ht="19.5" customHeight="1" x14ac:dyDescent="0.3">
      <c r="A52" s="44"/>
      <c r="B52" s="76"/>
      <c r="C52" s="77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1704</v>
      </c>
      <c r="B53" s="76" t="s">
        <v>1699</v>
      </c>
      <c r="C53" s="77">
        <v>28</v>
      </c>
      <c r="D53" s="47" t="s">
        <v>205</v>
      </c>
      <c r="E53" s="48">
        <v>6</v>
      </c>
      <c r="F53" s="49">
        <v>36.6</v>
      </c>
      <c r="G53" s="50" t="s">
        <v>1700</v>
      </c>
      <c r="H53" s="51">
        <v>2438</v>
      </c>
      <c r="I53" s="45">
        <v>3353</v>
      </c>
      <c r="J53" s="52">
        <v>6</v>
      </c>
      <c r="K53" s="53">
        <f t="shared" si="0"/>
        <v>49.047684000000004</v>
      </c>
      <c r="L53" s="54" t="s">
        <v>1742</v>
      </c>
    </row>
    <row r="54" spans="1:12" s="55" customFormat="1" ht="19.5" customHeight="1" x14ac:dyDescent="0.3">
      <c r="A54" s="44"/>
      <c r="B54" s="76"/>
      <c r="C54" s="77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76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77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76"/>
      <c r="C59" s="77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76"/>
      <c r="C60" s="77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76"/>
      <c r="C61" s="77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77"/>
      <c r="D62" s="78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45"/>
      <c r="C63" s="77"/>
      <c r="D63" s="78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9" customFormat="1" ht="20.100000000000001" customHeight="1" x14ac:dyDescent="0.3">
      <c r="A66" s="44"/>
      <c r="B66" s="45"/>
      <c r="C66" s="46"/>
      <c r="D66" s="47"/>
      <c r="E66" s="56"/>
      <c r="F66" s="57"/>
      <c r="G66" s="50"/>
      <c r="H66" s="51"/>
      <c r="I66" s="45"/>
      <c r="J66" s="52"/>
      <c r="K66" s="53">
        <f t="shared" si="0"/>
        <v>0</v>
      </c>
      <c r="L66" s="58">
        <f>SUM(J39:J67)</f>
        <v>93</v>
      </c>
    </row>
    <row r="67" spans="1:12" s="59" customFormat="1" ht="20.100000000000001" customHeight="1" x14ac:dyDescent="0.3">
      <c r="A67" s="44"/>
      <c r="B67" s="45"/>
      <c r="C67" s="46"/>
      <c r="D67" s="47"/>
      <c r="E67" s="60"/>
      <c r="F67" s="61"/>
      <c r="G67" s="62"/>
      <c r="H67" s="51"/>
      <c r="I67" s="45"/>
      <c r="J67" s="63"/>
      <c r="K67" s="53">
        <f t="shared" si="0"/>
        <v>0</v>
      </c>
      <c r="L67" s="64">
        <f>SUM(K39:K67)</f>
        <v>674.60683500000005</v>
      </c>
    </row>
    <row r="68" spans="1:12" s="59" customFormat="1" ht="20.100000000000001" customHeight="1" thickBot="1" x14ac:dyDescent="0.35">
      <c r="A68" s="114"/>
      <c r="B68" s="115"/>
      <c r="C68" s="115"/>
      <c r="D68" s="115"/>
      <c r="E68" s="115"/>
      <c r="F68" s="115"/>
      <c r="G68" s="115"/>
      <c r="H68" s="115"/>
      <c r="I68" s="115"/>
      <c r="J68" s="65">
        <f>SUM(J7:J67)</f>
        <v>212</v>
      </c>
      <c r="K68" s="66">
        <f>SUM(K7:K67)</f>
        <v>1528.8493979999998</v>
      </c>
      <c r="L68" s="67"/>
    </row>
    <row r="69" spans="1:12" s="59" customFormat="1" ht="20.100000000000001" customHeight="1" thickTop="1" thickBot="1" x14ac:dyDescent="0.35">
      <c r="A69" s="116" t="s">
        <v>52</v>
      </c>
      <c r="B69" s="117"/>
      <c r="C69" s="68"/>
      <c r="D69" s="118">
        <f>J68</f>
        <v>212</v>
      </c>
      <c r="E69" s="119"/>
      <c r="F69" s="119"/>
      <c r="G69" s="120"/>
      <c r="H69" s="121"/>
      <c r="I69" s="121"/>
      <c r="J69" s="122"/>
      <c r="K69" s="119"/>
      <c r="L69" s="123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71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72"/>
      <c r="F75" s="5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5"/>
      <c r="G76" s="73"/>
      <c r="H76" s="5"/>
      <c r="I76" s="74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72"/>
      <c r="I80" s="72"/>
      <c r="J80" s="5"/>
      <c r="K80" s="5"/>
      <c r="L80" s="5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A84" s="113"/>
      <c r="B84" s="113"/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5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19.5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ht="19.5" customHeight="1" x14ac:dyDescent="0.3"/>
    <row r="97" spans="2:12" ht="19.5" customHeight="1" x14ac:dyDescent="0.3"/>
    <row r="98" spans="2:12" ht="19.5" customHeight="1" x14ac:dyDescent="0.3"/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>
        <v>2</v>
      </c>
      <c r="C159" s="5"/>
      <c r="D159" s="5"/>
      <c r="E159" s="5"/>
      <c r="F159" s="70"/>
      <c r="G159" s="5"/>
      <c r="H159" s="5"/>
      <c r="I159" s="5"/>
      <c r="J159" s="5"/>
      <c r="K159" s="5"/>
      <c r="L159" s="5"/>
    </row>
  </sheetData>
  <mergeCells count="30">
    <mergeCell ref="A84:B84"/>
    <mergeCell ref="A85:B85"/>
    <mergeCell ref="A75:B75"/>
    <mergeCell ref="A76:B76"/>
    <mergeCell ref="A77:B77"/>
    <mergeCell ref="A79:B79"/>
    <mergeCell ref="A80:B80"/>
    <mergeCell ref="A81:B81"/>
    <mergeCell ref="A74:B7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8:I68"/>
    <mergeCell ref="A69:B69"/>
    <mergeCell ref="D69:G69"/>
    <mergeCell ref="H69:J69"/>
    <mergeCell ref="K69:L69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L159"/>
  <sheetViews>
    <sheetView view="pageBreakPreview" topLeftCell="A23" zoomScale="85" zoomScaleSheetLayoutView="85" workbookViewId="0">
      <selection activeCell="A45" sqref="A45:F45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46076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7" si="0">(H7/1000*I7/1000)*J7</f>
        <v>0</v>
      </c>
      <c r="L7" s="26">
        <f>SUM(J7:J38)</f>
        <v>128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SUM(K7:K38)</f>
        <v>927.33341899999959</v>
      </c>
    </row>
    <row r="9" spans="1:12" s="27" customFormat="1" ht="19.5" customHeight="1" x14ac:dyDescent="0.3">
      <c r="A9" s="28" t="s">
        <v>1567</v>
      </c>
      <c r="B9" s="16" t="s">
        <v>1568</v>
      </c>
      <c r="C9" s="17">
        <v>24</v>
      </c>
      <c r="D9" s="18" t="s">
        <v>1608</v>
      </c>
      <c r="E9" s="81">
        <v>51</v>
      </c>
      <c r="F9" s="82">
        <v>29.04</v>
      </c>
      <c r="G9" s="34" t="s">
        <v>1611</v>
      </c>
      <c r="H9" s="35">
        <v>1829</v>
      </c>
      <c r="I9" s="36">
        <v>3353</v>
      </c>
      <c r="J9" s="37">
        <v>9</v>
      </c>
      <c r="K9" s="38">
        <f t="shared" si="0"/>
        <v>55.193733000000002</v>
      </c>
      <c r="L9" s="86" t="s">
        <v>1610</v>
      </c>
    </row>
    <row r="10" spans="1:12" s="27" customFormat="1" ht="19.5" customHeight="1" x14ac:dyDescent="0.3">
      <c r="A10" s="28"/>
      <c r="B10" s="16"/>
      <c r="C10" s="17">
        <v>39</v>
      </c>
      <c r="D10" s="18" t="s">
        <v>1569</v>
      </c>
      <c r="E10" s="81">
        <v>147</v>
      </c>
      <c r="F10" s="82">
        <v>169.8</v>
      </c>
      <c r="G10" s="34" t="s">
        <v>1611</v>
      </c>
      <c r="H10" s="35">
        <v>1981</v>
      </c>
      <c r="I10" s="36">
        <v>3353</v>
      </c>
      <c r="J10" s="37">
        <v>17</v>
      </c>
      <c r="K10" s="38">
        <f t="shared" si="0"/>
        <v>112.918981</v>
      </c>
      <c r="L10" s="86" t="s">
        <v>1609</v>
      </c>
    </row>
    <row r="11" spans="1:12" s="27" customFormat="1" ht="19.5" customHeight="1" x14ac:dyDescent="0.3">
      <c r="A11" s="28"/>
      <c r="B11" s="16"/>
      <c r="C11" s="17"/>
      <c r="D11" s="18"/>
      <c r="E11" s="81"/>
      <c r="F11" s="82"/>
      <c r="G11" s="34" t="s">
        <v>1611</v>
      </c>
      <c r="H11" s="35">
        <v>1829</v>
      </c>
      <c r="I11" s="36">
        <v>3048</v>
      </c>
      <c r="J11" s="37">
        <v>9</v>
      </c>
      <c r="K11" s="38">
        <f t="shared" si="0"/>
        <v>50.173127999999998</v>
      </c>
      <c r="L11" s="86"/>
    </row>
    <row r="12" spans="1:12" s="27" customFormat="1" ht="19.5" customHeight="1" x14ac:dyDescent="0.3">
      <c r="A12" s="28"/>
      <c r="B12" s="16"/>
      <c r="C12" s="17"/>
      <c r="D12" s="18"/>
      <c r="E12" s="81"/>
      <c r="F12" s="82"/>
      <c r="G12" s="34" t="s">
        <v>1612</v>
      </c>
      <c r="H12" s="35">
        <v>2590</v>
      </c>
      <c r="I12" s="36">
        <v>3353</v>
      </c>
      <c r="J12" s="37">
        <v>21</v>
      </c>
      <c r="K12" s="38">
        <f t="shared" si="0"/>
        <v>182.36966999999996</v>
      </c>
      <c r="L12" s="86"/>
    </row>
    <row r="13" spans="1:12" s="27" customFormat="1" ht="19.5" customHeight="1" x14ac:dyDescent="0.3">
      <c r="A13" s="28"/>
      <c r="B13" s="16"/>
      <c r="C13" s="17"/>
      <c r="D13" s="18"/>
      <c r="E13" s="81"/>
      <c r="F13" s="82"/>
      <c r="G13" s="34" t="s">
        <v>1612</v>
      </c>
      <c r="H13" s="35">
        <v>2590</v>
      </c>
      <c r="I13" s="36">
        <v>3048</v>
      </c>
      <c r="J13" s="37">
        <v>4</v>
      </c>
      <c r="K13" s="38">
        <f t="shared" si="0"/>
        <v>31.577279999999998</v>
      </c>
      <c r="L13" s="86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1613</v>
      </c>
      <c r="B15" s="16" t="s">
        <v>1614</v>
      </c>
      <c r="C15" s="17">
        <v>25.76</v>
      </c>
      <c r="D15" s="18" t="s">
        <v>1615</v>
      </c>
      <c r="E15" s="41">
        <v>164</v>
      </c>
      <c r="F15" s="42">
        <v>90.24</v>
      </c>
      <c r="G15" s="34" t="s">
        <v>1616</v>
      </c>
      <c r="H15" s="35">
        <v>2134</v>
      </c>
      <c r="I15" s="36">
        <v>3353</v>
      </c>
      <c r="J15" s="37">
        <v>11</v>
      </c>
      <c r="K15" s="38">
        <f t="shared" si="0"/>
        <v>78.708321999999995</v>
      </c>
      <c r="L15" s="39" t="s">
        <v>1618</v>
      </c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 t="s">
        <v>1617</v>
      </c>
      <c r="H16" s="35">
        <v>2134</v>
      </c>
      <c r="I16" s="36">
        <v>3353</v>
      </c>
      <c r="J16" s="37">
        <v>2</v>
      </c>
      <c r="K16" s="38">
        <f t="shared" si="0"/>
        <v>14.310604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81"/>
      <c r="F17" s="82"/>
      <c r="G17" s="34"/>
      <c r="H17" s="35"/>
      <c r="I17" s="36"/>
      <c r="J17" s="37"/>
      <c r="K17" s="38">
        <f t="shared" si="0"/>
        <v>0</v>
      </c>
      <c r="L17" s="86"/>
    </row>
    <row r="18" spans="1:12" s="27" customFormat="1" ht="19.5" customHeight="1" x14ac:dyDescent="0.3">
      <c r="A18" s="28" t="s">
        <v>1619</v>
      </c>
      <c r="B18" s="16" t="s">
        <v>1620</v>
      </c>
      <c r="C18" s="17">
        <v>28</v>
      </c>
      <c r="D18" s="18" t="s">
        <v>1621</v>
      </c>
      <c r="E18" s="81">
        <v>1</v>
      </c>
      <c r="F18" s="82">
        <v>0.38</v>
      </c>
      <c r="G18" s="34"/>
      <c r="H18" s="35"/>
      <c r="I18" s="36"/>
      <c r="J18" s="37"/>
      <c r="K18" s="38"/>
      <c r="L18" s="39" t="s">
        <v>1622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82"/>
      <c r="G19" s="34"/>
      <c r="H19" s="35"/>
      <c r="I19" s="36"/>
      <c r="J19" s="37"/>
      <c r="K19" s="38">
        <f t="shared" si="0"/>
        <v>0</v>
      </c>
      <c r="L19" s="86"/>
    </row>
    <row r="20" spans="1:12" s="27" customFormat="1" ht="19.5" customHeight="1" x14ac:dyDescent="0.3">
      <c r="A20" s="28" t="s">
        <v>1623</v>
      </c>
      <c r="B20" s="16" t="s">
        <v>1614</v>
      </c>
      <c r="C20" s="17">
        <v>22</v>
      </c>
      <c r="D20" s="18" t="s">
        <v>1624</v>
      </c>
      <c r="E20" s="81">
        <v>12</v>
      </c>
      <c r="F20" s="82">
        <v>19.2</v>
      </c>
      <c r="G20" s="34" t="s">
        <v>1616</v>
      </c>
      <c r="H20" s="35">
        <v>1981</v>
      </c>
      <c r="I20" s="36">
        <v>3353</v>
      </c>
      <c r="J20" s="37">
        <v>4</v>
      </c>
      <c r="K20" s="38">
        <f t="shared" si="0"/>
        <v>26.569172000000002</v>
      </c>
      <c r="L20" s="39" t="s">
        <v>1618</v>
      </c>
    </row>
    <row r="21" spans="1:12" s="27" customFormat="1" ht="19.5" customHeight="1" x14ac:dyDescent="0.3">
      <c r="A21" s="28"/>
      <c r="B21" s="16"/>
      <c r="C21" s="17">
        <v>46.76</v>
      </c>
      <c r="D21" s="18" t="s">
        <v>1626</v>
      </c>
      <c r="E21" s="41">
        <v>6</v>
      </c>
      <c r="F21" s="42">
        <v>2.4</v>
      </c>
      <c r="G21" s="34"/>
      <c r="H21" s="35"/>
      <c r="I21" s="36"/>
      <c r="J21" s="37"/>
      <c r="K21" s="38">
        <f t="shared" si="0"/>
        <v>0</v>
      </c>
      <c r="L21" s="86" t="s">
        <v>1625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1627</v>
      </c>
      <c r="B23" s="16" t="s">
        <v>1614</v>
      </c>
      <c r="C23" s="17">
        <v>22</v>
      </c>
      <c r="D23" s="18" t="s">
        <v>1624</v>
      </c>
      <c r="E23" s="41">
        <v>12</v>
      </c>
      <c r="F23" s="42">
        <v>16.920000000000002</v>
      </c>
      <c r="G23" s="34" t="s">
        <v>1616</v>
      </c>
      <c r="H23" s="35">
        <v>1981</v>
      </c>
      <c r="I23" s="36">
        <v>3353</v>
      </c>
      <c r="J23" s="37">
        <v>3</v>
      </c>
      <c r="K23" s="38">
        <f t="shared" si="0"/>
        <v>19.926879</v>
      </c>
      <c r="L23" s="39" t="s">
        <v>1618</v>
      </c>
    </row>
    <row r="24" spans="1:12" s="27" customFormat="1" ht="19.5" customHeight="1" x14ac:dyDescent="0.3">
      <c r="A24" s="28"/>
      <c r="B24" s="16"/>
      <c r="C24" s="17">
        <v>46.76</v>
      </c>
      <c r="D24" s="18" t="s">
        <v>1626</v>
      </c>
      <c r="E24" s="41">
        <v>6</v>
      </c>
      <c r="F24" s="42">
        <v>2.4</v>
      </c>
      <c r="G24" s="34"/>
      <c r="H24" s="35"/>
      <c r="I24" s="36"/>
      <c r="J24" s="37"/>
      <c r="K24" s="38">
        <f t="shared" si="0"/>
        <v>0</v>
      </c>
      <c r="L24" s="86" t="s">
        <v>1625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 t="s">
        <v>1628</v>
      </c>
      <c r="B26" s="16" t="s">
        <v>1629</v>
      </c>
      <c r="C26" s="17">
        <v>24</v>
      </c>
      <c r="D26" s="18" t="s">
        <v>1630</v>
      </c>
      <c r="E26" s="41">
        <v>5</v>
      </c>
      <c r="F26" s="42">
        <v>16.649999999999999</v>
      </c>
      <c r="G26" s="34" t="s">
        <v>1632</v>
      </c>
      <c r="H26" s="35">
        <v>1981</v>
      </c>
      <c r="I26" s="36">
        <v>3353</v>
      </c>
      <c r="J26" s="37">
        <v>5</v>
      </c>
      <c r="K26" s="38">
        <f t="shared" si="0"/>
        <v>33.211465000000004</v>
      </c>
      <c r="L26" s="39"/>
    </row>
    <row r="27" spans="1:12" s="27" customFormat="1" ht="19.5" customHeight="1" x14ac:dyDescent="0.3">
      <c r="A27" s="28"/>
      <c r="B27" s="16"/>
      <c r="C27" s="17">
        <v>24</v>
      </c>
      <c r="D27" s="18" t="s">
        <v>1631</v>
      </c>
      <c r="E27" s="41">
        <v>5</v>
      </c>
      <c r="F27" s="42">
        <v>12.6</v>
      </c>
      <c r="G27" s="34" t="s">
        <v>1611</v>
      </c>
      <c r="H27" s="35">
        <v>1981</v>
      </c>
      <c r="I27" s="36">
        <v>3353</v>
      </c>
      <c r="J27" s="37">
        <v>5</v>
      </c>
      <c r="K27" s="38">
        <f t="shared" si="0"/>
        <v>33.211465000000004</v>
      </c>
      <c r="L27" s="39" t="s">
        <v>1633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 t="s">
        <v>1634</v>
      </c>
      <c r="B29" s="16" t="s">
        <v>1629</v>
      </c>
      <c r="C29" s="17">
        <v>24</v>
      </c>
      <c r="D29" s="18" t="s">
        <v>1630</v>
      </c>
      <c r="E29" s="41">
        <v>10</v>
      </c>
      <c r="F29" s="42">
        <v>33.299999999999997</v>
      </c>
      <c r="G29" s="34" t="s">
        <v>1632</v>
      </c>
      <c r="H29" s="35">
        <v>1981</v>
      </c>
      <c r="I29" s="36">
        <v>3353</v>
      </c>
      <c r="J29" s="37">
        <v>10</v>
      </c>
      <c r="K29" s="38">
        <f t="shared" si="0"/>
        <v>66.422930000000008</v>
      </c>
      <c r="L29" s="39"/>
    </row>
    <row r="30" spans="1:12" s="27" customFormat="1" ht="19.5" customHeight="1" x14ac:dyDescent="0.3">
      <c r="A30" s="28"/>
      <c r="B30" s="16"/>
      <c r="C30" s="17">
        <v>24</v>
      </c>
      <c r="D30" s="18" t="s">
        <v>1631</v>
      </c>
      <c r="E30" s="41">
        <v>20</v>
      </c>
      <c r="F30" s="42">
        <v>29.1</v>
      </c>
      <c r="G30" s="34" t="s">
        <v>1611</v>
      </c>
      <c r="H30" s="35">
        <v>1981</v>
      </c>
      <c r="I30" s="36">
        <v>3353</v>
      </c>
      <c r="J30" s="37">
        <v>10</v>
      </c>
      <c r="K30" s="38">
        <f t="shared" si="0"/>
        <v>66.422930000000008</v>
      </c>
      <c r="L30" s="39" t="s">
        <v>1635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 t="s">
        <v>1571</v>
      </c>
      <c r="B32" s="16" t="s">
        <v>1568</v>
      </c>
      <c r="C32" s="17">
        <v>39</v>
      </c>
      <c r="D32" s="18" t="s">
        <v>1569</v>
      </c>
      <c r="E32" s="81">
        <v>111</v>
      </c>
      <c r="F32" s="82">
        <v>146.07</v>
      </c>
      <c r="G32" s="34" t="s">
        <v>18</v>
      </c>
      <c r="H32" s="35">
        <v>2590</v>
      </c>
      <c r="I32" s="36">
        <v>3353</v>
      </c>
      <c r="J32" s="37">
        <v>18</v>
      </c>
      <c r="K32" s="38">
        <f t="shared" si="0"/>
        <v>156.31685999999996</v>
      </c>
      <c r="L32" s="86" t="s">
        <v>1636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43"/>
      <c r="H38" s="35"/>
      <c r="I38" s="36"/>
      <c r="J38" s="37"/>
      <c r="K38" s="38">
        <f t="shared" si="0"/>
        <v>0</v>
      </c>
      <c r="L38" s="39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1637</v>
      </c>
      <c r="B40" s="76" t="s">
        <v>1638</v>
      </c>
      <c r="C40" s="77">
        <v>22</v>
      </c>
      <c r="D40" s="47" t="s">
        <v>665</v>
      </c>
      <c r="E40" s="48">
        <f>392-194</f>
        <v>198</v>
      </c>
      <c r="F40" s="49">
        <v>110.8</v>
      </c>
      <c r="G40" s="50" t="s">
        <v>1611</v>
      </c>
      <c r="H40" s="51">
        <v>1829</v>
      </c>
      <c r="I40" s="45">
        <v>3048</v>
      </c>
      <c r="J40" s="52">
        <v>23</v>
      </c>
      <c r="K40" s="53">
        <f t="shared" si="0"/>
        <v>128.22021599999999</v>
      </c>
      <c r="L40" s="54" t="s">
        <v>1640</v>
      </c>
    </row>
    <row r="41" spans="1:12" s="55" customFormat="1" ht="19.5" customHeight="1" x14ac:dyDescent="0.3">
      <c r="A41" s="44"/>
      <c r="B41" s="45"/>
      <c r="C41" s="77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1641</v>
      </c>
      <c r="B42" s="76" t="s">
        <v>1642</v>
      </c>
      <c r="C42" s="77">
        <v>24</v>
      </c>
      <c r="D42" s="47" t="s">
        <v>1643</v>
      </c>
      <c r="E42" s="48">
        <v>6</v>
      </c>
      <c r="F42" s="49">
        <v>6.9</v>
      </c>
      <c r="G42" s="50" t="s">
        <v>1644</v>
      </c>
      <c r="H42" s="51">
        <v>1829</v>
      </c>
      <c r="I42" s="45">
        <v>3353</v>
      </c>
      <c r="J42" s="52">
        <v>1</v>
      </c>
      <c r="K42" s="53">
        <f t="shared" si="0"/>
        <v>6.1326369999999999</v>
      </c>
      <c r="L42" s="54"/>
    </row>
    <row r="43" spans="1:12" s="55" customFormat="1" ht="19.5" customHeight="1" x14ac:dyDescent="0.3">
      <c r="A43" s="44"/>
      <c r="B43" s="76"/>
      <c r="C43" s="77"/>
      <c r="D43" s="47"/>
      <c r="E43" s="48"/>
      <c r="F43" s="49"/>
      <c r="G43" s="50" t="s">
        <v>1612</v>
      </c>
      <c r="H43" s="51">
        <v>1981</v>
      </c>
      <c r="I43" s="45">
        <v>3353</v>
      </c>
      <c r="J43" s="52">
        <v>1</v>
      </c>
      <c r="K43" s="53">
        <f t="shared" si="0"/>
        <v>6.6422930000000004</v>
      </c>
      <c r="L43" s="54"/>
    </row>
    <row r="44" spans="1:12" s="55" customFormat="1" ht="19.5" customHeight="1" x14ac:dyDescent="0.3">
      <c r="A44" s="44"/>
      <c r="B44" s="76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1645</v>
      </c>
      <c r="B45" s="76" t="s">
        <v>1607</v>
      </c>
      <c r="C45" s="77">
        <v>39</v>
      </c>
      <c r="D45" s="47" t="s">
        <v>1646</v>
      </c>
      <c r="E45" s="48">
        <v>2</v>
      </c>
      <c r="F45" s="49">
        <v>0.56000000000000005</v>
      </c>
      <c r="G45" s="50"/>
      <c r="H45" s="51"/>
      <c r="I45" s="45"/>
      <c r="J45" s="52"/>
      <c r="K45" s="53">
        <f t="shared" si="0"/>
        <v>0</v>
      </c>
      <c r="L45" s="54" t="s">
        <v>1622</v>
      </c>
    </row>
    <row r="46" spans="1:12" s="55" customFormat="1" ht="19.5" customHeight="1" x14ac:dyDescent="0.3">
      <c r="A46" s="44"/>
      <c r="B46" s="45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1647</v>
      </c>
      <c r="B47" s="76" t="s">
        <v>1648</v>
      </c>
      <c r="C47" s="77">
        <v>43</v>
      </c>
      <c r="D47" s="47" t="s">
        <v>1649</v>
      </c>
      <c r="E47" s="48">
        <v>54</v>
      </c>
      <c r="F47" s="49">
        <v>78.56</v>
      </c>
      <c r="G47" s="50" t="s">
        <v>1650</v>
      </c>
      <c r="H47" s="51">
        <v>2134</v>
      </c>
      <c r="I47" s="45">
        <v>3048</v>
      </c>
      <c r="J47" s="52">
        <v>6</v>
      </c>
      <c r="K47" s="53">
        <f t="shared" si="0"/>
        <v>39.026591999999994</v>
      </c>
      <c r="L47" s="54" t="s">
        <v>1618</v>
      </c>
    </row>
    <row r="48" spans="1:12" s="55" customFormat="1" ht="19.5" customHeight="1" x14ac:dyDescent="0.3">
      <c r="A48" s="44"/>
      <c r="B48" s="76"/>
      <c r="C48" s="77">
        <v>24</v>
      </c>
      <c r="D48" s="47" t="s">
        <v>1662</v>
      </c>
      <c r="E48" s="48">
        <v>1</v>
      </c>
      <c r="F48" s="49">
        <v>0.45</v>
      </c>
      <c r="G48" s="50" t="s">
        <v>1650</v>
      </c>
      <c r="H48" s="51">
        <v>2438</v>
      </c>
      <c r="I48" s="45">
        <v>3353</v>
      </c>
      <c r="J48" s="52">
        <v>20</v>
      </c>
      <c r="K48" s="53">
        <f t="shared" si="0"/>
        <v>163.49227999999999</v>
      </c>
      <c r="L48" s="54" t="s">
        <v>1663</v>
      </c>
    </row>
    <row r="49" spans="1:12" s="55" customFormat="1" ht="19.5" customHeight="1" x14ac:dyDescent="0.3">
      <c r="A49" s="44"/>
      <c r="B49" s="76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1652</v>
      </c>
      <c r="B50" s="45" t="s">
        <v>1651</v>
      </c>
      <c r="C50" s="77">
        <v>26</v>
      </c>
      <c r="D50" s="47" t="s">
        <v>1653</v>
      </c>
      <c r="E50" s="48">
        <v>1</v>
      </c>
      <c r="F50" s="49">
        <v>6.25</v>
      </c>
      <c r="G50" s="50" t="s">
        <v>1654</v>
      </c>
      <c r="H50" s="51">
        <v>2134</v>
      </c>
      <c r="I50" s="45">
        <v>3353</v>
      </c>
      <c r="J50" s="52">
        <v>1</v>
      </c>
      <c r="K50" s="53">
        <f t="shared" si="0"/>
        <v>7.1553019999999998</v>
      </c>
      <c r="L50" s="54"/>
    </row>
    <row r="51" spans="1:12" s="55" customFormat="1" ht="19.5" customHeight="1" x14ac:dyDescent="0.3">
      <c r="A51" s="44"/>
      <c r="B51" s="76"/>
      <c r="C51" s="77"/>
      <c r="D51" s="47"/>
      <c r="E51" s="48"/>
      <c r="F51" s="49"/>
      <c r="G51" s="50" t="s">
        <v>1612</v>
      </c>
      <c r="H51" s="51">
        <v>1981</v>
      </c>
      <c r="I51" s="45">
        <v>3353</v>
      </c>
      <c r="J51" s="52">
        <v>1</v>
      </c>
      <c r="K51" s="53">
        <f t="shared" si="0"/>
        <v>6.6422930000000004</v>
      </c>
      <c r="L51" s="54"/>
    </row>
    <row r="52" spans="1:12" s="55" customFormat="1" ht="19.5" customHeight="1" x14ac:dyDescent="0.3">
      <c r="A52" s="44"/>
      <c r="B52" s="76"/>
      <c r="C52" s="77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1655</v>
      </c>
      <c r="B53" s="45" t="s">
        <v>1651</v>
      </c>
      <c r="C53" s="77">
        <v>26</v>
      </c>
      <c r="D53" s="47" t="s">
        <v>1653</v>
      </c>
      <c r="E53" s="48">
        <v>8</v>
      </c>
      <c r="F53" s="49">
        <v>48.8</v>
      </c>
      <c r="G53" s="50" t="s">
        <v>1654</v>
      </c>
      <c r="H53" s="51">
        <v>2134</v>
      </c>
      <c r="I53" s="45">
        <v>3353</v>
      </c>
      <c r="J53" s="52">
        <v>8</v>
      </c>
      <c r="K53" s="53">
        <f t="shared" si="0"/>
        <v>57.242415999999999</v>
      </c>
      <c r="L53" s="54" t="s">
        <v>1618</v>
      </c>
    </row>
    <row r="54" spans="1:12" s="55" customFormat="1" ht="19.5" customHeight="1" x14ac:dyDescent="0.3">
      <c r="A54" s="44"/>
      <c r="B54" s="76"/>
      <c r="C54" s="77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1656</v>
      </c>
      <c r="B55" s="45" t="s">
        <v>1651</v>
      </c>
      <c r="C55" s="77">
        <v>26</v>
      </c>
      <c r="D55" s="47" t="s">
        <v>1653</v>
      </c>
      <c r="E55" s="48">
        <v>1</v>
      </c>
      <c r="F55" s="49">
        <v>5.83</v>
      </c>
      <c r="G55" s="50" t="s">
        <v>1654</v>
      </c>
      <c r="H55" s="51">
        <v>2134</v>
      </c>
      <c r="I55" s="45">
        <v>3353</v>
      </c>
      <c r="J55" s="52">
        <v>1</v>
      </c>
      <c r="K55" s="53">
        <f t="shared" si="0"/>
        <v>7.1553019999999998</v>
      </c>
      <c r="L55" s="54"/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 t="s">
        <v>1612</v>
      </c>
      <c r="H56" s="51">
        <v>1981</v>
      </c>
      <c r="I56" s="45">
        <v>3353</v>
      </c>
      <c r="J56" s="52">
        <v>1</v>
      </c>
      <c r="K56" s="53">
        <f t="shared" si="0"/>
        <v>6.6422930000000004</v>
      </c>
      <c r="L56" s="54"/>
    </row>
    <row r="57" spans="1:12" s="55" customFormat="1" ht="19.5" customHeight="1" x14ac:dyDescent="0.3">
      <c r="A57" s="44"/>
      <c r="B57" s="76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1657</v>
      </c>
      <c r="B58" s="45" t="s">
        <v>1651</v>
      </c>
      <c r="C58" s="77">
        <v>26</v>
      </c>
      <c r="D58" s="47" t="s">
        <v>1653</v>
      </c>
      <c r="E58" s="48">
        <v>7</v>
      </c>
      <c r="F58" s="49">
        <v>42.34</v>
      </c>
      <c r="G58" s="50" t="s">
        <v>1654</v>
      </c>
      <c r="H58" s="51">
        <v>2134</v>
      </c>
      <c r="I58" s="45">
        <v>3353</v>
      </c>
      <c r="J58" s="52">
        <v>7</v>
      </c>
      <c r="K58" s="53">
        <f t="shared" si="0"/>
        <v>50.087114</v>
      </c>
      <c r="L58" s="54"/>
    </row>
    <row r="59" spans="1:12" s="55" customFormat="1" ht="19.5" customHeight="1" x14ac:dyDescent="0.3">
      <c r="A59" s="44"/>
      <c r="B59" s="76"/>
      <c r="C59" s="77"/>
      <c r="D59" s="47"/>
      <c r="E59" s="48"/>
      <c r="F59" s="49"/>
      <c r="G59" s="50" t="s">
        <v>1612</v>
      </c>
      <c r="H59" s="51">
        <v>1981</v>
      </c>
      <c r="I59" s="45">
        <v>3353</v>
      </c>
      <c r="J59" s="52">
        <v>5</v>
      </c>
      <c r="K59" s="53">
        <f t="shared" si="0"/>
        <v>33.211465000000004</v>
      </c>
      <c r="L59" s="54"/>
    </row>
    <row r="60" spans="1:12" s="55" customFormat="1" ht="19.5" customHeight="1" x14ac:dyDescent="0.3">
      <c r="A60" s="44"/>
      <c r="B60" s="76"/>
      <c r="C60" s="77"/>
      <c r="D60" s="47"/>
      <c r="E60" s="48"/>
      <c r="F60" s="49"/>
      <c r="G60" s="50" t="s">
        <v>1612</v>
      </c>
      <c r="H60" s="51">
        <v>1829</v>
      </c>
      <c r="I60" s="45">
        <v>3353</v>
      </c>
      <c r="J60" s="52">
        <v>2</v>
      </c>
      <c r="K60" s="53">
        <f t="shared" si="0"/>
        <v>12.265274</v>
      </c>
      <c r="L60" s="54"/>
    </row>
    <row r="61" spans="1:12" s="55" customFormat="1" ht="19.5" customHeight="1" x14ac:dyDescent="0.3">
      <c r="A61" s="44"/>
      <c r="B61" s="76"/>
      <c r="C61" s="77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1658</v>
      </c>
      <c r="B62" s="45" t="s">
        <v>1614</v>
      </c>
      <c r="C62" s="77">
        <v>22</v>
      </c>
      <c r="D62" s="78" t="s">
        <v>1659</v>
      </c>
      <c r="E62" s="48">
        <v>126</v>
      </c>
      <c r="F62" s="49">
        <v>114.24</v>
      </c>
      <c r="G62" s="50" t="s">
        <v>1612</v>
      </c>
      <c r="H62" s="51">
        <v>2590</v>
      </c>
      <c r="I62" s="45">
        <v>3048</v>
      </c>
      <c r="J62" s="52">
        <v>16</v>
      </c>
      <c r="K62" s="53">
        <f t="shared" si="0"/>
        <v>126.30911999999999</v>
      </c>
      <c r="L62" s="54" t="s">
        <v>1660</v>
      </c>
    </row>
    <row r="63" spans="1:12" s="55" customFormat="1" ht="19.5" customHeight="1" x14ac:dyDescent="0.3">
      <c r="A63" s="44"/>
      <c r="B63" s="45"/>
      <c r="C63" s="77"/>
      <c r="D63" s="78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9" customFormat="1" ht="20.100000000000001" customHeight="1" x14ac:dyDescent="0.3">
      <c r="A66" s="44"/>
      <c r="B66" s="45"/>
      <c r="C66" s="46"/>
      <c r="D66" s="47"/>
      <c r="E66" s="56"/>
      <c r="F66" s="57"/>
      <c r="G66" s="50"/>
      <c r="H66" s="51"/>
      <c r="I66" s="45"/>
      <c r="J66" s="52"/>
      <c r="K66" s="53">
        <f t="shared" si="0"/>
        <v>0</v>
      </c>
      <c r="L66" s="58">
        <f>SUM(J39:J67)</f>
        <v>93</v>
      </c>
    </row>
    <row r="67" spans="1:12" s="59" customFormat="1" ht="20.100000000000001" customHeight="1" x14ac:dyDescent="0.3">
      <c r="A67" s="44"/>
      <c r="B67" s="45"/>
      <c r="C67" s="46"/>
      <c r="D67" s="47"/>
      <c r="E67" s="60"/>
      <c r="F67" s="61"/>
      <c r="G67" s="62"/>
      <c r="H67" s="51"/>
      <c r="I67" s="45"/>
      <c r="J67" s="63"/>
      <c r="K67" s="53">
        <f t="shared" si="0"/>
        <v>0</v>
      </c>
      <c r="L67" s="64">
        <f>SUM(K39:K67)</f>
        <v>650.2245969999999</v>
      </c>
    </row>
    <row r="68" spans="1:12" s="59" customFormat="1" ht="20.100000000000001" customHeight="1" thickBot="1" x14ac:dyDescent="0.35">
      <c r="A68" s="114"/>
      <c r="B68" s="115"/>
      <c r="C68" s="115"/>
      <c r="D68" s="115"/>
      <c r="E68" s="115"/>
      <c r="F68" s="115"/>
      <c r="G68" s="115"/>
      <c r="H68" s="115"/>
      <c r="I68" s="115"/>
      <c r="J68" s="65">
        <f>SUM(J7:J67)</f>
        <v>221</v>
      </c>
      <c r="K68" s="66">
        <f>SUM(K7:K67)</f>
        <v>1577.5580159999995</v>
      </c>
      <c r="L68" s="67"/>
    </row>
    <row r="69" spans="1:12" s="59" customFormat="1" ht="20.100000000000001" customHeight="1" thickTop="1" thickBot="1" x14ac:dyDescent="0.35">
      <c r="A69" s="116" t="s">
        <v>52</v>
      </c>
      <c r="B69" s="117"/>
      <c r="C69" s="68"/>
      <c r="D69" s="118">
        <f>J68</f>
        <v>221</v>
      </c>
      <c r="E69" s="119"/>
      <c r="F69" s="119"/>
      <c r="G69" s="120"/>
      <c r="H69" s="121"/>
      <c r="I69" s="121"/>
      <c r="J69" s="122"/>
      <c r="K69" s="119"/>
      <c r="L69" s="123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71"/>
    </row>
    <row r="71" spans="1:12" s="59" customFormat="1" ht="20.100000000000001" customHeight="1" x14ac:dyDescent="0.3">
      <c r="A71" s="69"/>
      <c r="B71" s="5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72"/>
      <c r="F75" s="5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5"/>
      <c r="G76" s="73"/>
      <c r="H76" s="5"/>
      <c r="I76" s="74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70"/>
      <c r="G80" s="5"/>
      <c r="H80" s="72"/>
      <c r="I80" s="72"/>
      <c r="J80" s="5"/>
      <c r="K80" s="5"/>
      <c r="L80" s="5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A84" s="113"/>
      <c r="B84" s="113"/>
      <c r="H84" s="72"/>
      <c r="I84" s="72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5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5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75" customFormat="1" ht="19.5" customHeight="1" x14ac:dyDescent="0.3">
      <c r="A93" s="69"/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ht="19.5" customHeight="1" x14ac:dyDescent="0.3"/>
    <row r="97" spans="2:12" ht="19.5" customHeight="1" x14ac:dyDescent="0.3"/>
    <row r="98" spans="2:12" ht="19.5" customHeight="1" x14ac:dyDescent="0.3"/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>
        <v>2</v>
      </c>
      <c r="C159" s="5"/>
      <c r="D159" s="5"/>
      <c r="E159" s="5"/>
      <c r="F159" s="70"/>
      <c r="G159" s="5"/>
      <c r="H159" s="5"/>
      <c r="I159" s="5"/>
      <c r="J159" s="5"/>
      <c r="K159" s="5"/>
      <c r="L159" s="5"/>
    </row>
  </sheetData>
  <mergeCells count="30">
    <mergeCell ref="A84:B84"/>
    <mergeCell ref="A85:B85"/>
    <mergeCell ref="A75:B75"/>
    <mergeCell ref="A76:B76"/>
    <mergeCell ref="A77:B77"/>
    <mergeCell ref="A79:B79"/>
    <mergeCell ref="A80:B80"/>
    <mergeCell ref="A81:B81"/>
    <mergeCell ref="A74:B7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8:I68"/>
    <mergeCell ref="A69:B69"/>
    <mergeCell ref="D69:G69"/>
    <mergeCell ref="H69:J69"/>
    <mergeCell ref="K69:L69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L167"/>
  <sheetViews>
    <sheetView view="pageBreakPreview" topLeftCell="A11" zoomScale="85" zoomScaleSheetLayoutView="85" workbookViewId="0">
      <selection activeCell="A11" sqref="A1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46074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5" si="0">(H7/1000*I7/1000)*J7</f>
        <v>0</v>
      </c>
      <c r="L7" s="26">
        <f>SUM(J7:J46)</f>
        <v>96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SUM(K7:K46)</f>
        <v>742.02513699999986</v>
      </c>
    </row>
    <row r="9" spans="1:12" s="27" customFormat="1" ht="19.5" customHeight="1" x14ac:dyDescent="0.3">
      <c r="A9" s="28" t="s">
        <v>1567</v>
      </c>
      <c r="B9" s="16" t="s">
        <v>1568</v>
      </c>
      <c r="C9" s="17">
        <v>39</v>
      </c>
      <c r="D9" s="18" t="s">
        <v>1569</v>
      </c>
      <c r="E9" s="81">
        <v>147</v>
      </c>
      <c r="F9" s="82">
        <v>169.8</v>
      </c>
      <c r="G9" s="34" t="s">
        <v>1570</v>
      </c>
      <c r="H9" s="35">
        <v>2590</v>
      </c>
      <c r="I9" s="36">
        <v>3353</v>
      </c>
      <c r="J9" s="37">
        <v>22</v>
      </c>
      <c r="K9" s="38">
        <f t="shared" si="0"/>
        <v>191.05393999999995</v>
      </c>
      <c r="L9" s="86" t="s">
        <v>1572</v>
      </c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86"/>
    </row>
    <row r="11" spans="1:12" s="27" customFormat="1" ht="19.5" customHeight="1" x14ac:dyDescent="0.3">
      <c r="A11" s="28" t="s">
        <v>1571</v>
      </c>
      <c r="B11" s="16" t="s">
        <v>1568</v>
      </c>
      <c r="C11" s="17">
        <v>39</v>
      </c>
      <c r="D11" s="18" t="s">
        <v>1569</v>
      </c>
      <c r="E11" s="81">
        <v>111</v>
      </c>
      <c r="F11" s="82">
        <v>146.07</v>
      </c>
      <c r="G11" s="34" t="s">
        <v>1570</v>
      </c>
      <c r="H11" s="35">
        <v>2590</v>
      </c>
      <c r="I11" s="36">
        <v>3353</v>
      </c>
      <c r="J11" s="37">
        <v>18</v>
      </c>
      <c r="K11" s="38">
        <f t="shared" si="0"/>
        <v>156.31685999999996</v>
      </c>
      <c r="L11" s="86" t="s">
        <v>1573</v>
      </c>
    </row>
    <row r="12" spans="1:12" s="27" customFormat="1" ht="19.5" customHeight="1" x14ac:dyDescent="0.3">
      <c r="A12" s="28"/>
      <c r="B12" s="16"/>
      <c r="C12" s="17"/>
      <c r="D12" s="18"/>
      <c r="E12" s="81"/>
      <c r="F12" s="82"/>
      <c r="G12" s="34"/>
      <c r="H12" s="35"/>
      <c r="I12" s="36"/>
      <c r="J12" s="37"/>
      <c r="K12" s="38">
        <f t="shared" si="0"/>
        <v>0</v>
      </c>
      <c r="L12" s="86"/>
    </row>
    <row r="13" spans="1:12" s="27" customFormat="1" ht="19.5" customHeight="1" x14ac:dyDescent="0.3">
      <c r="A13" s="28" t="s">
        <v>1574</v>
      </c>
      <c r="B13" s="16" t="s">
        <v>1575</v>
      </c>
      <c r="C13" s="17">
        <v>22</v>
      </c>
      <c r="D13" s="18" t="s">
        <v>1576</v>
      </c>
      <c r="E13" s="81">
        <v>18</v>
      </c>
      <c r="F13" s="82">
        <v>19.8</v>
      </c>
      <c r="G13" s="34" t="s">
        <v>1570</v>
      </c>
      <c r="H13" s="35">
        <v>2590</v>
      </c>
      <c r="I13" s="36">
        <v>3048</v>
      </c>
      <c r="J13" s="37">
        <v>3</v>
      </c>
      <c r="K13" s="38">
        <f t="shared" si="0"/>
        <v>23.682959999999998</v>
      </c>
      <c r="L13" s="86"/>
    </row>
    <row r="14" spans="1:12" s="27" customFormat="1" ht="19.5" customHeight="1" x14ac:dyDescent="0.3">
      <c r="A14" s="28"/>
      <c r="B14" s="16"/>
      <c r="C14" s="17">
        <v>46.76</v>
      </c>
      <c r="D14" s="18" t="s">
        <v>1598</v>
      </c>
      <c r="E14" s="41">
        <v>6</v>
      </c>
      <c r="F14" s="42">
        <v>2.7</v>
      </c>
      <c r="G14" s="34" t="s">
        <v>19</v>
      </c>
      <c r="H14" s="35">
        <v>1981</v>
      </c>
      <c r="I14" s="36">
        <v>3353</v>
      </c>
      <c r="J14" s="37">
        <v>4</v>
      </c>
      <c r="K14" s="38">
        <f t="shared" ref="K14:K15" si="1">(H14/1000*I14/1000)*J14</f>
        <v>26.569172000000002</v>
      </c>
      <c r="L14" s="39" t="s">
        <v>1599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si="1"/>
        <v>0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1578</v>
      </c>
      <c r="B17" s="16" t="s">
        <v>1575</v>
      </c>
      <c r="C17" s="17">
        <v>22</v>
      </c>
      <c r="D17" s="18" t="s">
        <v>1576</v>
      </c>
      <c r="E17" s="81">
        <v>12</v>
      </c>
      <c r="F17" s="82">
        <v>19.2</v>
      </c>
      <c r="G17" s="34" t="s">
        <v>1570</v>
      </c>
      <c r="H17" s="35">
        <v>1981</v>
      </c>
      <c r="I17" s="36">
        <v>3353</v>
      </c>
      <c r="J17" s="37">
        <v>3</v>
      </c>
      <c r="K17" s="38">
        <f t="shared" ref="K17" si="2">(H17/1000*I17/1000)*J17</f>
        <v>19.926879</v>
      </c>
      <c r="L17" s="86" t="s">
        <v>1572</v>
      </c>
    </row>
    <row r="18" spans="1:12" s="27" customFormat="1" ht="19.5" customHeight="1" x14ac:dyDescent="0.3">
      <c r="A18" s="28"/>
      <c r="B18" s="16"/>
      <c r="C18" s="17"/>
      <c r="D18" s="18"/>
      <c r="E18" s="81"/>
      <c r="F18" s="82"/>
      <c r="G18" s="34"/>
      <c r="H18" s="35"/>
      <c r="I18" s="36"/>
      <c r="J18" s="37"/>
      <c r="K18" s="38"/>
      <c r="L18" s="39"/>
    </row>
    <row r="19" spans="1:12" s="27" customFormat="1" ht="19.5" customHeight="1" x14ac:dyDescent="0.3">
      <c r="A19" s="28" t="s">
        <v>1580</v>
      </c>
      <c r="B19" s="16" t="s">
        <v>1575</v>
      </c>
      <c r="C19" s="17">
        <v>22</v>
      </c>
      <c r="D19" s="18" t="s">
        <v>1576</v>
      </c>
      <c r="E19" s="41">
        <v>12</v>
      </c>
      <c r="F19" s="82">
        <v>16.920000000000002</v>
      </c>
      <c r="G19" s="34" t="s">
        <v>1581</v>
      </c>
      <c r="H19" s="35">
        <v>2590</v>
      </c>
      <c r="I19" s="36">
        <v>3048</v>
      </c>
      <c r="J19" s="37">
        <v>3</v>
      </c>
      <c r="K19" s="38">
        <f t="shared" si="0"/>
        <v>23.682959999999998</v>
      </c>
      <c r="L19" s="86" t="s">
        <v>1572</v>
      </c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1583</v>
      </c>
      <c r="B21" s="16" t="s">
        <v>1575</v>
      </c>
      <c r="C21" s="17">
        <v>22</v>
      </c>
      <c r="D21" s="18" t="s">
        <v>1576</v>
      </c>
      <c r="E21" s="41">
        <v>36</v>
      </c>
      <c r="F21" s="42">
        <v>39.6</v>
      </c>
      <c r="G21" s="34" t="s">
        <v>1581</v>
      </c>
      <c r="H21" s="35">
        <v>2590</v>
      </c>
      <c r="I21" s="36">
        <v>3048</v>
      </c>
      <c r="J21" s="37">
        <v>6</v>
      </c>
      <c r="K21" s="38">
        <f t="shared" si="0"/>
        <v>47.365919999999996</v>
      </c>
      <c r="L21" s="86"/>
    </row>
    <row r="22" spans="1:12" s="27" customFormat="1" ht="19.5" customHeight="1" x14ac:dyDescent="0.3">
      <c r="A22" s="28"/>
      <c r="B22" s="16"/>
      <c r="C22" s="17">
        <v>46.76</v>
      </c>
      <c r="D22" s="18" t="s">
        <v>1598</v>
      </c>
      <c r="E22" s="41">
        <v>12</v>
      </c>
      <c r="F22" s="42">
        <v>5.4</v>
      </c>
      <c r="G22" s="34" t="s">
        <v>19</v>
      </c>
      <c r="H22" s="35">
        <v>1981</v>
      </c>
      <c r="I22" s="36">
        <v>3353</v>
      </c>
      <c r="J22" s="37">
        <v>8</v>
      </c>
      <c r="K22" s="38">
        <f t="shared" ref="K22" si="3">(H22/1000*I22/1000)*J22</f>
        <v>53.138344000000004</v>
      </c>
      <c r="L22" s="39" t="s">
        <v>1600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 t="s">
        <v>1584</v>
      </c>
      <c r="B24" s="16" t="s">
        <v>1585</v>
      </c>
      <c r="C24" s="17">
        <v>5</v>
      </c>
      <c r="D24" s="18" t="s">
        <v>1586</v>
      </c>
      <c r="E24" s="41">
        <v>37</v>
      </c>
      <c r="F24" s="42">
        <v>14.2</v>
      </c>
      <c r="G24" s="34" t="s">
        <v>1587</v>
      </c>
      <c r="H24" s="35">
        <v>2438</v>
      </c>
      <c r="I24" s="36">
        <v>3353</v>
      </c>
      <c r="J24" s="37">
        <v>1</v>
      </c>
      <c r="K24" s="38">
        <f t="shared" si="0"/>
        <v>8.174614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 t="s">
        <v>1588</v>
      </c>
      <c r="B26" s="16" t="s">
        <v>1589</v>
      </c>
      <c r="C26" s="17">
        <v>5</v>
      </c>
      <c r="D26" s="18" t="s">
        <v>1586</v>
      </c>
      <c r="E26" s="41">
        <v>6</v>
      </c>
      <c r="F26" s="42">
        <v>3.39</v>
      </c>
      <c r="G26" s="34" t="s">
        <v>1587</v>
      </c>
      <c r="H26" s="35">
        <v>2438</v>
      </c>
      <c r="I26" s="36">
        <v>3353</v>
      </c>
      <c r="J26" s="37">
        <v>1</v>
      </c>
      <c r="K26" s="38">
        <f t="shared" si="0"/>
        <v>8.174614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 t="s">
        <v>1550</v>
      </c>
      <c r="B28" s="16" t="s">
        <v>1545</v>
      </c>
      <c r="C28" s="17">
        <v>26</v>
      </c>
      <c r="D28" s="18" t="s">
        <v>289</v>
      </c>
      <c r="E28" s="41">
        <v>44</v>
      </c>
      <c r="F28" s="42">
        <v>25.39</v>
      </c>
      <c r="G28" s="34" t="s">
        <v>1548</v>
      </c>
      <c r="H28" s="35">
        <v>2438</v>
      </c>
      <c r="I28" s="36">
        <v>3353</v>
      </c>
      <c r="J28" s="37">
        <v>3</v>
      </c>
      <c r="K28" s="38">
        <f t="shared" si="0"/>
        <v>24.523842000000002</v>
      </c>
      <c r="L28" s="39" t="s">
        <v>1560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 t="s">
        <v>1591</v>
      </c>
      <c r="B30" s="16" t="s">
        <v>1592</v>
      </c>
      <c r="C30" s="17">
        <v>24</v>
      </c>
      <c r="D30" s="18" t="s">
        <v>1593</v>
      </c>
      <c r="E30" s="41">
        <v>20</v>
      </c>
      <c r="F30" s="42">
        <v>19.899999999999999</v>
      </c>
      <c r="G30" s="34" t="s">
        <v>1559</v>
      </c>
      <c r="H30" s="35">
        <v>1981</v>
      </c>
      <c r="I30" s="36">
        <v>3353</v>
      </c>
      <c r="J30" s="37">
        <v>3</v>
      </c>
      <c r="K30" s="38">
        <f t="shared" si="0"/>
        <v>19.926879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 t="s">
        <v>1594</v>
      </c>
      <c r="H31" s="35">
        <v>1981</v>
      </c>
      <c r="I31" s="36">
        <v>3353</v>
      </c>
      <c r="J31" s="37">
        <v>3</v>
      </c>
      <c r="K31" s="38">
        <f t="shared" si="0"/>
        <v>19.926879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 t="s">
        <v>1595</v>
      </c>
      <c r="B33" s="16" t="s">
        <v>1592</v>
      </c>
      <c r="C33" s="17">
        <v>24</v>
      </c>
      <c r="D33" s="18" t="s">
        <v>1593</v>
      </c>
      <c r="E33" s="41">
        <v>30</v>
      </c>
      <c r="F33" s="42">
        <v>23.5</v>
      </c>
      <c r="G33" s="34" t="s">
        <v>1559</v>
      </c>
      <c r="H33" s="35">
        <v>1981</v>
      </c>
      <c r="I33" s="36">
        <v>3353</v>
      </c>
      <c r="J33" s="37">
        <v>4</v>
      </c>
      <c r="K33" s="38">
        <f t="shared" si="0"/>
        <v>26.569172000000002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 t="s">
        <v>1594</v>
      </c>
      <c r="H34" s="35">
        <v>1981</v>
      </c>
      <c r="I34" s="36">
        <v>3353</v>
      </c>
      <c r="J34" s="37">
        <v>4</v>
      </c>
      <c r="K34" s="38">
        <f t="shared" si="0"/>
        <v>26.569172000000002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81"/>
      <c r="F35" s="82"/>
      <c r="G35" s="34"/>
      <c r="H35" s="35"/>
      <c r="I35" s="36"/>
      <c r="J35" s="37"/>
      <c r="K35" s="38">
        <f t="shared" si="0"/>
        <v>0</v>
      </c>
      <c r="L35" s="86"/>
    </row>
    <row r="36" spans="1:12" s="27" customFormat="1" ht="19.5" customHeight="1" x14ac:dyDescent="0.3">
      <c r="A36" s="28" t="s">
        <v>1596</v>
      </c>
      <c r="B36" s="16" t="s">
        <v>1592</v>
      </c>
      <c r="C36" s="17">
        <v>24</v>
      </c>
      <c r="D36" s="18" t="s">
        <v>1593</v>
      </c>
      <c r="E36" s="41">
        <v>28</v>
      </c>
      <c r="F36" s="82">
        <v>20.48</v>
      </c>
      <c r="G36" s="34" t="s">
        <v>1559</v>
      </c>
      <c r="H36" s="35">
        <v>1981</v>
      </c>
      <c r="I36" s="36">
        <v>3353</v>
      </c>
      <c r="J36" s="37">
        <v>4</v>
      </c>
      <c r="K36" s="38">
        <f t="shared" si="0"/>
        <v>26.569172000000002</v>
      </c>
      <c r="L36" s="86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 t="s">
        <v>1594</v>
      </c>
      <c r="H37" s="35">
        <v>1981</v>
      </c>
      <c r="I37" s="36">
        <v>3353</v>
      </c>
      <c r="J37" s="37">
        <v>4</v>
      </c>
      <c r="K37" s="38">
        <f t="shared" si="0"/>
        <v>26.569172000000002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ref="K38" si="4">(H38/1000*I38/1000)*J38</f>
        <v>0</v>
      </c>
      <c r="L38" s="39"/>
    </row>
    <row r="39" spans="1:12" s="27" customFormat="1" ht="19.5" customHeight="1" x14ac:dyDescent="0.3">
      <c r="A39" s="28" t="s">
        <v>1574</v>
      </c>
      <c r="B39" s="16" t="s">
        <v>1597</v>
      </c>
      <c r="C39" s="17">
        <v>46.76</v>
      </c>
      <c r="D39" s="18" t="s">
        <v>1598</v>
      </c>
      <c r="E39" s="41">
        <v>6</v>
      </c>
      <c r="F39" s="42">
        <v>2.7</v>
      </c>
      <c r="G39" s="34" t="s">
        <v>62</v>
      </c>
      <c r="H39" s="35">
        <v>1981</v>
      </c>
      <c r="I39" s="36">
        <v>3353</v>
      </c>
      <c r="J39" s="37">
        <v>2</v>
      </c>
      <c r="K39" s="38">
        <f t="shared" si="0"/>
        <v>13.284586000000001</v>
      </c>
      <c r="L39" s="39" t="s">
        <v>1605</v>
      </c>
    </row>
    <row r="40" spans="1:12" s="27" customFormat="1" ht="19.5" customHeight="1" x14ac:dyDescent="0.3">
      <c r="A40" s="28" t="s">
        <v>1577</v>
      </c>
      <c r="B40" s="16" t="s">
        <v>1597</v>
      </c>
      <c r="C40" s="17">
        <v>46.76</v>
      </c>
      <c r="D40" s="18" t="s">
        <v>1598</v>
      </c>
      <c r="E40" s="41">
        <v>6</v>
      </c>
      <c r="F40" s="42">
        <v>2.4</v>
      </c>
      <c r="G40" s="34"/>
      <c r="H40" s="35"/>
      <c r="I40" s="36"/>
      <c r="J40" s="37"/>
      <c r="K40" s="38">
        <f t="shared" si="0"/>
        <v>0</v>
      </c>
      <c r="L40" s="39" t="s">
        <v>1605</v>
      </c>
    </row>
    <row r="41" spans="1:12" s="27" customFormat="1" ht="19.5" customHeight="1" x14ac:dyDescent="0.3">
      <c r="A41" s="28" t="s">
        <v>1579</v>
      </c>
      <c r="B41" s="16" t="s">
        <v>1597</v>
      </c>
      <c r="C41" s="17">
        <v>46.76</v>
      </c>
      <c r="D41" s="18" t="s">
        <v>1598</v>
      </c>
      <c r="E41" s="41">
        <v>6</v>
      </c>
      <c r="F41" s="42">
        <v>2.4</v>
      </c>
      <c r="G41" s="34"/>
      <c r="H41" s="35"/>
      <c r="I41" s="36"/>
      <c r="J41" s="37"/>
      <c r="K41" s="38">
        <f t="shared" si="0"/>
        <v>0</v>
      </c>
      <c r="L41" s="39" t="s">
        <v>1605</v>
      </c>
    </row>
    <row r="42" spans="1:12" s="27" customFormat="1" ht="19.5" customHeight="1" x14ac:dyDescent="0.3">
      <c r="A42" s="28" t="s">
        <v>1582</v>
      </c>
      <c r="B42" s="16" t="s">
        <v>1597</v>
      </c>
      <c r="C42" s="17">
        <v>46.76</v>
      </c>
      <c r="D42" s="18" t="s">
        <v>1598</v>
      </c>
      <c r="E42" s="41">
        <v>12</v>
      </c>
      <c r="F42" s="42">
        <v>5.4</v>
      </c>
      <c r="G42" s="34"/>
      <c r="H42" s="35"/>
      <c r="I42" s="36"/>
      <c r="J42" s="37"/>
      <c r="K42" s="38">
        <f t="shared" si="0"/>
        <v>0</v>
      </c>
      <c r="L42" s="39" t="s">
        <v>1605</v>
      </c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38">
        <f t="shared" si="0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38">
        <f t="shared" si="0"/>
        <v>0</v>
      </c>
      <c r="L44" s="39"/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38">
        <f t="shared" si="0"/>
        <v>0</v>
      </c>
      <c r="L45" s="39"/>
    </row>
    <row r="46" spans="1:12" s="27" customFormat="1" ht="19.5" customHeight="1" x14ac:dyDescent="0.3">
      <c r="A46" s="28"/>
      <c r="B46" s="29"/>
      <c r="C46" s="30"/>
      <c r="D46" s="31"/>
      <c r="E46" s="41"/>
      <c r="F46" s="42"/>
      <c r="G46" s="43"/>
      <c r="H46" s="35"/>
      <c r="I46" s="36"/>
      <c r="J46" s="37"/>
      <c r="K46" s="38">
        <f t="shared" si="0"/>
        <v>0</v>
      </c>
      <c r="L46" s="39"/>
    </row>
    <row r="47" spans="1:12" s="55" customFormat="1" ht="19.5" customHeight="1" x14ac:dyDescent="0.3">
      <c r="A47" s="44" t="s">
        <v>1556</v>
      </c>
      <c r="B47" s="45" t="s">
        <v>1557</v>
      </c>
      <c r="C47" s="46">
        <v>28</v>
      </c>
      <c r="D47" s="47" t="s">
        <v>1558</v>
      </c>
      <c r="E47" s="48">
        <v>21</v>
      </c>
      <c r="F47" s="49">
        <v>123.9</v>
      </c>
      <c r="G47" s="50" t="s">
        <v>1559</v>
      </c>
      <c r="H47" s="51">
        <v>1829</v>
      </c>
      <c r="I47" s="45">
        <v>3353</v>
      </c>
      <c r="J47" s="52">
        <v>21</v>
      </c>
      <c r="K47" s="53">
        <f t="shared" si="0"/>
        <v>128.78537700000001</v>
      </c>
      <c r="L47" s="54" t="s">
        <v>1560</v>
      </c>
    </row>
    <row r="48" spans="1:12" s="55" customFormat="1" ht="19.5" customHeight="1" x14ac:dyDescent="0.3">
      <c r="A48" s="44"/>
      <c r="B48" s="76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1561</v>
      </c>
      <c r="B49" s="45" t="s">
        <v>1557</v>
      </c>
      <c r="C49" s="77">
        <v>28</v>
      </c>
      <c r="D49" s="47" t="s">
        <v>1558</v>
      </c>
      <c r="E49" s="48">
        <v>15</v>
      </c>
      <c r="F49" s="49">
        <v>78.430000000000007</v>
      </c>
      <c r="G49" s="50" t="s">
        <v>1559</v>
      </c>
      <c r="H49" s="51">
        <v>2438</v>
      </c>
      <c r="I49" s="45">
        <v>3353</v>
      </c>
      <c r="J49" s="52">
        <v>1</v>
      </c>
      <c r="K49" s="53">
        <f t="shared" si="0"/>
        <v>8.174614</v>
      </c>
      <c r="L49" s="54" t="s">
        <v>1560</v>
      </c>
    </row>
    <row r="50" spans="1:12" s="55" customFormat="1" ht="19.5" customHeight="1" x14ac:dyDescent="0.3">
      <c r="A50" s="44"/>
      <c r="B50" s="76"/>
      <c r="C50" s="77"/>
      <c r="D50" s="47"/>
      <c r="E50" s="48"/>
      <c r="F50" s="49"/>
      <c r="G50" s="50" t="s">
        <v>1559</v>
      </c>
      <c r="H50" s="51">
        <v>1981</v>
      </c>
      <c r="I50" s="45">
        <v>3353</v>
      </c>
      <c r="J50" s="52">
        <v>8</v>
      </c>
      <c r="K50" s="53">
        <f t="shared" si="0"/>
        <v>53.138344000000004</v>
      </c>
      <c r="L50" s="54"/>
    </row>
    <row r="51" spans="1:12" s="55" customFormat="1" ht="19.5" customHeight="1" x14ac:dyDescent="0.3">
      <c r="A51" s="44"/>
      <c r="B51" s="76"/>
      <c r="C51" s="77"/>
      <c r="D51" s="47"/>
      <c r="E51" s="48"/>
      <c r="F51" s="49"/>
      <c r="G51" s="50" t="s">
        <v>1559</v>
      </c>
      <c r="H51" s="51">
        <v>1829</v>
      </c>
      <c r="I51" s="45">
        <v>3353</v>
      </c>
      <c r="J51" s="52">
        <v>4</v>
      </c>
      <c r="K51" s="53">
        <f t="shared" si="0"/>
        <v>24.530548</v>
      </c>
      <c r="L51" s="54"/>
    </row>
    <row r="52" spans="1:12" s="55" customFormat="1" ht="19.5" customHeight="1" x14ac:dyDescent="0.3">
      <c r="A52" s="44"/>
      <c r="B52" s="76"/>
      <c r="C52" s="77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1562</v>
      </c>
      <c r="B54" s="45" t="s">
        <v>1557</v>
      </c>
      <c r="C54" s="77">
        <v>28</v>
      </c>
      <c r="D54" s="47" t="s">
        <v>1558</v>
      </c>
      <c r="E54" s="48">
        <v>48</v>
      </c>
      <c r="F54" s="49">
        <v>272.8</v>
      </c>
      <c r="G54" s="50" t="s">
        <v>1559</v>
      </c>
      <c r="H54" s="51">
        <v>2438</v>
      </c>
      <c r="I54" s="45">
        <v>3353</v>
      </c>
      <c r="J54" s="52">
        <v>1</v>
      </c>
      <c r="K54" s="53">
        <f t="shared" si="0"/>
        <v>8.174614</v>
      </c>
      <c r="L54" s="54" t="s">
        <v>1560</v>
      </c>
    </row>
    <row r="55" spans="1:12" s="55" customFormat="1" ht="19.5" customHeight="1" x14ac:dyDescent="0.3">
      <c r="A55" s="44"/>
      <c r="B55" s="76"/>
      <c r="C55" s="77"/>
      <c r="D55" s="47"/>
      <c r="E55" s="48"/>
      <c r="F55" s="49"/>
      <c r="G55" s="50" t="s">
        <v>1559</v>
      </c>
      <c r="H55" s="51">
        <v>1981</v>
      </c>
      <c r="I55" s="45">
        <v>3353</v>
      </c>
      <c r="J55" s="52">
        <v>35</v>
      </c>
      <c r="K55" s="53">
        <f t="shared" si="0"/>
        <v>232.48025500000003</v>
      </c>
      <c r="L55" s="54"/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 t="s">
        <v>1559</v>
      </c>
      <c r="H56" s="51">
        <v>1829</v>
      </c>
      <c r="I56" s="45">
        <v>3353</v>
      </c>
      <c r="J56" s="52">
        <v>10</v>
      </c>
      <c r="K56" s="53">
        <f t="shared" si="0"/>
        <v>61.326369999999997</v>
      </c>
      <c r="L56" s="54"/>
    </row>
    <row r="57" spans="1:12" s="55" customFormat="1" ht="19.5" customHeight="1" x14ac:dyDescent="0.3">
      <c r="A57" s="44"/>
      <c r="B57" s="76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1563</v>
      </c>
      <c r="B58" s="45" t="s">
        <v>1557</v>
      </c>
      <c r="C58" s="77">
        <v>28</v>
      </c>
      <c r="D58" s="47" t="s">
        <v>1564</v>
      </c>
      <c r="E58" s="48">
        <v>8</v>
      </c>
      <c r="F58" s="49">
        <v>33.950000000000003</v>
      </c>
      <c r="G58" s="50" t="s">
        <v>1559</v>
      </c>
      <c r="H58" s="51">
        <v>2134</v>
      </c>
      <c r="I58" s="45">
        <v>3353</v>
      </c>
      <c r="J58" s="52">
        <v>1</v>
      </c>
      <c r="K58" s="53">
        <f t="shared" si="0"/>
        <v>7.1553019999999998</v>
      </c>
      <c r="L58" s="54" t="s">
        <v>1560</v>
      </c>
    </row>
    <row r="59" spans="1:12" s="55" customFormat="1" ht="19.5" customHeight="1" x14ac:dyDescent="0.3">
      <c r="A59" s="44"/>
      <c r="B59" s="76"/>
      <c r="C59" s="77">
        <v>28</v>
      </c>
      <c r="D59" s="47" t="s">
        <v>1565</v>
      </c>
      <c r="E59" s="48">
        <v>8</v>
      </c>
      <c r="F59" s="49">
        <v>39.83</v>
      </c>
      <c r="G59" s="50" t="s">
        <v>1559</v>
      </c>
      <c r="H59" s="51">
        <v>1981</v>
      </c>
      <c r="I59" s="45">
        <v>3353</v>
      </c>
      <c r="J59" s="52">
        <v>5</v>
      </c>
      <c r="K59" s="53">
        <f t="shared" si="0"/>
        <v>33.211465000000004</v>
      </c>
      <c r="L59" s="54" t="s">
        <v>100</v>
      </c>
    </row>
    <row r="60" spans="1:12" s="55" customFormat="1" ht="19.5" customHeight="1" x14ac:dyDescent="0.3">
      <c r="A60" s="44"/>
      <c r="B60" s="76"/>
      <c r="C60" s="77"/>
      <c r="D60" s="47"/>
      <c r="E60" s="48"/>
      <c r="F60" s="49"/>
      <c r="G60" s="50" t="s">
        <v>1559</v>
      </c>
      <c r="H60" s="51">
        <v>1829</v>
      </c>
      <c r="I60" s="45">
        <v>3353</v>
      </c>
      <c r="J60" s="52">
        <v>8</v>
      </c>
      <c r="K60" s="53">
        <f t="shared" si="0"/>
        <v>49.061095999999999</v>
      </c>
      <c r="L60" s="54"/>
    </row>
    <row r="61" spans="1:12" s="55" customFormat="1" ht="19.5" customHeight="1" x14ac:dyDescent="0.3">
      <c r="A61" s="44"/>
      <c r="B61" s="76"/>
      <c r="C61" s="77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1602</v>
      </c>
      <c r="B62" s="76" t="s">
        <v>1603</v>
      </c>
      <c r="C62" s="77">
        <v>27.76</v>
      </c>
      <c r="D62" s="47" t="s">
        <v>1604</v>
      </c>
      <c r="E62" s="48">
        <v>392</v>
      </c>
      <c r="F62" s="49">
        <v>253.64</v>
      </c>
      <c r="G62" s="50" t="s">
        <v>1601</v>
      </c>
      <c r="H62" s="51">
        <v>2590</v>
      </c>
      <c r="I62" s="45">
        <v>3048</v>
      </c>
      <c r="J62" s="52">
        <v>50</v>
      </c>
      <c r="K62" s="53">
        <f t="shared" si="0"/>
        <v>394.71599999999995</v>
      </c>
      <c r="L62" s="54" t="s">
        <v>106</v>
      </c>
    </row>
    <row r="63" spans="1:12" s="55" customFormat="1" ht="19.5" customHeight="1" x14ac:dyDescent="0.3">
      <c r="A63" s="44"/>
      <c r="B63" s="76"/>
      <c r="C63" s="77">
        <v>22</v>
      </c>
      <c r="D63" s="47" t="s">
        <v>665</v>
      </c>
      <c r="E63" s="48">
        <f>96+98</f>
        <v>194</v>
      </c>
      <c r="F63" s="49">
        <f>57.6+58.8</f>
        <v>116.4</v>
      </c>
      <c r="G63" s="50"/>
      <c r="H63" s="51"/>
      <c r="I63" s="45"/>
      <c r="J63" s="52"/>
      <c r="K63" s="53">
        <f t="shared" si="0"/>
        <v>0</v>
      </c>
      <c r="L63" s="54" t="s">
        <v>1639</v>
      </c>
    </row>
    <row r="64" spans="1:12" s="55" customFormat="1" ht="19.5" customHeight="1" x14ac:dyDescent="0.3">
      <c r="A64" s="44"/>
      <c r="B64" s="76"/>
      <c r="C64" s="77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76"/>
      <c r="C65" s="77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76"/>
      <c r="C66" s="77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76"/>
      <c r="C67" s="77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76"/>
      <c r="C68" s="77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76"/>
      <c r="C69" s="77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77"/>
      <c r="D70" s="78"/>
      <c r="E70" s="48"/>
      <c r="F70" s="49"/>
      <c r="G70" s="50"/>
      <c r="H70" s="51"/>
      <c r="I70" s="45"/>
      <c r="J70" s="52"/>
      <c r="K70" s="53">
        <f t="shared" si="0"/>
        <v>0</v>
      </c>
      <c r="L70" s="54" t="s">
        <v>1566</v>
      </c>
    </row>
    <row r="71" spans="1:12" s="55" customFormat="1" ht="19.5" customHeight="1" x14ac:dyDescent="0.3">
      <c r="A71" s="44"/>
      <c r="B71" s="45"/>
      <c r="C71" s="77"/>
      <c r="D71" s="78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9" customFormat="1" ht="20.100000000000001" customHeight="1" x14ac:dyDescent="0.3">
      <c r="A74" s="44"/>
      <c r="B74" s="45"/>
      <c r="C74" s="46"/>
      <c r="D74" s="47"/>
      <c r="E74" s="56"/>
      <c r="F74" s="57"/>
      <c r="G74" s="50"/>
      <c r="H74" s="51"/>
      <c r="I74" s="45"/>
      <c r="J74" s="52"/>
      <c r="K74" s="53">
        <f t="shared" si="0"/>
        <v>0</v>
      </c>
      <c r="L74" s="58">
        <f>SUM(J47:J75)</f>
        <v>144</v>
      </c>
    </row>
    <row r="75" spans="1:12" s="59" customFormat="1" ht="20.100000000000001" customHeight="1" x14ac:dyDescent="0.3">
      <c r="A75" s="44"/>
      <c r="B75" s="45"/>
      <c r="C75" s="46"/>
      <c r="D75" s="47"/>
      <c r="E75" s="60"/>
      <c r="F75" s="61"/>
      <c r="G75" s="62"/>
      <c r="H75" s="51"/>
      <c r="I75" s="45"/>
      <c r="J75" s="63"/>
      <c r="K75" s="53">
        <f t="shared" si="0"/>
        <v>0</v>
      </c>
      <c r="L75" s="64">
        <f>SUM(K47:K75)</f>
        <v>1000.7539850000001</v>
      </c>
    </row>
    <row r="76" spans="1:12" s="59" customFormat="1" ht="20.100000000000001" customHeight="1" thickBot="1" x14ac:dyDescent="0.35">
      <c r="A76" s="114"/>
      <c r="B76" s="115"/>
      <c r="C76" s="115"/>
      <c r="D76" s="115"/>
      <c r="E76" s="115"/>
      <c r="F76" s="115"/>
      <c r="G76" s="115"/>
      <c r="H76" s="115"/>
      <c r="I76" s="115"/>
      <c r="J76" s="65">
        <f>SUM(J7:J75)</f>
        <v>240</v>
      </c>
      <c r="K76" s="66">
        <f>SUM(K7:K75)</f>
        <v>1742.7791219999997</v>
      </c>
      <c r="L76" s="67"/>
    </row>
    <row r="77" spans="1:12" s="59" customFormat="1" ht="20.100000000000001" customHeight="1" thickTop="1" thickBot="1" x14ac:dyDescent="0.35">
      <c r="A77" s="116" t="s">
        <v>52</v>
      </c>
      <c r="B77" s="117"/>
      <c r="C77" s="68"/>
      <c r="D77" s="118">
        <f>J76</f>
        <v>240</v>
      </c>
      <c r="E77" s="119"/>
      <c r="F77" s="119"/>
      <c r="G77" s="120"/>
      <c r="H77" s="121"/>
      <c r="I77" s="121"/>
      <c r="J77" s="122"/>
      <c r="K77" s="119"/>
      <c r="L77" s="123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71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72"/>
      <c r="F83" s="5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5"/>
      <c r="G84" s="73"/>
      <c r="H84" s="5"/>
      <c r="I84" s="74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5"/>
      <c r="F88" s="70"/>
      <c r="G88" s="5"/>
      <c r="H88" s="72"/>
      <c r="I88" s="72"/>
      <c r="J88" s="5"/>
      <c r="K88" s="5"/>
      <c r="L88" s="5"/>
    </row>
    <row r="89" spans="1:12" ht="20.100000000000001" customHeight="1" x14ac:dyDescent="0.3">
      <c r="A89" s="113"/>
      <c r="B89" s="113"/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A92" s="113"/>
      <c r="B92" s="113"/>
      <c r="H92" s="72"/>
      <c r="I92" s="72"/>
    </row>
    <row r="93" spans="1:12" ht="20.100000000000001" customHeight="1" x14ac:dyDescent="0.3">
      <c r="A93" s="113"/>
      <c r="B93" s="113"/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H95" s="72"/>
      <c r="I95" s="72"/>
    </row>
    <row r="96" spans="1:12" ht="20.100000000000001" customHeight="1" x14ac:dyDescent="0.3">
      <c r="H96" s="72"/>
      <c r="I96" s="72"/>
    </row>
    <row r="97" spans="1:12" s="72" customFormat="1" ht="20.100000000000001" customHeight="1" x14ac:dyDescent="0.3">
      <c r="A97" s="69"/>
      <c r="B97" s="5"/>
      <c r="C97" s="5"/>
      <c r="D97" s="5"/>
      <c r="E97" s="5"/>
      <c r="F97" s="70"/>
      <c r="G97" s="5"/>
      <c r="J97" s="5"/>
      <c r="K97" s="5"/>
      <c r="L97" s="5"/>
    </row>
    <row r="98" spans="1:12" s="72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5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5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5" customFormat="1" ht="19.5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2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ht="19.5" customHeight="1" x14ac:dyDescent="0.3"/>
    <row r="105" spans="1:12" ht="19.5" customHeight="1" x14ac:dyDescent="0.3"/>
    <row r="106" spans="1:12" ht="19.5" customHeight="1" x14ac:dyDescent="0.3"/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>
        <v>2</v>
      </c>
      <c r="C167" s="5"/>
      <c r="D167" s="5"/>
      <c r="E167" s="5"/>
      <c r="F167" s="70"/>
      <c r="G167" s="5"/>
      <c r="H167" s="5"/>
      <c r="I167" s="5"/>
      <c r="J167" s="5"/>
      <c r="K167" s="5"/>
      <c r="L167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2:B82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6:I76"/>
    <mergeCell ref="A77:B77"/>
    <mergeCell ref="D77:G77"/>
    <mergeCell ref="H77:J77"/>
    <mergeCell ref="K77:L77"/>
    <mergeCell ref="A92:B92"/>
    <mergeCell ref="A93:B93"/>
    <mergeCell ref="A83:B83"/>
    <mergeCell ref="A84:B84"/>
    <mergeCell ref="A85:B85"/>
    <mergeCell ref="A87:B87"/>
    <mergeCell ref="A88:B88"/>
    <mergeCell ref="A89:B89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L163"/>
  <sheetViews>
    <sheetView view="pageBreakPreview" topLeftCell="A4" zoomScale="85" zoomScaleSheetLayoutView="85" workbookViewId="0">
      <selection activeCell="G9" sqref="G9:J26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46073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1" si="0">(H7/1000*I7/1000)*J7</f>
        <v>0</v>
      </c>
      <c r="L7" s="26">
        <f>SUM(J7:J42)</f>
        <v>139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SUM(K7:K42)</f>
        <v>1039.9343079999999</v>
      </c>
    </row>
    <row r="9" spans="1:12" s="27" customFormat="1" ht="19.5" customHeight="1" x14ac:dyDescent="0.3">
      <c r="A9" s="28" t="s">
        <v>1532</v>
      </c>
      <c r="B9" s="16" t="s">
        <v>1483</v>
      </c>
      <c r="C9" s="17">
        <v>22</v>
      </c>
      <c r="D9" s="18" t="s">
        <v>1484</v>
      </c>
      <c r="E9" s="81">
        <v>234</v>
      </c>
      <c r="F9" s="82">
        <v>224.64</v>
      </c>
      <c r="G9" s="34" t="s">
        <v>1485</v>
      </c>
      <c r="H9" s="35">
        <v>1981</v>
      </c>
      <c r="I9" s="36">
        <v>3353</v>
      </c>
      <c r="J9" s="37">
        <v>36</v>
      </c>
      <c r="K9" s="38">
        <f t="shared" si="0"/>
        <v>239.12254800000002</v>
      </c>
      <c r="L9" s="86"/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 t="s">
        <v>19</v>
      </c>
      <c r="H10" s="35">
        <v>1981</v>
      </c>
      <c r="I10" s="36">
        <v>3353</v>
      </c>
      <c r="J10" s="37">
        <v>36</v>
      </c>
      <c r="K10" s="38">
        <f t="shared" si="0"/>
        <v>239.12254800000002</v>
      </c>
      <c r="L10" s="86"/>
    </row>
    <row r="11" spans="1:12" s="27" customFormat="1" ht="19.5" customHeight="1" x14ac:dyDescent="0.3">
      <c r="A11" s="28"/>
      <c r="B11" s="16"/>
      <c r="C11" s="17"/>
      <c r="D11" s="18"/>
      <c r="E11" s="81"/>
      <c r="F11" s="82"/>
      <c r="G11" s="34"/>
      <c r="H11" s="35"/>
      <c r="I11" s="36"/>
      <c r="J11" s="37"/>
      <c r="K11" s="38">
        <f t="shared" si="0"/>
        <v>0</v>
      </c>
      <c r="L11" s="86"/>
    </row>
    <row r="12" spans="1:12" s="27" customFormat="1" ht="19.5" customHeight="1" x14ac:dyDescent="0.3">
      <c r="A12" s="28" t="s">
        <v>1533</v>
      </c>
      <c r="B12" s="16" t="s">
        <v>1534</v>
      </c>
      <c r="C12" s="17">
        <v>24</v>
      </c>
      <c r="D12" s="18" t="s">
        <v>1535</v>
      </c>
      <c r="E12" s="81">
        <v>90</v>
      </c>
      <c r="F12" s="82">
        <v>107.59</v>
      </c>
      <c r="G12" s="34" t="s">
        <v>1536</v>
      </c>
      <c r="H12" s="35">
        <v>2438</v>
      </c>
      <c r="I12" s="36">
        <v>3353</v>
      </c>
      <c r="J12" s="37">
        <v>18</v>
      </c>
      <c r="K12" s="38">
        <f t="shared" si="0"/>
        <v>147.14305200000001</v>
      </c>
      <c r="L12" s="86"/>
    </row>
    <row r="13" spans="1:12" s="27" customFormat="1" ht="19.5" customHeight="1" x14ac:dyDescent="0.3">
      <c r="A13" s="28"/>
      <c r="B13" s="16"/>
      <c r="C13" s="17"/>
      <c r="D13" s="18"/>
      <c r="E13" s="81"/>
      <c r="F13" s="82"/>
      <c r="G13" s="34" t="s">
        <v>1485</v>
      </c>
      <c r="H13" s="35">
        <v>2590</v>
      </c>
      <c r="I13" s="36">
        <v>3353</v>
      </c>
      <c r="J13" s="37">
        <v>14</v>
      </c>
      <c r="K13" s="38">
        <f t="shared" si="0"/>
        <v>121.57977999999997</v>
      </c>
      <c r="L13" s="86"/>
    </row>
    <row r="14" spans="1:12" s="27" customFormat="1" ht="19.5" customHeight="1" x14ac:dyDescent="0.3">
      <c r="A14" s="28"/>
      <c r="B14" s="16"/>
      <c r="C14" s="17"/>
      <c r="D14" s="18"/>
      <c r="E14" s="81"/>
      <c r="F14" s="8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1537</v>
      </c>
      <c r="B15" s="16" t="s">
        <v>1538</v>
      </c>
      <c r="C15" s="17">
        <v>8</v>
      </c>
      <c r="D15" s="18" t="s">
        <v>1539</v>
      </c>
      <c r="E15" s="81">
        <v>1</v>
      </c>
      <c r="F15" s="82">
        <v>1.2</v>
      </c>
      <c r="G15" s="34" t="s">
        <v>1539</v>
      </c>
      <c r="H15" s="35"/>
      <c r="I15" s="36"/>
      <c r="J15" s="37"/>
      <c r="K15" s="38">
        <f t="shared" si="0"/>
        <v>0</v>
      </c>
      <c r="L15" s="86" t="s">
        <v>1540</v>
      </c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82"/>
      <c r="G17" s="34"/>
      <c r="H17" s="35"/>
      <c r="I17" s="36"/>
      <c r="J17" s="37"/>
      <c r="K17" s="38">
        <f t="shared" si="0"/>
        <v>0</v>
      </c>
      <c r="L17" s="86"/>
    </row>
    <row r="18" spans="1:12" s="27" customFormat="1" ht="19.5" customHeight="1" x14ac:dyDescent="0.3">
      <c r="A18" s="28" t="s">
        <v>1543</v>
      </c>
      <c r="B18" s="16"/>
      <c r="C18" s="17"/>
      <c r="D18" s="18"/>
      <c r="E18" s="81"/>
      <c r="F18" s="8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 t="s">
        <v>1544</v>
      </c>
      <c r="B19" s="16" t="s">
        <v>1545</v>
      </c>
      <c r="C19" s="17">
        <v>26</v>
      </c>
      <c r="D19" s="18" t="s">
        <v>1546</v>
      </c>
      <c r="E19" s="41">
        <v>112</v>
      </c>
      <c r="F19" s="42">
        <v>84.17</v>
      </c>
      <c r="G19" s="34" t="s">
        <v>1547</v>
      </c>
      <c r="H19" s="35">
        <v>2438</v>
      </c>
      <c r="I19" s="36">
        <v>3353</v>
      </c>
      <c r="J19" s="37">
        <v>11</v>
      </c>
      <c r="K19" s="38">
        <f t="shared" si="0"/>
        <v>89.920754000000002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 t="s">
        <v>1548</v>
      </c>
      <c r="H20" s="35">
        <v>2590</v>
      </c>
      <c r="I20" s="36">
        <v>3353</v>
      </c>
      <c r="J20" s="37">
        <v>9</v>
      </c>
      <c r="K20" s="38">
        <f t="shared" si="0"/>
        <v>78.158429999999981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 t="s">
        <v>1548</v>
      </c>
      <c r="H21" s="35">
        <v>2590</v>
      </c>
      <c r="I21" s="36">
        <v>3048</v>
      </c>
      <c r="J21" s="37">
        <v>1</v>
      </c>
      <c r="K21" s="38">
        <f t="shared" si="0"/>
        <v>7.8943199999999996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1549</v>
      </c>
      <c r="B23" s="16" t="s">
        <v>1545</v>
      </c>
      <c r="C23" s="17">
        <v>26</v>
      </c>
      <c r="D23" s="18" t="s">
        <v>1546</v>
      </c>
      <c r="E23" s="41">
        <v>78</v>
      </c>
      <c r="F23" s="42">
        <v>44.05</v>
      </c>
      <c r="G23" s="34" t="s">
        <v>1547</v>
      </c>
      <c r="H23" s="35">
        <v>2438</v>
      </c>
      <c r="I23" s="36">
        <v>3353</v>
      </c>
      <c r="J23" s="37">
        <v>6</v>
      </c>
      <c r="K23" s="38">
        <f t="shared" si="0"/>
        <v>49.047684000000004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1548</v>
      </c>
      <c r="H24" s="35">
        <v>2590</v>
      </c>
      <c r="I24" s="36">
        <v>3353</v>
      </c>
      <c r="J24" s="37">
        <v>5</v>
      </c>
      <c r="K24" s="38">
        <f t="shared" si="0"/>
        <v>43.42134999999999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 t="s">
        <v>1550</v>
      </c>
      <c r="B26" s="16" t="s">
        <v>1545</v>
      </c>
      <c r="C26" s="17">
        <v>26</v>
      </c>
      <c r="D26" s="18" t="s">
        <v>1546</v>
      </c>
      <c r="E26" s="41">
        <v>44</v>
      </c>
      <c r="F26" s="42">
        <v>25.39</v>
      </c>
      <c r="G26" s="34" t="s">
        <v>1547</v>
      </c>
      <c r="H26" s="35">
        <v>2438</v>
      </c>
      <c r="I26" s="36">
        <v>3353</v>
      </c>
      <c r="J26" s="37">
        <v>3</v>
      </c>
      <c r="K26" s="38">
        <f t="shared" si="0"/>
        <v>24.523842000000002</v>
      </c>
      <c r="L26" s="39" t="s">
        <v>1590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81"/>
      <c r="F32" s="82"/>
      <c r="G32" s="34"/>
      <c r="H32" s="35"/>
      <c r="I32" s="36"/>
      <c r="J32" s="37"/>
      <c r="K32" s="38">
        <f t="shared" si="0"/>
        <v>0</v>
      </c>
      <c r="L32" s="86"/>
    </row>
    <row r="33" spans="1:12" s="27" customFormat="1" ht="19.5" customHeight="1" x14ac:dyDescent="0.3">
      <c r="A33" s="28"/>
      <c r="B33" s="16"/>
      <c r="C33" s="17"/>
      <c r="D33" s="18"/>
      <c r="E33" s="41"/>
      <c r="F33" s="82"/>
      <c r="G33" s="34"/>
      <c r="H33" s="35"/>
      <c r="I33" s="36"/>
      <c r="J33" s="37"/>
      <c r="K33" s="38">
        <f t="shared" si="0"/>
        <v>0</v>
      </c>
      <c r="L33" s="86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38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38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38">
        <f t="shared" si="0"/>
        <v>0</v>
      </c>
      <c r="L41" s="39"/>
    </row>
    <row r="42" spans="1:12" s="27" customFormat="1" ht="19.5" customHeight="1" x14ac:dyDescent="0.3">
      <c r="A42" s="28"/>
      <c r="B42" s="29"/>
      <c r="C42" s="30"/>
      <c r="D42" s="31"/>
      <c r="E42" s="41"/>
      <c r="F42" s="42"/>
      <c r="G42" s="43"/>
      <c r="H42" s="35"/>
      <c r="I42" s="36"/>
      <c r="J42" s="37"/>
      <c r="K42" s="38">
        <f t="shared" si="0"/>
        <v>0</v>
      </c>
      <c r="L42" s="39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/>
      <c r="B44" s="76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1541</v>
      </c>
      <c r="B45" s="76" t="s">
        <v>1542</v>
      </c>
      <c r="C45" s="77">
        <v>22</v>
      </c>
      <c r="D45" s="47" t="s">
        <v>84</v>
      </c>
      <c r="E45" s="48">
        <v>324</v>
      </c>
      <c r="F45" s="49">
        <v>266.04000000000002</v>
      </c>
      <c r="G45" s="50" t="s">
        <v>18</v>
      </c>
      <c r="H45" s="51">
        <v>2590</v>
      </c>
      <c r="I45" s="45">
        <v>3048</v>
      </c>
      <c r="J45" s="52">
        <v>37</v>
      </c>
      <c r="K45" s="53">
        <f t="shared" si="0"/>
        <v>292.08983999999998</v>
      </c>
      <c r="L45" s="54"/>
    </row>
    <row r="46" spans="1:12" s="55" customFormat="1" ht="19.5" customHeight="1" x14ac:dyDescent="0.3">
      <c r="A46" s="44"/>
      <c r="B46" s="76"/>
      <c r="C46" s="77"/>
      <c r="D46" s="47"/>
      <c r="E46" s="48"/>
      <c r="F46" s="49"/>
      <c r="G46" s="50" t="s">
        <v>438</v>
      </c>
      <c r="H46" s="51">
        <v>1981</v>
      </c>
      <c r="I46" s="45">
        <v>3353</v>
      </c>
      <c r="J46" s="52">
        <v>45</v>
      </c>
      <c r="K46" s="53">
        <f t="shared" si="0"/>
        <v>298.90318500000001</v>
      </c>
      <c r="L46" s="54"/>
    </row>
    <row r="47" spans="1:12" s="55" customFormat="1" ht="19.5" customHeight="1" x14ac:dyDescent="0.3">
      <c r="A47" s="44"/>
      <c r="B47" s="76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76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1543</v>
      </c>
      <c r="B49" s="76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1551</v>
      </c>
      <c r="B50" s="76" t="s">
        <v>1552</v>
      </c>
      <c r="C50" s="77">
        <v>22</v>
      </c>
      <c r="D50" s="47" t="s">
        <v>1553</v>
      </c>
      <c r="E50" s="48">
        <f>100+25+63</f>
        <v>188</v>
      </c>
      <c r="F50" s="49">
        <f>112+(127.4/98*88)</f>
        <v>226.4</v>
      </c>
      <c r="G50" s="50" t="s">
        <v>1548</v>
      </c>
      <c r="H50" s="51">
        <v>1829</v>
      </c>
      <c r="I50" s="45">
        <v>3353</v>
      </c>
      <c r="J50" s="52">
        <v>25</v>
      </c>
      <c r="K50" s="53">
        <f t="shared" si="0"/>
        <v>153.31592499999999</v>
      </c>
      <c r="L50" s="54" t="s">
        <v>1554</v>
      </c>
    </row>
    <row r="51" spans="1:12" s="55" customFormat="1" ht="19.5" customHeight="1" x14ac:dyDescent="0.3">
      <c r="A51" s="44"/>
      <c r="B51" s="76"/>
      <c r="C51" s="77"/>
      <c r="D51" s="47"/>
      <c r="E51" s="48"/>
      <c r="F51" s="49"/>
      <c r="G51" s="50" t="s">
        <v>1548</v>
      </c>
      <c r="H51" s="51">
        <v>1829</v>
      </c>
      <c r="I51" s="45">
        <v>3048</v>
      </c>
      <c r="J51" s="52">
        <v>16</v>
      </c>
      <c r="K51" s="53">
        <f t="shared" si="0"/>
        <v>89.196671999999992</v>
      </c>
      <c r="L51" s="54"/>
    </row>
    <row r="52" spans="1:12" s="55" customFormat="1" ht="19.5" customHeight="1" x14ac:dyDescent="0.3">
      <c r="A52" s="44"/>
      <c r="B52" s="76"/>
      <c r="C52" s="77">
        <v>22</v>
      </c>
      <c r="D52" s="47" t="s">
        <v>1553</v>
      </c>
      <c r="E52" s="48">
        <f>100+76+3</f>
        <v>179</v>
      </c>
      <c r="F52" s="49">
        <f>112+(127.4/98*104)</f>
        <v>247.20000000000002</v>
      </c>
      <c r="G52" s="50" t="s">
        <v>62</v>
      </c>
      <c r="H52" s="51">
        <v>1829</v>
      </c>
      <c r="I52" s="45">
        <v>3353</v>
      </c>
      <c r="J52" s="52">
        <v>25</v>
      </c>
      <c r="K52" s="53">
        <f t="shared" si="0"/>
        <v>153.31592499999999</v>
      </c>
      <c r="L52" s="54" t="s">
        <v>1555</v>
      </c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 t="s">
        <v>62</v>
      </c>
      <c r="H53" s="51">
        <v>1829</v>
      </c>
      <c r="I53" s="45">
        <v>3048</v>
      </c>
      <c r="J53" s="52">
        <v>20</v>
      </c>
      <c r="K53" s="53">
        <f t="shared" si="0"/>
        <v>111.49583999999999</v>
      </c>
      <c r="L53" s="54"/>
    </row>
    <row r="54" spans="1:12" s="55" customFormat="1" ht="19.5" customHeight="1" x14ac:dyDescent="0.3">
      <c r="A54" s="44"/>
      <c r="B54" s="76"/>
      <c r="C54" s="77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76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76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76"/>
      <c r="C58" s="77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76"/>
      <c r="C59" s="77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76"/>
      <c r="C60" s="77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76"/>
      <c r="C61" s="77"/>
      <c r="D61" s="47"/>
      <c r="E61" s="48"/>
      <c r="F61" s="49"/>
      <c r="G61" s="50"/>
      <c r="H61" s="51"/>
      <c r="I61" s="45"/>
      <c r="J61" s="52"/>
      <c r="K61" s="53">
        <f t="shared" ref="K61" si="1">(H61/1000*I61/1000)*J61</f>
        <v>0</v>
      </c>
      <c r="L61" s="54"/>
    </row>
    <row r="62" spans="1:12" s="55" customFormat="1" ht="19.5" customHeight="1" x14ac:dyDescent="0.3">
      <c r="A62" s="44"/>
      <c r="B62" s="76"/>
      <c r="C62" s="77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/>
      <c r="B63" s="76"/>
      <c r="C63" s="77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76"/>
      <c r="C64" s="77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76"/>
      <c r="C65" s="77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77"/>
      <c r="D66" s="78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45"/>
      <c r="C67" s="77"/>
      <c r="D67" s="78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9" customFormat="1" ht="20.100000000000001" customHeight="1" x14ac:dyDescent="0.3">
      <c r="A70" s="44"/>
      <c r="B70" s="45"/>
      <c r="C70" s="46"/>
      <c r="D70" s="47"/>
      <c r="E70" s="56"/>
      <c r="F70" s="57"/>
      <c r="G70" s="50"/>
      <c r="H70" s="51"/>
      <c r="I70" s="45"/>
      <c r="J70" s="52"/>
      <c r="K70" s="53">
        <f t="shared" si="0"/>
        <v>0</v>
      </c>
      <c r="L70" s="58">
        <f>SUM(J43:J71)</f>
        <v>168</v>
      </c>
    </row>
    <row r="71" spans="1:12" s="59" customFormat="1" ht="20.100000000000001" customHeight="1" x14ac:dyDescent="0.3">
      <c r="A71" s="44"/>
      <c r="B71" s="45"/>
      <c r="C71" s="46"/>
      <c r="D71" s="47"/>
      <c r="E71" s="60"/>
      <c r="F71" s="61"/>
      <c r="G71" s="62"/>
      <c r="H71" s="51"/>
      <c r="I71" s="45"/>
      <c r="J71" s="63"/>
      <c r="K71" s="53">
        <f t="shared" si="0"/>
        <v>0</v>
      </c>
      <c r="L71" s="64">
        <f>SUM(K43:K71)</f>
        <v>1098.3173870000001</v>
      </c>
    </row>
    <row r="72" spans="1:12" s="59" customFormat="1" ht="20.100000000000001" customHeight="1" thickBot="1" x14ac:dyDescent="0.35">
      <c r="A72" s="114"/>
      <c r="B72" s="115"/>
      <c r="C72" s="115"/>
      <c r="D72" s="115"/>
      <c r="E72" s="115"/>
      <c r="F72" s="115"/>
      <c r="G72" s="115"/>
      <c r="H72" s="115"/>
      <c r="I72" s="115"/>
      <c r="J72" s="65">
        <f>SUM(J7:J71)</f>
        <v>307</v>
      </c>
      <c r="K72" s="66">
        <f>SUM(K7:K71)</f>
        <v>2138.2516949999999</v>
      </c>
      <c r="L72" s="67"/>
    </row>
    <row r="73" spans="1:12" s="59" customFormat="1" ht="20.100000000000001" customHeight="1" thickTop="1" thickBot="1" x14ac:dyDescent="0.35">
      <c r="A73" s="116" t="s">
        <v>52</v>
      </c>
      <c r="B73" s="117"/>
      <c r="C73" s="68"/>
      <c r="D73" s="118">
        <f>J72</f>
        <v>307</v>
      </c>
      <c r="E73" s="119"/>
      <c r="F73" s="119"/>
      <c r="G73" s="120"/>
      <c r="H73" s="121"/>
      <c r="I73" s="121"/>
      <c r="J73" s="122"/>
      <c r="K73" s="119"/>
      <c r="L73" s="123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71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72"/>
      <c r="F79" s="5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5"/>
      <c r="G80" s="73"/>
      <c r="H80" s="5"/>
      <c r="I80" s="74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72"/>
      <c r="I84" s="72"/>
      <c r="J84" s="5"/>
      <c r="K84" s="5"/>
      <c r="L84" s="5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A88" s="113"/>
      <c r="B88" s="113"/>
      <c r="H88" s="72"/>
      <c r="I88" s="72"/>
    </row>
    <row r="89" spans="1:12" ht="20.100000000000001" customHeight="1" x14ac:dyDescent="0.3">
      <c r="A89" s="113"/>
      <c r="B89" s="113"/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H92" s="72"/>
      <c r="I92" s="72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5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5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5" customFormat="1" ht="19.5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2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ht="19.5" customHeight="1" x14ac:dyDescent="0.3"/>
    <row r="101" spans="1:12" ht="19.5" customHeight="1" x14ac:dyDescent="0.3"/>
    <row r="102" spans="1:12" ht="19.5" customHeight="1" x14ac:dyDescent="0.3"/>
    <row r="103" spans="1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>
        <v>2</v>
      </c>
      <c r="C163" s="5"/>
      <c r="D163" s="5"/>
      <c r="E163" s="5"/>
      <c r="F163" s="70"/>
      <c r="G163" s="5"/>
      <c r="H163" s="5"/>
      <c r="I163" s="5"/>
      <c r="J163" s="5"/>
      <c r="K163" s="5"/>
      <c r="L163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8:B7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2:I72"/>
    <mergeCell ref="A73:B73"/>
    <mergeCell ref="D73:G73"/>
    <mergeCell ref="H73:J73"/>
    <mergeCell ref="K73:L73"/>
    <mergeCell ref="A88:B88"/>
    <mergeCell ref="A89:B89"/>
    <mergeCell ref="A79:B79"/>
    <mergeCell ref="A80:B80"/>
    <mergeCell ref="A81:B81"/>
    <mergeCell ref="A83:B83"/>
    <mergeCell ref="A84:B84"/>
    <mergeCell ref="A85:B85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L163"/>
  <sheetViews>
    <sheetView view="pageBreakPreview" topLeftCell="A18" zoomScale="85" zoomScaleSheetLayoutView="85" workbookViewId="0">
      <selection activeCell="B47" sqref="B4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46072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1" si="0">(H7/1000*I7/1000)*J7</f>
        <v>0</v>
      </c>
      <c r="L7" s="26">
        <f>SUM(J7:J42)</f>
        <v>211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SUM(K7:K42)</f>
        <v>1464.4536250000003</v>
      </c>
    </row>
    <row r="9" spans="1:12" s="27" customFormat="1" ht="19.5" customHeight="1" x14ac:dyDescent="0.3">
      <c r="A9" s="28" t="s">
        <v>1606</v>
      </c>
      <c r="B9" s="16" t="s">
        <v>1474</v>
      </c>
      <c r="C9" s="17">
        <v>5</v>
      </c>
      <c r="D9" s="18" t="s">
        <v>1475</v>
      </c>
      <c r="E9" s="81">
        <v>4</v>
      </c>
      <c r="F9" s="82">
        <v>3.17</v>
      </c>
      <c r="G9" s="34" t="s">
        <v>1475</v>
      </c>
      <c r="H9" s="35">
        <v>2134</v>
      </c>
      <c r="I9" s="29">
        <v>3353</v>
      </c>
      <c r="J9" s="84">
        <v>1</v>
      </c>
      <c r="K9" s="85">
        <f t="shared" si="0"/>
        <v>7.1553019999999998</v>
      </c>
      <c r="L9" s="86"/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86"/>
    </row>
    <row r="11" spans="1:12" s="27" customFormat="1" ht="19.5" customHeight="1" x14ac:dyDescent="0.3">
      <c r="A11" s="28" t="s">
        <v>1476</v>
      </c>
      <c r="B11" s="16" t="s">
        <v>1477</v>
      </c>
      <c r="C11" s="17">
        <v>24</v>
      </c>
      <c r="D11" s="18" t="s">
        <v>1478</v>
      </c>
      <c r="E11" s="81">
        <v>23</v>
      </c>
      <c r="F11" s="82">
        <v>27.33</v>
      </c>
      <c r="G11" s="34" t="s">
        <v>1480</v>
      </c>
      <c r="H11" s="35">
        <v>2134</v>
      </c>
      <c r="I11" s="36">
        <v>3048</v>
      </c>
      <c r="J11" s="37">
        <v>9</v>
      </c>
      <c r="K11" s="38">
        <f t="shared" si="0"/>
        <v>58.539887999999998</v>
      </c>
      <c r="L11" s="86" t="s">
        <v>1481</v>
      </c>
    </row>
    <row r="12" spans="1:12" s="27" customFormat="1" ht="19.5" customHeight="1" x14ac:dyDescent="0.3">
      <c r="A12" s="28" t="s">
        <v>1479</v>
      </c>
      <c r="B12" s="16" t="s">
        <v>1477</v>
      </c>
      <c r="C12" s="17">
        <v>24</v>
      </c>
      <c r="D12" s="18" t="s">
        <v>1478</v>
      </c>
      <c r="E12" s="41">
        <v>10</v>
      </c>
      <c r="F12" s="82">
        <v>14.47</v>
      </c>
      <c r="G12" s="34"/>
      <c r="H12" s="35"/>
      <c r="I12" s="36"/>
      <c r="J12" s="37"/>
      <c r="K12" s="38">
        <f t="shared" si="0"/>
        <v>0</v>
      </c>
      <c r="L12" s="86" t="s">
        <v>1481</v>
      </c>
    </row>
    <row r="13" spans="1:12" s="27" customFormat="1" ht="19.5" customHeight="1" x14ac:dyDescent="0.3">
      <c r="A13" s="28"/>
      <c r="B13" s="16"/>
      <c r="C13" s="17"/>
      <c r="D13" s="18"/>
      <c r="E13" s="81"/>
      <c r="F13" s="82"/>
      <c r="G13" s="34"/>
      <c r="H13" s="35"/>
      <c r="I13" s="36"/>
      <c r="J13" s="37"/>
      <c r="K13" s="38">
        <f t="shared" si="0"/>
        <v>0</v>
      </c>
      <c r="L13" s="86"/>
    </row>
    <row r="14" spans="1:12" s="27" customFormat="1" ht="19.5" customHeight="1" x14ac:dyDescent="0.3">
      <c r="A14" s="28" t="s">
        <v>1482</v>
      </c>
      <c r="B14" s="16" t="s">
        <v>1483</v>
      </c>
      <c r="C14" s="17">
        <v>22</v>
      </c>
      <c r="D14" s="18" t="s">
        <v>1484</v>
      </c>
      <c r="E14" s="81">
        <v>220</v>
      </c>
      <c r="F14" s="82">
        <v>316.2</v>
      </c>
      <c r="G14" s="34" t="s">
        <v>1485</v>
      </c>
      <c r="H14" s="35">
        <v>1981</v>
      </c>
      <c r="I14" s="36">
        <v>3353</v>
      </c>
      <c r="J14" s="37">
        <v>52</v>
      </c>
      <c r="K14" s="38">
        <f t="shared" si="0"/>
        <v>345.39923600000003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81"/>
      <c r="F15" s="82"/>
      <c r="G15" s="34" t="s">
        <v>1486</v>
      </c>
      <c r="H15" s="35">
        <v>1981</v>
      </c>
      <c r="I15" s="36">
        <v>3353</v>
      </c>
      <c r="J15" s="37">
        <v>52</v>
      </c>
      <c r="K15" s="38">
        <f t="shared" si="0"/>
        <v>345.39923600000003</v>
      </c>
      <c r="L15" s="86"/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1487</v>
      </c>
      <c r="B17" s="16" t="s">
        <v>1483</v>
      </c>
      <c r="C17" s="17">
        <v>22</v>
      </c>
      <c r="D17" s="18" t="s">
        <v>1484</v>
      </c>
      <c r="E17" s="41">
        <v>150</v>
      </c>
      <c r="F17" s="82">
        <v>183.2</v>
      </c>
      <c r="G17" s="34" t="s">
        <v>1485</v>
      </c>
      <c r="H17" s="35">
        <v>2590</v>
      </c>
      <c r="I17" s="36">
        <v>3048</v>
      </c>
      <c r="J17" s="37">
        <v>26</v>
      </c>
      <c r="K17" s="38">
        <f t="shared" si="0"/>
        <v>205.25232</v>
      </c>
      <c r="L17" s="86"/>
    </row>
    <row r="18" spans="1:12" s="27" customFormat="1" ht="19.5" customHeight="1" x14ac:dyDescent="0.3">
      <c r="A18" s="28"/>
      <c r="B18" s="16"/>
      <c r="C18" s="17"/>
      <c r="D18" s="18"/>
      <c r="E18" s="81"/>
      <c r="F18" s="82"/>
      <c r="G18" s="34" t="s">
        <v>1486</v>
      </c>
      <c r="H18" s="35">
        <v>1981</v>
      </c>
      <c r="I18" s="36">
        <v>3353</v>
      </c>
      <c r="J18" s="37">
        <v>30</v>
      </c>
      <c r="K18" s="38">
        <f t="shared" si="0"/>
        <v>199.26879000000002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1488</v>
      </c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1508</v>
      </c>
      <c r="B21" s="16" t="s">
        <v>1509</v>
      </c>
      <c r="C21" s="17">
        <v>22</v>
      </c>
      <c r="D21" s="18" t="s">
        <v>1510</v>
      </c>
      <c r="E21" s="41">
        <v>1</v>
      </c>
      <c r="F21" s="42">
        <v>1.1000000000000001</v>
      </c>
      <c r="G21" s="34"/>
      <c r="H21" s="35"/>
      <c r="I21" s="36"/>
      <c r="J21" s="37"/>
      <c r="K21" s="38">
        <f t="shared" si="0"/>
        <v>0</v>
      </c>
      <c r="L21" s="39" t="s">
        <v>1511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ref="K22:K34" si="1">(H22/1000*I22/1000)*J22</f>
        <v>0</v>
      </c>
      <c r="L22" s="39"/>
    </row>
    <row r="23" spans="1:12" s="27" customFormat="1" ht="19.5" customHeight="1" x14ac:dyDescent="0.3">
      <c r="A23" s="28" t="s">
        <v>1512</v>
      </c>
      <c r="B23" s="16" t="s">
        <v>1513</v>
      </c>
      <c r="C23" s="17">
        <v>22</v>
      </c>
      <c r="D23" s="18" t="s">
        <v>1510</v>
      </c>
      <c r="E23" s="41">
        <v>36</v>
      </c>
      <c r="F23" s="42">
        <v>38.4</v>
      </c>
      <c r="G23" s="34" t="s">
        <v>19</v>
      </c>
      <c r="H23" s="35">
        <v>1981</v>
      </c>
      <c r="I23" s="36">
        <v>3353</v>
      </c>
      <c r="J23" s="37">
        <v>8</v>
      </c>
      <c r="K23" s="38">
        <f t="shared" si="1"/>
        <v>53.138344000000004</v>
      </c>
      <c r="L23" s="39"/>
    </row>
    <row r="24" spans="1:12" s="27" customFormat="1" ht="19.5" customHeight="1" x14ac:dyDescent="0.3">
      <c r="A24" s="28"/>
      <c r="B24" s="16"/>
      <c r="C24" s="17">
        <v>16</v>
      </c>
      <c r="D24" s="18" t="s">
        <v>1514</v>
      </c>
      <c r="E24" s="41">
        <v>14</v>
      </c>
      <c r="F24" s="42">
        <v>7</v>
      </c>
      <c r="G24" s="34" t="s">
        <v>1516</v>
      </c>
      <c r="H24" s="35">
        <v>2590</v>
      </c>
      <c r="I24" s="36">
        <v>3048</v>
      </c>
      <c r="J24" s="37">
        <v>7</v>
      </c>
      <c r="K24" s="38">
        <f t="shared" si="1"/>
        <v>55.260239999999996</v>
      </c>
      <c r="L24" s="39"/>
    </row>
    <row r="25" spans="1:12" s="27" customFormat="1" ht="19.5" customHeight="1" x14ac:dyDescent="0.3">
      <c r="A25" s="28"/>
      <c r="B25" s="16"/>
      <c r="C25" s="17">
        <v>24</v>
      </c>
      <c r="D25" s="18" t="s">
        <v>1515</v>
      </c>
      <c r="E25" s="41">
        <v>16</v>
      </c>
      <c r="F25" s="42">
        <v>23.56</v>
      </c>
      <c r="G25" s="34" t="s">
        <v>1517</v>
      </c>
      <c r="H25" s="35">
        <v>2438</v>
      </c>
      <c r="I25" s="36">
        <v>3353</v>
      </c>
      <c r="J25" s="37">
        <v>4</v>
      </c>
      <c r="K25" s="38">
        <f t="shared" si="1"/>
        <v>32.698456</v>
      </c>
      <c r="L25" s="39"/>
    </row>
    <row r="26" spans="1:12" s="27" customFormat="1" ht="19.5" customHeight="1" x14ac:dyDescent="0.3">
      <c r="A26" s="28"/>
      <c r="B26" s="16"/>
      <c r="C26" s="17">
        <v>24</v>
      </c>
      <c r="D26" s="18" t="s">
        <v>1519</v>
      </c>
      <c r="E26" s="41">
        <v>16</v>
      </c>
      <c r="F26" s="42">
        <v>9.8000000000000007</v>
      </c>
      <c r="G26" s="34" t="s">
        <v>1518</v>
      </c>
      <c r="H26" s="35">
        <v>2438</v>
      </c>
      <c r="I26" s="36">
        <v>3353</v>
      </c>
      <c r="J26" s="37">
        <v>4</v>
      </c>
      <c r="K26" s="38">
        <f t="shared" si="1"/>
        <v>32.698456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1"/>
        <v>0</v>
      </c>
      <c r="L27" s="39"/>
    </row>
    <row r="28" spans="1:12" s="27" customFormat="1" ht="19.5" customHeight="1" x14ac:dyDescent="0.3">
      <c r="A28" s="28" t="s">
        <v>1520</v>
      </c>
      <c r="B28" s="16" t="s">
        <v>1521</v>
      </c>
      <c r="C28" s="17">
        <v>24</v>
      </c>
      <c r="D28" s="18" t="s">
        <v>1522</v>
      </c>
      <c r="E28" s="41">
        <v>2</v>
      </c>
      <c r="F28" s="42">
        <v>4.5599999999999996</v>
      </c>
      <c r="G28" s="34" t="s">
        <v>1526</v>
      </c>
      <c r="H28" s="35">
        <v>1829</v>
      </c>
      <c r="I28" s="36">
        <v>3353</v>
      </c>
      <c r="J28" s="37">
        <v>4</v>
      </c>
      <c r="K28" s="38">
        <f t="shared" si="1"/>
        <v>24.530548</v>
      </c>
      <c r="L28" s="39" t="s">
        <v>1527</v>
      </c>
    </row>
    <row r="29" spans="1:12" s="27" customFormat="1" ht="19.5" customHeight="1" x14ac:dyDescent="0.3">
      <c r="A29" s="28" t="s">
        <v>1523</v>
      </c>
      <c r="B29" s="16" t="s">
        <v>1524</v>
      </c>
      <c r="C29" s="17">
        <v>24</v>
      </c>
      <c r="D29" s="18" t="s">
        <v>1525</v>
      </c>
      <c r="E29" s="41">
        <v>16</v>
      </c>
      <c r="F29" s="42">
        <v>22.76</v>
      </c>
      <c r="G29" s="34" t="s">
        <v>1526</v>
      </c>
      <c r="H29" s="35">
        <v>2438</v>
      </c>
      <c r="I29" s="36">
        <v>3353</v>
      </c>
      <c r="J29" s="37">
        <v>2</v>
      </c>
      <c r="K29" s="38">
        <f t="shared" si="1"/>
        <v>16.349228</v>
      </c>
      <c r="L29" s="39" t="s">
        <v>1527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 t="s">
        <v>1516</v>
      </c>
      <c r="H30" s="35">
        <v>1981</v>
      </c>
      <c r="I30" s="36">
        <v>3353</v>
      </c>
      <c r="J30" s="37">
        <v>5</v>
      </c>
      <c r="K30" s="38">
        <f t="shared" si="1"/>
        <v>33.211465000000004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1"/>
        <v>0</v>
      </c>
      <c r="L31" s="39"/>
    </row>
    <row r="32" spans="1:12" s="27" customFormat="1" ht="19.5" customHeight="1" x14ac:dyDescent="0.3">
      <c r="A32" s="28" t="s">
        <v>1476</v>
      </c>
      <c r="B32" s="16" t="s">
        <v>194</v>
      </c>
      <c r="C32" s="17">
        <v>24</v>
      </c>
      <c r="D32" s="18" t="s">
        <v>195</v>
      </c>
      <c r="E32" s="81">
        <v>23</v>
      </c>
      <c r="F32" s="82">
        <v>27.33</v>
      </c>
      <c r="G32" s="34" t="s">
        <v>1516</v>
      </c>
      <c r="H32" s="35">
        <v>2438</v>
      </c>
      <c r="I32" s="36">
        <v>3353</v>
      </c>
      <c r="J32" s="37">
        <v>6</v>
      </c>
      <c r="K32" s="38">
        <f t="shared" si="1"/>
        <v>49.047684000000004</v>
      </c>
      <c r="L32" s="86" t="s">
        <v>1528</v>
      </c>
    </row>
    <row r="33" spans="1:12" s="27" customFormat="1" ht="19.5" customHeight="1" x14ac:dyDescent="0.3">
      <c r="A33" s="28" t="s">
        <v>1479</v>
      </c>
      <c r="B33" s="16" t="s">
        <v>194</v>
      </c>
      <c r="C33" s="17">
        <v>24</v>
      </c>
      <c r="D33" s="18" t="s">
        <v>195</v>
      </c>
      <c r="E33" s="41">
        <v>10</v>
      </c>
      <c r="F33" s="82">
        <v>14.47</v>
      </c>
      <c r="G33" s="34" t="s">
        <v>1516</v>
      </c>
      <c r="H33" s="35">
        <v>2134</v>
      </c>
      <c r="I33" s="36">
        <v>3048</v>
      </c>
      <c r="J33" s="37">
        <v>1</v>
      </c>
      <c r="K33" s="38">
        <f t="shared" si="1"/>
        <v>6.5044319999999995</v>
      </c>
      <c r="L33" s="86" t="s">
        <v>1528</v>
      </c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1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38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38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38">
        <f t="shared" si="0"/>
        <v>0</v>
      </c>
      <c r="L41" s="39"/>
    </row>
    <row r="42" spans="1:12" s="27" customFormat="1" ht="19.5" customHeight="1" x14ac:dyDescent="0.3">
      <c r="A42" s="28"/>
      <c r="B42" s="29"/>
      <c r="C42" s="30"/>
      <c r="D42" s="31"/>
      <c r="E42" s="41"/>
      <c r="F42" s="42"/>
      <c r="G42" s="43"/>
      <c r="H42" s="35"/>
      <c r="I42" s="36"/>
      <c r="J42" s="37"/>
      <c r="K42" s="38">
        <f t="shared" si="0"/>
        <v>0</v>
      </c>
      <c r="L42" s="39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1489</v>
      </c>
      <c r="B44" s="76" t="s">
        <v>1490</v>
      </c>
      <c r="C44" s="77">
        <v>24</v>
      </c>
      <c r="D44" s="47" t="s">
        <v>1484</v>
      </c>
      <c r="E44" s="48">
        <v>2</v>
      </c>
      <c r="F44" s="49">
        <v>6.66</v>
      </c>
      <c r="G44" s="50" t="s">
        <v>1485</v>
      </c>
      <c r="H44" s="51">
        <v>1981</v>
      </c>
      <c r="I44" s="45">
        <v>3353</v>
      </c>
      <c r="J44" s="52">
        <v>2</v>
      </c>
      <c r="K44" s="53">
        <f t="shared" si="0"/>
        <v>13.284586000000001</v>
      </c>
      <c r="L44" s="54" t="s">
        <v>1491</v>
      </c>
    </row>
    <row r="45" spans="1:12" s="55" customFormat="1" ht="19.5" customHeight="1" x14ac:dyDescent="0.3">
      <c r="A45" s="44"/>
      <c r="B45" s="76"/>
      <c r="C45" s="77"/>
      <c r="D45" s="47"/>
      <c r="E45" s="48"/>
      <c r="F45" s="49"/>
      <c r="G45" s="50" t="s">
        <v>1486</v>
      </c>
      <c r="H45" s="51">
        <v>1981</v>
      </c>
      <c r="I45" s="45">
        <v>3353</v>
      </c>
      <c r="J45" s="52">
        <v>2</v>
      </c>
      <c r="K45" s="53">
        <f t="shared" si="0"/>
        <v>13.284586000000001</v>
      </c>
      <c r="L45" s="54"/>
    </row>
    <row r="46" spans="1:12" s="55" customFormat="1" ht="19.5" customHeight="1" x14ac:dyDescent="0.3">
      <c r="A46" s="44"/>
      <c r="B46" s="76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1492</v>
      </c>
      <c r="B47" s="76" t="s">
        <v>1490</v>
      </c>
      <c r="C47" s="77">
        <v>24</v>
      </c>
      <c r="D47" s="47" t="s">
        <v>1493</v>
      </c>
      <c r="E47" s="48">
        <v>1</v>
      </c>
      <c r="F47" s="49">
        <v>3.33</v>
      </c>
      <c r="G47" s="50"/>
      <c r="H47" s="51"/>
      <c r="I47" s="45"/>
      <c r="J47" s="52"/>
      <c r="K47" s="53">
        <f t="shared" si="0"/>
        <v>0</v>
      </c>
      <c r="L47" s="54" t="s">
        <v>1494</v>
      </c>
    </row>
    <row r="48" spans="1:12" s="55" customFormat="1" ht="19.5" customHeight="1" x14ac:dyDescent="0.3">
      <c r="A48" s="44"/>
      <c r="B48" s="76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1495</v>
      </c>
      <c r="B49" s="76" t="s">
        <v>1496</v>
      </c>
      <c r="C49" s="77">
        <v>22</v>
      </c>
      <c r="D49" s="47" t="s">
        <v>1497</v>
      </c>
      <c r="E49" s="48">
        <v>392</v>
      </c>
      <c r="F49" s="49">
        <v>227.2</v>
      </c>
      <c r="G49" s="50" t="s">
        <v>1498</v>
      </c>
      <c r="H49" s="51">
        <v>2438</v>
      </c>
      <c r="I49" s="45">
        <v>3353</v>
      </c>
      <c r="J49" s="52">
        <v>31</v>
      </c>
      <c r="K49" s="53">
        <f t="shared" si="0"/>
        <v>253.41303400000001</v>
      </c>
      <c r="L49" s="54" t="s">
        <v>1499</v>
      </c>
    </row>
    <row r="50" spans="1:12" s="55" customFormat="1" ht="19.5" customHeight="1" x14ac:dyDescent="0.3">
      <c r="A50" s="44"/>
      <c r="B50" s="76"/>
      <c r="C50" s="77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1500</v>
      </c>
      <c r="B51" s="76" t="s">
        <v>1501</v>
      </c>
      <c r="C51" s="77">
        <v>22</v>
      </c>
      <c r="D51" s="47" t="s">
        <v>1484</v>
      </c>
      <c r="E51" s="48">
        <v>126</v>
      </c>
      <c r="F51" s="49">
        <v>114.24</v>
      </c>
      <c r="G51" s="50" t="s">
        <v>1485</v>
      </c>
      <c r="H51" s="51">
        <v>2590</v>
      </c>
      <c r="I51" s="45">
        <v>3048</v>
      </c>
      <c r="J51" s="52">
        <v>16</v>
      </c>
      <c r="K51" s="53">
        <f t="shared" si="0"/>
        <v>126.30911999999999</v>
      </c>
      <c r="L51" s="54"/>
    </row>
    <row r="52" spans="1:12" s="55" customFormat="1" ht="19.5" customHeight="1" x14ac:dyDescent="0.3">
      <c r="A52" s="44"/>
      <c r="B52" s="76"/>
      <c r="C52" s="77"/>
      <c r="D52" s="47"/>
      <c r="E52" s="48"/>
      <c r="F52" s="49"/>
      <c r="G52" s="50" t="s">
        <v>1486</v>
      </c>
      <c r="H52" s="51">
        <v>1981</v>
      </c>
      <c r="I52" s="45">
        <v>3353</v>
      </c>
      <c r="J52" s="52">
        <v>18</v>
      </c>
      <c r="K52" s="53">
        <f t="shared" si="0"/>
        <v>119.56127400000001</v>
      </c>
      <c r="L52" s="54"/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1505</v>
      </c>
      <c r="B54" s="76" t="s">
        <v>1506</v>
      </c>
      <c r="C54" s="77">
        <v>24</v>
      </c>
      <c r="D54" s="47" t="s">
        <v>1503</v>
      </c>
      <c r="E54" s="48">
        <v>1</v>
      </c>
      <c r="F54" s="49">
        <v>0.28000000000000003</v>
      </c>
      <c r="G54" s="50"/>
      <c r="H54" s="51"/>
      <c r="I54" s="45"/>
      <c r="J54" s="52"/>
      <c r="K54" s="53">
        <f t="shared" si="0"/>
        <v>0</v>
      </c>
      <c r="L54" s="54" t="s">
        <v>1504</v>
      </c>
    </row>
    <row r="55" spans="1:12" s="55" customFormat="1" ht="19.5" customHeight="1" x14ac:dyDescent="0.3">
      <c r="A55" s="44"/>
      <c r="B55" s="76"/>
      <c r="C55" s="77">
        <v>24</v>
      </c>
      <c r="D55" s="47" t="s">
        <v>1502</v>
      </c>
      <c r="E55" s="48">
        <v>1</v>
      </c>
      <c r="F55" s="49">
        <v>0.28000000000000003</v>
      </c>
      <c r="G55" s="50"/>
      <c r="H55" s="51"/>
      <c r="I55" s="45"/>
      <c r="J55" s="52"/>
      <c r="K55" s="53">
        <f t="shared" si="0"/>
        <v>0</v>
      </c>
      <c r="L55" s="54" t="s">
        <v>1504</v>
      </c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1507</v>
      </c>
      <c r="B57" s="76"/>
      <c r="C57" s="77"/>
      <c r="D57" s="47"/>
      <c r="E57" s="48"/>
      <c r="F57" s="49"/>
      <c r="G57" s="50"/>
      <c r="H57" s="51"/>
      <c r="I57" s="45"/>
      <c r="J57" s="52"/>
      <c r="K57" s="53">
        <f t="shared" ref="K57:K65" si="2">(H57/1000*I57/1000)*J57</f>
        <v>0</v>
      </c>
      <c r="L57" s="54"/>
    </row>
    <row r="58" spans="1:12" s="55" customFormat="1" ht="19.5" customHeight="1" x14ac:dyDescent="0.3">
      <c r="A58" s="44" t="s">
        <v>1529</v>
      </c>
      <c r="B58" s="76" t="s">
        <v>1530</v>
      </c>
      <c r="C58" s="77">
        <v>22</v>
      </c>
      <c r="D58" s="47" t="s">
        <v>1510</v>
      </c>
      <c r="E58" s="48">
        <v>96</v>
      </c>
      <c r="F58" s="49">
        <v>72.06</v>
      </c>
      <c r="G58" s="50" t="s">
        <v>18</v>
      </c>
      <c r="H58" s="51">
        <v>2590</v>
      </c>
      <c r="I58" s="45">
        <v>3048</v>
      </c>
      <c r="J58" s="52">
        <v>10</v>
      </c>
      <c r="K58" s="53">
        <f t="shared" si="2"/>
        <v>78.94319999999999</v>
      </c>
      <c r="L58" s="54"/>
    </row>
    <row r="59" spans="1:12" s="55" customFormat="1" ht="19.5" customHeight="1" x14ac:dyDescent="0.3">
      <c r="A59" s="44"/>
      <c r="B59" s="76"/>
      <c r="C59" s="77"/>
      <c r="D59" s="47"/>
      <c r="E59" s="48"/>
      <c r="F59" s="49"/>
      <c r="G59" s="50" t="s">
        <v>19</v>
      </c>
      <c r="H59" s="51">
        <v>1981</v>
      </c>
      <c r="I59" s="45">
        <v>3353</v>
      </c>
      <c r="J59" s="52">
        <v>12</v>
      </c>
      <c r="K59" s="53">
        <f t="shared" si="2"/>
        <v>79.707515999999998</v>
      </c>
      <c r="L59" s="54"/>
    </row>
    <row r="60" spans="1:12" s="55" customFormat="1" ht="19.5" customHeight="1" x14ac:dyDescent="0.3">
      <c r="A60" s="44"/>
      <c r="B60" s="76"/>
      <c r="C60" s="77"/>
      <c r="D60" s="47"/>
      <c r="E60" s="48"/>
      <c r="F60" s="49"/>
      <c r="G60" s="50"/>
      <c r="H60" s="51"/>
      <c r="I60" s="45"/>
      <c r="J60" s="52"/>
      <c r="K60" s="53">
        <f t="shared" si="2"/>
        <v>0</v>
      </c>
      <c r="L60" s="54"/>
    </row>
    <row r="61" spans="1:12" s="55" customFormat="1" ht="19.5" customHeight="1" x14ac:dyDescent="0.3">
      <c r="A61" s="44" t="s">
        <v>1531</v>
      </c>
      <c r="B61" s="76" t="s">
        <v>1530</v>
      </c>
      <c r="C61" s="77">
        <v>22</v>
      </c>
      <c r="D61" s="47" t="s">
        <v>1510</v>
      </c>
      <c r="E61" s="48">
        <v>120</v>
      </c>
      <c r="F61" s="49">
        <v>104.04</v>
      </c>
      <c r="G61" s="50" t="s">
        <v>18</v>
      </c>
      <c r="H61" s="51">
        <v>2590</v>
      </c>
      <c r="I61" s="45">
        <v>3048</v>
      </c>
      <c r="J61" s="52">
        <v>14</v>
      </c>
      <c r="K61" s="53">
        <f t="shared" si="2"/>
        <v>110.52047999999999</v>
      </c>
      <c r="L61" s="54"/>
    </row>
    <row r="62" spans="1:12" s="55" customFormat="1" ht="19.5" customHeight="1" x14ac:dyDescent="0.3">
      <c r="A62" s="44"/>
      <c r="B62" s="76"/>
      <c r="C62" s="77"/>
      <c r="D62" s="47"/>
      <c r="E62" s="48"/>
      <c r="F62" s="49"/>
      <c r="G62" s="50" t="s">
        <v>19</v>
      </c>
      <c r="H62" s="51">
        <v>1981</v>
      </c>
      <c r="I62" s="45">
        <v>3353</v>
      </c>
      <c r="J62" s="52">
        <v>18</v>
      </c>
      <c r="K62" s="53">
        <f t="shared" si="2"/>
        <v>119.56127400000001</v>
      </c>
      <c r="L62" s="54"/>
    </row>
    <row r="63" spans="1:12" s="55" customFormat="1" ht="19.5" customHeight="1" x14ac:dyDescent="0.3">
      <c r="A63" s="44"/>
      <c r="B63" s="76"/>
      <c r="C63" s="77"/>
      <c r="D63" s="47"/>
      <c r="E63" s="48"/>
      <c r="F63" s="49"/>
      <c r="G63" s="50"/>
      <c r="H63" s="51"/>
      <c r="I63" s="45"/>
      <c r="J63" s="52"/>
      <c r="K63" s="53">
        <f t="shared" si="2"/>
        <v>0</v>
      </c>
      <c r="L63" s="54"/>
    </row>
    <row r="64" spans="1:12" s="55" customFormat="1" ht="19.5" customHeight="1" x14ac:dyDescent="0.3">
      <c r="A64" s="44"/>
      <c r="B64" s="76"/>
      <c r="C64" s="77"/>
      <c r="D64" s="47"/>
      <c r="E64" s="48"/>
      <c r="F64" s="49"/>
      <c r="G64" s="50"/>
      <c r="H64" s="51"/>
      <c r="I64" s="45"/>
      <c r="J64" s="52"/>
      <c r="K64" s="53">
        <f t="shared" si="2"/>
        <v>0</v>
      </c>
      <c r="L64" s="54"/>
    </row>
    <row r="65" spans="1:12" s="55" customFormat="1" ht="19.5" customHeight="1" x14ac:dyDescent="0.3">
      <c r="A65" s="44"/>
      <c r="B65" s="76"/>
      <c r="C65" s="77"/>
      <c r="D65" s="47"/>
      <c r="E65" s="48"/>
      <c r="F65" s="49"/>
      <c r="G65" s="50"/>
      <c r="H65" s="51"/>
      <c r="I65" s="45"/>
      <c r="J65" s="52"/>
      <c r="K65" s="53">
        <f t="shared" si="2"/>
        <v>0</v>
      </c>
      <c r="L65" s="54"/>
    </row>
    <row r="66" spans="1:12" s="55" customFormat="1" ht="19.5" customHeight="1" x14ac:dyDescent="0.3">
      <c r="A66" s="44"/>
      <c r="B66" s="45"/>
      <c r="C66" s="77"/>
      <c r="D66" s="78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45"/>
      <c r="C67" s="77"/>
      <c r="D67" s="78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9" customFormat="1" ht="20.100000000000001" customHeight="1" x14ac:dyDescent="0.3">
      <c r="A70" s="44"/>
      <c r="B70" s="45"/>
      <c r="C70" s="46"/>
      <c r="D70" s="47"/>
      <c r="E70" s="56"/>
      <c r="F70" s="57"/>
      <c r="G70" s="50"/>
      <c r="H70" s="51"/>
      <c r="I70" s="45"/>
      <c r="J70" s="52"/>
      <c r="K70" s="53">
        <f t="shared" si="0"/>
        <v>0</v>
      </c>
      <c r="L70" s="58">
        <f>SUM(J43:J71)</f>
        <v>123</v>
      </c>
    </row>
    <row r="71" spans="1:12" s="59" customFormat="1" ht="20.100000000000001" customHeight="1" x14ac:dyDescent="0.3">
      <c r="A71" s="44"/>
      <c r="B71" s="45"/>
      <c r="C71" s="46"/>
      <c r="D71" s="47"/>
      <c r="E71" s="60"/>
      <c r="F71" s="61"/>
      <c r="G71" s="62"/>
      <c r="H71" s="51"/>
      <c r="I71" s="45"/>
      <c r="J71" s="63"/>
      <c r="K71" s="53">
        <f t="shared" si="0"/>
        <v>0</v>
      </c>
      <c r="L71" s="64">
        <f>SUM(K43:K71)</f>
        <v>914.58507000000009</v>
      </c>
    </row>
    <row r="72" spans="1:12" s="59" customFormat="1" ht="20.100000000000001" customHeight="1" thickBot="1" x14ac:dyDescent="0.35">
      <c r="A72" s="114"/>
      <c r="B72" s="115"/>
      <c r="C72" s="115"/>
      <c r="D72" s="115"/>
      <c r="E72" s="115"/>
      <c r="F72" s="115"/>
      <c r="G72" s="115"/>
      <c r="H72" s="115"/>
      <c r="I72" s="115"/>
      <c r="J72" s="65">
        <f>SUM(J7:J71)</f>
        <v>334</v>
      </c>
      <c r="K72" s="66">
        <f>SUM(K7:K71)</f>
        <v>2379.0386950000002</v>
      </c>
      <c r="L72" s="67"/>
    </row>
    <row r="73" spans="1:12" s="59" customFormat="1" ht="20.100000000000001" customHeight="1" thickTop="1" thickBot="1" x14ac:dyDescent="0.35">
      <c r="A73" s="116" t="s">
        <v>52</v>
      </c>
      <c r="B73" s="117"/>
      <c r="C73" s="68"/>
      <c r="D73" s="118">
        <f>J72</f>
        <v>334</v>
      </c>
      <c r="E73" s="119"/>
      <c r="F73" s="119"/>
      <c r="G73" s="120"/>
      <c r="H73" s="121"/>
      <c r="I73" s="121"/>
      <c r="J73" s="122"/>
      <c r="K73" s="119"/>
      <c r="L73" s="123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71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72"/>
      <c r="F79" s="5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5"/>
      <c r="G80" s="73"/>
      <c r="H80" s="5"/>
      <c r="I80" s="74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72"/>
      <c r="I84" s="72"/>
      <c r="J84" s="5"/>
      <c r="K84" s="5"/>
      <c r="L84" s="5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A88" s="113"/>
      <c r="B88" s="113"/>
      <c r="H88" s="72"/>
      <c r="I88" s="72"/>
    </row>
    <row r="89" spans="1:12" ht="20.100000000000001" customHeight="1" x14ac:dyDescent="0.3">
      <c r="A89" s="113"/>
      <c r="B89" s="113"/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H92" s="72"/>
      <c r="I92" s="72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5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5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5" customFormat="1" ht="19.5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2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ht="19.5" customHeight="1" x14ac:dyDescent="0.3"/>
    <row r="101" spans="1:12" ht="19.5" customHeight="1" x14ac:dyDescent="0.3"/>
    <row r="102" spans="1:12" ht="19.5" customHeight="1" x14ac:dyDescent="0.3"/>
    <row r="103" spans="1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>
        <v>2</v>
      </c>
      <c r="C163" s="5"/>
      <c r="D163" s="5"/>
      <c r="E163" s="5"/>
      <c r="F163" s="70"/>
      <c r="G163" s="5"/>
      <c r="H163" s="5"/>
      <c r="I163" s="5"/>
      <c r="J163" s="5"/>
      <c r="K163" s="5"/>
      <c r="L163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8:B7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2:I72"/>
    <mergeCell ref="A73:B73"/>
    <mergeCell ref="D73:G73"/>
    <mergeCell ref="H73:J73"/>
    <mergeCell ref="K73:L73"/>
    <mergeCell ref="A88:B88"/>
    <mergeCell ref="A89:B89"/>
    <mergeCell ref="A79:B79"/>
    <mergeCell ref="A80:B80"/>
    <mergeCell ref="A81:B81"/>
    <mergeCell ref="A83:B83"/>
    <mergeCell ref="A84:B84"/>
    <mergeCell ref="A85:B85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L143"/>
  <sheetViews>
    <sheetView view="pageBreakPreview" topLeftCell="A10" zoomScale="85" zoomScaleSheetLayoutView="85" workbookViewId="0">
      <selection activeCell="A41" sqref="A4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46066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1" si="0">(H7/1000*I7/1000)*J7</f>
        <v>0</v>
      </c>
      <c r="L7" s="26">
        <f>SUM(J7:J30)</f>
        <v>102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SUM(K7:K30)</f>
        <v>695.469201</v>
      </c>
    </row>
    <row r="9" spans="1:12" s="27" customFormat="1" ht="19.5" customHeight="1" x14ac:dyDescent="0.3">
      <c r="A9" s="28" t="s">
        <v>1448</v>
      </c>
      <c r="B9" s="16" t="s">
        <v>1449</v>
      </c>
      <c r="C9" s="17">
        <v>22</v>
      </c>
      <c r="D9" s="18" t="s">
        <v>1661</v>
      </c>
      <c r="E9" s="81">
        <v>12</v>
      </c>
      <c r="F9" s="82">
        <v>13.2</v>
      </c>
      <c r="G9" s="34" t="s">
        <v>1450</v>
      </c>
      <c r="H9" s="35">
        <v>1981</v>
      </c>
      <c r="I9" s="29">
        <v>3353</v>
      </c>
      <c r="J9" s="84">
        <v>63</v>
      </c>
      <c r="K9" s="85">
        <f t="shared" si="0"/>
        <v>418.46445900000003</v>
      </c>
      <c r="L9" s="86" t="s">
        <v>1451</v>
      </c>
    </row>
    <row r="10" spans="1:12" s="27" customFormat="1" ht="19.5" customHeight="1" x14ac:dyDescent="0.3">
      <c r="A10" s="28"/>
      <c r="B10" s="16"/>
      <c r="C10" s="17">
        <v>22</v>
      </c>
      <c r="D10" s="18" t="s">
        <v>17</v>
      </c>
      <c r="E10" s="81">
        <v>452</v>
      </c>
      <c r="F10" s="82">
        <v>387.76</v>
      </c>
      <c r="G10" s="34" t="s">
        <v>1611</v>
      </c>
      <c r="H10" s="35">
        <v>1981</v>
      </c>
      <c r="I10" s="36">
        <v>3353</v>
      </c>
      <c r="J10" s="37">
        <v>4</v>
      </c>
      <c r="K10" s="38">
        <f t="shared" si="0"/>
        <v>26.569172000000002</v>
      </c>
      <c r="L10" s="86" t="s">
        <v>106</v>
      </c>
    </row>
    <row r="11" spans="1:12" s="27" customFormat="1" ht="19.5" customHeight="1" x14ac:dyDescent="0.3">
      <c r="A11" s="28"/>
      <c r="B11" s="16"/>
      <c r="C11" s="17">
        <v>46.76</v>
      </c>
      <c r="D11" s="18" t="s">
        <v>1626</v>
      </c>
      <c r="E11" s="81">
        <v>20</v>
      </c>
      <c r="F11" s="82">
        <v>8.8000000000000007</v>
      </c>
      <c r="G11" s="34"/>
      <c r="H11" s="35"/>
      <c r="I11" s="36"/>
      <c r="J11" s="37"/>
      <c r="K11" s="38">
        <f t="shared" si="0"/>
        <v>0</v>
      </c>
      <c r="L11" s="86" t="s">
        <v>106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8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/>
      <c r="B13" s="16"/>
      <c r="C13" s="17"/>
      <c r="D13" s="18"/>
      <c r="E13" s="81"/>
      <c r="F13" s="82"/>
      <c r="G13" s="34"/>
      <c r="H13" s="35"/>
      <c r="I13" s="36"/>
      <c r="J13" s="37"/>
      <c r="K13" s="38">
        <f t="shared" si="0"/>
        <v>0</v>
      </c>
      <c r="L13" s="86"/>
    </row>
    <row r="14" spans="1:12" s="27" customFormat="1" ht="19.5" customHeight="1" x14ac:dyDescent="0.3">
      <c r="A14" s="28" t="s">
        <v>1452</v>
      </c>
      <c r="B14" s="16" t="s">
        <v>1008</v>
      </c>
      <c r="C14" s="17">
        <v>5</v>
      </c>
      <c r="D14" s="18" t="s">
        <v>219</v>
      </c>
      <c r="E14" s="81">
        <v>366</v>
      </c>
      <c r="F14" s="82">
        <v>231.8</v>
      </c>
      <c r="G14" s="34" t="s">
        <v>18</v>
      </c>
      <c r="H14" s="35">
        <v>2134</v>
      </c>
      <c r="I14" s="36">
        <v>3353</v>
      </c>
      <c r="J14" s="37">
        <v>35</v>
      </c>
      <c r="K14" s="38">
        <f t="shared" si="0"/>
        <v>250.43556999999998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81"/>
      <c r="F15" s="82"/>
      <c r="G15" s="34"/>
      <c r="H15" s="35"/>
      <c r="I15" s="36"/>
      <c r="J15" s="37"/>
      <c r="K15" s="38">
        <f t="shared" si="0"/>
        <v>0</v>
      </c>
      <c r="L15" s="86"/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82"/>
      <c r="G17" s="34"/>
      <c r="H17" s="35"/>
      <c r="I17" s="36"/>
      <c r="J17" s="37"/>
      <c r="K17" s="38">
        <f t="shared" si="0"/>
        <v>0</v>
      </c>
      <c r="L17" s="86"/>
    </row>
    <row r="18" spans="1:12" s="27" customFormat="1" ht="19.5" customHeight="1" x14ac:dyDescent="0.3">
      <c r="A18" s="28"/>
      <c r="B18" s="16"/>
      <c r="C18" s="17"/>
      <c r="D18" s="18"/>
      <c r="E18" s="81"/>
      <c r="F18" s="8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43"/>
      <c r="H30" s="35"/>
      <c r="I30" s="36"/>
      <c r="J30" s="37"/>
      <c r="K30" s="38">
        <f t="shared" si="0"/>
        <v>0</v>
      </c>
      <c r="L30" s="39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1453</v>
      </c>
      <c r="B32" s="76" t="s">
        <v>1454</v>
      </c>
      <c r="C32" s="77">
        <v>24</v>
      </c>
      <c r="D32" s="47" t="s">
        <v>1455</v>
      </c>
      <c r="E32" s="48">
        <v>3</v>
      </c>
      <c r="F32" s="49">
        <v>4.1900000000000004</v>
      </c>
      <c r="G32" s="50" t="s">
        <v>1456</v>
      </c>
      <c r="H32" s="51">
        <v>1829</v>
      </c>
      <c r="I32" s="45">
        <v>3353</v>
      </c>
      <c r="J32" s="52">
        <v>1</v>
      </c>
      <c r="K32" s="53">
        <f t="shared" si="0"/>
        <v>6.1326369999999999</v>
      </c>
      <c r="L32" s="54" t="s">
        <v>1457</v>
      </c>
    </row>
    <row r="33" spans="1:12" s="55" customFormat="1" ht="19.5" customHeight="1" x14ac:dyDescent="0.3">
      <c r="A33" s="44"/>
      <c r="B33" s="76"/>
      <c r="C33" s="77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1458</v>
      </c>
      <c r="B34" s="76" t="s">
        <v>1459</v>
      </c>
      <c r="C34" s="77">
        <v>28</v>
      </c>
      <c r="D34" s="47" t="s">
        <v>1460</v>
      </c>
      <c r="E34" s="48">
        <v>44</v>
      </c>
      <c r="F34" s="49">
        <v>238.55</v>
      </c>
      <c r="G34" s="50" t="s">
        <v>1462</v>
      </c>
      <c r="H34" s="51">
        <v>2134</v>
      </c>
      <c r="I34" s="45">
        <v>3353</v>
      </c>
      <c r="J34" s="52">
        <v>50</v>
      </c>
      <c r="K34" s="53">
        <f t="shared" si="0"/>
        <v>357.76510000000002</v>
      </c>
      <c r="L34" s="54" t="s">
        <v>1463</v>
      </c>
    </row>
    <row r="35" spans="1:12" s="55" customFormat="1" ht="19.5" customHeight="1" x14ac:dyDescent="0.3">
      <c r="A35" s="44" t="s">
        <v>1461</v>
      </c>
      <c r="B35" s="76" t="s">
        <v>1459</v>
      </c>
      <c r="C35" s="77">
        <v>28</v>
      </c>
      <c r="D35" s="47" t="s">
        <v>1460</v>
      </c>
      <c r="E35" s="48">
        <v>12</v>
      </c>
      <c r="F35" s="49">
        <v>44.59</v>
      </c>
      <c r="G35" s="50"/>
      <c r="H35" s="51"/>
      <c r="I35" s="45"/>
      <c r="J35" s="52"/>
      <c r="K35" s="53">
        <f t="shared" si="0"/>
        <v>0</v>
      </c>
      <c r="L35" s="54" t="s">
        <v>1463</v>
      </c>
    </row>
    <row r="36" spans="1:12" s="55" customFormat="1" ht="19.5" customHeight="1" x14ac:dyDescent="0.3">
      <c r="A36" s="44"/>
      <c r="B36" s="76"/>
      <c r="C36" s="77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1464</v>
      </c>
      <c r="B37" s="76" t="s">
        <v>1454</v>
      </c>
      <c r="C37" s="77">
        <v>24</v>
      </c>
      <c r="D37" s="47" t="s">
        <v>1455</v>
      </c>
      <c r="E37" s="48">
        <v>1</v>
      </c>
      <c r="F37" s="49">
        <v>1.18</v>
      </c>
      <c r="G37" s="50"/>
      <c r="H37" s="51"/>
      <c r="I37" s="45"/>
      <c r="J37" s="52"/>
      <c r="K37" s="53">
        <f t="shared" si="0"/>
        <v>0</v>
      </c>
      <c r="L37" s="54" t="s">
        <v>1465</v>
      </c>
    </row>
    <row r="38" spans="1:12" s="55" customFormat="1" ht="19.5" customHeight="1" x14ac:dyDescent="0.3">
      <c r="A38" s="44"/>
      <c r="B38" s="76"/>
      <c r="C38" s="77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1466</v>
      </c>
      <c r="B39" s="76" t="s">
        <v>1459</v>
      </c>
      <c r="C39" s="77">
        <v>28</v>
      </c>
      <c r="D39" s="47" t="s">
        <v>1460</v>
      </c>
      <c r="E39" s="48">
        <v>1</v>
      </c>
      <c r="F39" s="49">
        <v>6.15</v>
      </c>
      <c r="G39" s="50" t="s">
        <v>1467</v>
      </c>
      <c r="H39" s="51">
        <v>1981</v>
      </c>
      <c r="I39" s="45">
        <v>3353</v>
      </c>
      <c r="J39" s="52">
        <v>1</v>
      </c>
      <c r="K39" s="53">
        <f t="shared" si="0"/>
        <v>6.6422930000000004</v>
      </c>
      <c r="L39" s="54" t="s">
        <v>1468</v>
      </c>
    </row>
    <row r="40" spans="1:12" s="55" customFormat="1" ht="19.5" customHeight="1" x14ac:dyDescent="0.3">
      <c r="A40" s="44"/>
      <c r="B40" s="76"/>
      <c r="C40" s="77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1446</v>
      </c>
      <c r="B41" s="76" t="s">
        <v>59</v>
      </c>
      <c r="C41" s="77">
        <v>22</v>
      </c>
      <c r="D41" s="47" t="s">
        <v>17</v>
      </c>
      <c r="E41" s="48">
        <v>21</v>
      </c>
      <c r="F41" s="49">
        <v>27.3</v>
      </c>
      <c r="G41" s="50" t="s">
        <v>18</v>
      </c>
      <c r="H41" s="51">
        <v>1829</v>
      </c>
      <c r="I41" s="45">
        <v>3048</v>
      </c>
      <c r="J41" s="52">
        <v>10</v>
      </c>
      <c r="K41" s="53">
        <f t="shared" si="0"/>
        <v>55.747919999999993</v>
      </c>
      <c r="L41" s="54" t="s">
        <v>1469</v>
      </c>
    </row>
    <row r="42" spans="1:12" s="55" customFormat="1" ht="19.5" customHeight="1" x14ac:dyDescent="0.3">
      <c r="A42" s="44"/>
      <c r="B42" s="76"/>
      <c r="C42" s="77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1446</v>
      </c>
      <c r="B43" s="76" t="s">
        <v>59</v>
      </c>
      <c r="C43" s="77">
        <v>22</v>
      </c>
      <c r="D43" s="47" t="s">
        <v>17</v>
      </c>
      <c r="E43" s="48">
        <v>194</v>
      </c>
      <c r="F43" s="49">
        <v>252.2</v>
      </c>
      <c r="G43" s="50" t="s">
        <v>1470</v>
      </c>
      <c r="H43" s="51">
        <v>1981</v>
      </c>
      <c r="I43" s="45">
        <v>3048</v>
      </c>
      <c r="J43" s="52">
        <v>47</v>
      </c>
      <c r="K43" s="53">
        <f t="shared" si="0"/>
        <v>283.79013600000008</v>
      </c>
      <c r="L43" s="54" t="s">
        <v>1471</v>
      </c>
    </row>
    <row r="44" spans="1:12" s="55" customFormat="1" ht="19.5" customHeight="1" x14ac:dyDescent="0.3">
      <c r="A44" s="44"/>
      <c r="B44" s="76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/>
      <c r="B45" s="76"/>
      <c r="C45" s="77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77"/>
      <c r="D46" s="78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77"/>
      <c r="D47" s="78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9" customFormat="1" ht="20.100000000000001" customHeight="1" x14ac:dyDescent="0.3">
      <c r="A50" s="44"/>
      <c r="B50" s="45"/>
      <c r="C50" s="46"/>
      <c r="D50" s="47"/>
      <c r="E50" s="56"/>
      <c r="F50" s="57"/>
      <c r="G50" s="50"/>
      <c r="H50" s="51"/>
      <c r="I50" s="45"/>
      <c r="J50" s="52"/>
      <c r="K50" s="53">
        <f t="shared" si="0"/>
        <v>0</v>
      </c>
      <c r="L50" s="58">
        <f>SUM(J31:J51)</f>
        <v>109</v>
      </c>
    </row>
    <row r="51" spans="1:12" s="59" customFormat="1" ht="20.100000000000001" customHeight="1" x14ac:dyDescent="0.3">
      <c r="A51" s="44"/>
      <c r="B51" s="45"/>
      <c r="C51" s="46"/>
      <c r="D51" s="47"/>
      <c r="E51" s="60"/>
      <c r="F51" s="61"/>
      <c r="G51" s="62"/>
      <c r="H51" s="51"/>
      <c r="I51" s="45"/>
      <c r="J51" s="63"/>
      <c r="K51" s="53">
        <f t="shared" si="0"/>
        <v>0</v>
      </c>
      <c r="L51" s="64">
        <f>SUM(K31:K51)</f>
        <v>710.0780860000001</v>
      </c>
    </row>
    <row r="52" spans="1:12" s="59" customFormat="1" ht="20.100000000000001" customHeight="1" thickBot="1" x14ac:dyDescent="0.35">
      <c r="A52" s="114"/>
      <c r="B52" s="115"/>
      <c r="C52" s="115"/>
      <c r="D52" s="115"/>
      <c r="E52" s="115"/>
      <c r="F52" s="115"/>
      <c r="G52" s="115"/>
      <c r="H52" s="115"/>
      <c r="I52" s="115"/>
      <c r="J52" s="65">
        <f>SUM(J7:J51)</f>
        <v>211</v>
      </c>
      <c r="K52" s="66">
        <f>SUM(K7:K51)</f>
        <v>1405.5472870000003</v>
      </c>
      <c r="L52" s="67"/>
    </row>
    <row r="53" spans="1:12" s="59" customFormat="1" ht="20.100000000000001" customHeight="1" thickTop="1" thickBot="1" x14ac:dyDescent="0.35">
      <c r="A53" s="116" t="s">
        <v>52</v>
      </c>
      <c r="B53" s="117"/>
      <c r="C53" s="68"/>
      <c r="D53" s="118">
        <f>J52</f>
        <v>211</v>
      </c>
      <c r="E53" s="119"/>
      <c r="F53" s="119"/>
      <c r="G53" s="120"/>
      <c r="H53" s="121"/>
      <c r="I53" s="121"/>
      <c r="J53" s="122"/>
      <c r="K53" s="119"/>
      <c r="L53" s="123"/>
    </row>
    <row r="54" spans="1:12" s="59" customFormat="1" ht="20.100000000000001" customHeight="1" x14ac:dyDescent="0.3">
      <c r="A54" s="69"/>
      <c r="B54" s="5"/>
      <c r="C54" s="5"/>
      <c r="D54" s="5"/>
      <c r="E54" s="5"/>
      <c r="F54" s="70"/>
      <c r="G54" s="5"/>
      <c r="H54" s="5"/>
      <c r="I54" s="5"/>
      <c r="J54" s="5"/>
      <c r="K54" s="5"/>
      <c r="L54" s="71"/>
    </row>
    <row r="55" spans="1:12" s="59" customFormat="1" ht="20.100000000000001" customHeight="1" x14ac:dyDescent="0.3">
      <c r="A55" s="69"/>
      <c r="B55" s="5"/>
      <c r="C55" s="5"/>
      <c r="D55" s="5"/>
      <c r="E55" s="5"/>
      <c r="F55" s="70"/>
      <c r="G55" s="5"/>
      <c r="H55" s="5"/>
      <c r="I55" s="5"/>
      <c r="J55" s="5"/>
      <c r="K55" s="5"/>
      <c r="L55" s="5"/>
    </row>
    <row r="56" spans="1:12" s="59" customFormat="1" ht="20.100000000000001" customHeight="1" x14ac:dyDescent="0.3">
      <c r="A56" s="69"/>
      <c r="B56" s="5"/>
      <c r="C56" s="5"/>
      <c r="D56" s="5"/>
      <c r="E56" s="5"/>
      <c r="F56" s="70"/>
      <c r="G56" s="5"/>
      <c r="H56" s="5"/>
      <c r="I56" s="5"/>
      <c r="J56" s="5"/>
      <c r="K56" s="5"/>
      <c r="L56" s="5"/>
    </row>
    <row r="57" spans="1:12" s="59" customFormat="1" ht="20.100000000000001" customHeight="1" x14ac:dyDescent="0.3">
      <c r="A57" s="69"/>
      <c r="B57" s="5"/>
      <c r="C57" s="5"/>
      <c r="D57" s="5"/>
      <c r="E57" s="5"/>
      <c r="F57" s="70"/>
      <c r="G57" s="5"/>
      <c r="H57" s="5"/>
      <c r="I57" s="5"/>
      <c r="J57" s="5"/>
      <c r="K57" s="5"/>
      <c r="L57" s="5"/>
    </row>
    <row r="58" spans="1:12" s="59" customFormat="1" ht="20.100000000000001" customHeight="1" x14ac:dyDescent="0.3">
      <c r="A58" s="113"/>
      <c r="B58" s="113"/>
      <c r="C58" s="5"/>
      <c r="D58" s="5"/>
      <c r="E58" s="5"/>
      <c r="F58" s="70"/>
      <c r="G58" s="5"/>
      <c r="H58" s="5"/>
      <c r="I58" s="5"/>
      <c r="J58" s="5"/>
      <c r="K58" s="5"/>
      <c r="L58" s="5"/>
    </row>
    <row r="59" spans="1:12" s="59" customFormat="1" ht="20.100000000000001" customHeight="1" x14ac:dyDescent="0.3">
      <c r="A59" s="113"/>
      <c r="B59" s="113"/>
      <c r="C59" s="5"/>
      <c r="D59" s="5"/>
      <c r="E59" s="72"/>
      <c r="F59" s="5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113"/>
      <c r="B60" s="113"/>
      <c r="C60" s="5"/>
      <c r="D60" s="5"/>
      <c r="E60" s="5"/>
      <c r="F60" s="5"/>
      <c r="G60" s="73"/>
      <c r="H60" s="5"/>
      <c r="I60" s="74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72"/>
      <c r="I64" s="72"/>
      <c r="J64" s="5"/>
      <c r="K64" s="5"/>
      <c r="L64" s="5"/>
    </row>
    <row r="65" spans="1:12" ht="20.100000000000001" customHeight="1" x14ac:dyDescent="0.3">
      <c r="A65" s="113"/>
      <c r="B65" s="113"/>
      <c r="H65" s="72"/>
      <c r="I65" s="72"/>
    </row>
    <row r="66" spans="1:12" ht="20.100000000000001" customHeight="1" x14ac:dyDescent="0.3">
      <c r="H66" s="72"/>
      <c r="I66" s="72"/>
    </row>
    <row r="67" spans="1:12" ht="20.100000000000001" customHeight="1" x14ac:dyDescent="0.3">
      <c r="H67" s="72"/>
      <c r="I67" s="72"/>
    </row>
    <row r="68" spans="1:12" ht="20.100000000000001" customHeight="1" x14ac:dyDescent="0.3">
      <c r="A68" s="113"/>
      <c r="B68" s="113"/>
      <c r="H68" s="72"/>
      <c r="I68" s="72"/>
    </row>
    <row r="69" spans="1:12" ht="20.100000000000001" customHeight="1" x14ac:dyDescent="0.3">
      <c r="A69" s="113"/>
      <c r="B69" s="113"/>
      <c r="H69" s="72"/>
      <c r="I69" s="72"/>
    </row>
    <row r="70" spans="1:12" ht="20.100000000000001" customHeight="1" x14ac:dyDescent="0.3">
      <c r="H70" s="72"/>
      <c r="I70" s="72"/>
    </row>
    <row r="71" spans="1:12" ht="20.100000000000001" customHeight="1" x14ac:dyDescent="0.3">
      <c r="H71" s="72"/>
      <c r="I71" s="72"/>
    </row>
    <row r="72" spans="1:12" ht="20.100000000000001" customHeight="1" x14ac:dyDescent="0.3">
      <c r="H72" s="72"/>
      <c r="I72" s="72"/>
    </row>
    <row r="73" spans="1:12" s="72" customFormat="1" ht="20.100000000000001" customHeight="1" x14ac:dyDescent="0.3">
      <c r="A73" s="69"/>
      <c r="B73" s="5"/>
      <c r="C73" s="5"/>
      <c r="D73" s="5"/>
      <c r="E73" s="5"/>
      <c r="F73" s="70"/>
      <c r="G73" s="5"/>
      <c r="J73" s="5"/>
      <c r="K73" s="5"/>
      <c r="L73" s="5"/>
    </row>
    <row r="74" spans="1:12" s="72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75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75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75" customFormat="1" ht="19.5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72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ht="19.5" customHeight="1" x14ac:dyDescent="0.3"/>
    <row r="81" spans="2:12" ht="19.5" customHeight="1" x14ac:dyDescent="0.3"/>
    <row r="82" spans="2:12" ht="19.5" customHeight="1" x14ac:dyDescent="0.3"/>
    <row r="83" spans="2:12" s="69" customFormat="1" ht="19.5" customHeight="1" x14ac:dyDescent="0.3"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2:12" s="69" customFormat="1" ht="19.5" customHeight="1" x14ac:dyDescent="0.3"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2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2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2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2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2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2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2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2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2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2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2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2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ht="19.5" customHeight="1" x14ac:dyDescent="0.3"/>
    <row r="100" spans="2:12" ht="19.5" customHeight="1" x14ac:dyDescent="0.3"/>
    <row r="101" spans="2:12" ht="19.5" customHeight="1" x14ac:dyDescent="0.3"/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>
        <v>2</v>
      </c>
      <c r="C143" s="5"/>
      <c r="D143" s="5"/>
      <c r="E143" s="5"/>
      <c r="F143" s="70"/>
      <c r="G143" s="5"/>
      <c r="H143" s="5"/>
      <c r="I143" s="5"/>
      <c r="J143" s="5"/>
      <c r="K143" s="5"/>
      <c r="L143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58:B5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2:I52"/>
    <mergeCell ref="A53:B53"/>
    <mergeCell ref="D53:G53"/>
    <mergeCell ref="H53:J53"/>
    <mergeCell ref="K53:L53"/>
    <mergeCell ref="A68:B68"/>
    <mergeCell ref="A69:B69"/>
    <mergeCell ref="A59:B59"/>
    <mergeCell ref="A60:B60"/>
    <mergeCell ref="A61:B61"/>
    <mergeCell ref="A63:B63"/>
    <mergeCell ref="A64:B64"/>
    <mergeCell ref="A65:B65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L143"/>
  <sheetViews>
    <sheetView view="pageBreakPreview" topLeftCell="A11" zoomScale="85" zoomScaleSheetLayoutView="85" workbookViewId="0">
      <selection activeCell="B18" sqref="B1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46065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1" si="0">(H7/1000*I7/1000)*J7</f>
        <v>0</v>
      </c>
      <c r="L7" s="26">
        <f>SUM(J7:J30)</f>
        <v>157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SUM(K7:K30)</f>
        <v>1026.2214269999999</v>
      </c>
    </row>
    <row r="9" spans="1:12" s="27" customFormat="1" ht="19.5" customHeight="1" x14ac:dyDescent="0.3">
      <c r="A9" s="28" t="s">
        <v>1438</v>
      </c>
      <c r="B9" s="16" t="s">
        <v>137</v>
      </c>
      <c r="C9" s="17">
        <v>22</v>
      </c>
      <c r="D9" s="18" t="s">
        <v>78</v>
      </c>
      <c r="E9" s="81">
        <v>11</v>
      </c>
      <c r="F9" s="82">
        <v>20.83</v>
      </c>
      <c r="G9" s="34" t="s">
        <v>18</v>
      </c>
      <c r="H9" s="35">
        <v>1981</v>
      </c>
      <c r="I9" s="29">
        <v>3353</v>
      </c>
      <c r="J9" s="84">
        <v>7</v>
      </c>
      <c r="K9" s="85">
        <f t="shared" si="0"/>
        <v>46.496051000000001</v>
      </c>
      <c r="L9" s="86"/>
    </row>
    <row r="10" spans="1:12" s="27" customFormat="1" ht="19.5" customHeight="1" x14ac:dyDescent="0.3">
      <c r="A10" s="28"/>
      <c r="B10" s="16"/>
      <c r="C10" s="17">
        <v>25.76</v>
      </c>
      <c r="D10" s="18" t="s">
        <v>394</v>
      </c>
      <c r="E10" s="81">
        <v>1</v>
      </c>
      <c r="F10" s="82">
        <v>0.96</v>
      </c>
      <c r="G10" s="34"/>
      <c r="H10" s="35"/>
      <c r="I10" s="36"/>
      <c r="J10" s="37"/>
      <c r="K10" s="38">
        <f t="shared" si="0"/>
        <v>0</v>
      </c>
      <c r="L10" s="86"/>
    </row>
    <row r="11" spans="1:12" s="27" customFormat="1" ht="19.5" customHeight="1" x14ac:dyDescent="0.3">
      <c r="A11" s="28"/>
      <c r="B11" s="16"/>
      <c r="C11" s="17"/>
      <c r="D11" s="18"/>
      <c r="E11" s="81"/>
      <c r="F11" s="82"/>
      <c r="G11" s="34"/>
      <c r="H11" s="35"/>
      <c r="I11" s="36"/>
      <c r="J11" s="37"/>
      <c r="K11" s="38">
        <f t="shared" si="0"/>
        <v>0</v>
      </c>
      <c r="L11" s="86"/>
    </row>
    <row r="12" spans="1:12" s="27" customFormat="1" ht="19.5" customHeight="1" x14ac:dyDescent="0.3">
      <c r="A12" s="28" t="s">
        <v>1439</v>
      </c>
      <c r="B12" s="16" t="s">
        <v>145</v>
      </c>
      <c r="C12" s="17">
        <v>24</v>
      </c>
      <c r="D12" s="18" t="s">
        <v>146</v>
      </c>
      <c r="E12" s="41">
        <v>5</v>
      </c>
      <c r="F12" s="82">
        <v>16.649999999999999</v>
      </c>
      <c r="G12" s="34" t="s">
        <v>49</v>
      </c>
      <c r="H12" s="35">
        <v>1981</v>
      </c>
      <c r="I12" s="36">
        <v>3353</v>
      </c>
      <c r="J12" s="37">
        <v>16</v>
      </c>
      <c r="K12" s="38">
        <f t="shared" si="0"/>
        <v>106.27668800000001</v>
      </c>
      <c r="L12" s="39" t="s">
        <v>1440</v>
      </c>
    </row>
    <row r="13" spans="1:12" s="27" customFormat="1" ht="19.5" customHeight="1" x14ac:dyDescent="0.3">
      <c r="A13" s="28"/>
      <c r="B13" s="16"/>
      <c r="C13" s="17">
        <v>24</v>
      </c>
      <c r="D13" s="18" t="s">
        <v>45</v>
      </c>
      <c r="E13" s="81">
        <v>80</v>
      </c>
      <c r="F13" s="82">
        <v>71.3</v>
      </c>
      <c r="G13" s="34" t="s">
        <v>18</v>
      </c>
      <c r="H13" s="35">
        <v>2590</v>
      </c>
      <c r="I13" s="36">
        <v>3048</v>
      </c>
      <c r="J13" s="37">
        <v>14</v>
      </c>
      <c r="K13" s="38">
        <f t="shared" si="0"/>
        <v>110.52047999999999</v>
      </c>
      <c r="L13" s="86"/>
    </row>
    <row r="14" spans="1:12" s="27" customFormat="1" ht="19.5" customHeight="1" x14ac:dyDescent="0.3">
      <c r="A14" s="28"/>
      <c r="B14" s="16"/>
      <c r="C14" s="17">
        <v>24</v>
      </c>
      <c r="D14" s="18" t="s">
        <v>17</v>
      </c>
      <c r="E14" s="81">
        <v>90</v>
      </c>
      <c r="F14" s="82">
        <v>103.65</v>
      </c>
      <c r="G14" s="34" t="s">
        <v>62</v>
      </c>
      <c r="H14" s="35">
        <v>1981</v>
      </c>
      <c r="I14" s="36">
        <v>3353</v>
      </c>
      <c r="J14" s="37">
        <v>5</v>
      </c>
      <c r="K14" s="38">
        <f t="shared" si="0"/>
        <v>33.211465000000004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45</v>
      </c>
      <c r="E15" s="81">
        <v>10</v>
      </c>
      <c r="F15" s="82">
        <v>11.7</v>
      </c>
      <c r="G15" s="34" t="s">
        <v>19</v>
      </c>
      <c r="H15" s="35">
        <v>1981</v>
      </c>
      <c r="I15" s="36">
        <v>3353</v>
      </c>
      <c r="J15" s="37">
        <v>28</v>
      </c>
      <c r="K15" s="38">
        <f t="shared" si="0"/>
        <v>185.98420400000001</v>
      </c>
      <c r="L15" s="86"/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1439</v>
      </c>
      <c r="B17" s="16" t="s">
        <v>145</v>
      </c>
      <c r="C17" s="17">
        <v>24</v>
      </c>
      <c r="D17" s="18" t="s">
        <v>146</v>
      </c>
      <c r="E17" s="41">
        <v>5</v>
      </c>
      <c r="F17" s="82">
        <v>15.7</v>
      </c>
      <c r="G17" s="34" t="s">
        <v>49</v>
      </c>
      <c r="H17" s="35">
        <v>1981</v>
      </c>
      <c r="I17" s="36">
        <v>3353</v>
      </c>
      <c r="J17" s="37">
        <v>10</v>
      </c>
      <c r="K17" s="38">
        <f t="shared" si="0"/>
        <v>66.422930000000008</v>
      </c>
      <c r="L17" s="86" t="s">
        <v>1442</v>
      </c>
    </row>
    <row r="18" spans="1:12" s="27" customFormat="1" ht="19.5" customHeight="1" x14ac:dyDescent="0.3">
      <c r="A18" s="28" t="s">
        <v>1441</v>
      </c>
      <c r="B18" s="16" t="s">
        <v>145</v>
      </c>
      <c r="C18" s="17">
        <v>24</v>
      </c>
      <c r="D18" s="18" t="s">
        <v>146</v>
      </c>
      <c r="E18" s="81">
        <v>15</v>
      </c>
      <c r="F18" s="82">
        <v>47.1</v>
      </c>
      <c r="G18" s="34" t="s">
        <v>62</v>
      </c>
      <c r="H18" s="35">
        <v>1981</v>
      </c>
      <c r="I18" s="36">
        <v>3353</v>
      </c>
      <c r="J18" s="37">
        <v>10</v>
      </c>
      <c r="K18" s="38">
        <f t="shared" si="0"/>
        <v>66.422930000000008</v>
      </c>
      <c r="L18" s="39" t="s">
        <v>1443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1429</v>
      </c>
      <c r="B20" s="16" t="s">
        <v>306</v>
      </c>
      <c r="C20" s="17">
        <v>22</v>
      </c>
      <c r="D20" s="18" t="s">
        <v>307</v>
      </c>
      <c r="E20" s="41">
        <v>128</v>
      </c>
      <c r="F20" s="42">
        <v>97.44</v>
      </c>
      <c r="G20" s="34" t="s">
        <v>286</v>
      </c>
      <c r="H20" s="35">
        <v>1829</v>
      </c>
      <c r="I20" s="36">
        <v>3353</v>
      </c>
      <c r="J20" s="37">
        <v>34</v>
      </c>
      <c r="K20" s="38">
        <f t="shared" si="0"/>
        <v>208.509658</v>
      </c>
      <c r="L20" s="39" t="s">
        <v>425</v>
      </c>
    </row>
    <row r="21" spans="1:12" s="27" customFormat="1" ht="19.5" customHeight="1" x14ac:dyDescent="0.3">
      <c r="A21" s="28"/>
      <c r="B21" s="16"/>
      <c r="C21" s="17">
        <v>22</v>
      </c>
      <c r="D21" s="18" t="s">
        <v>320</v>
      </c>
      <c r="E21" s="41">
        <v>128</v>
      </c>
      <c r="F21" s="42">
        <v>97.44</v>
      </c>
      <c r="G21" s="34"/>
      <c r="H21" s="35"/>
      <c r="I21" s="36"/>
      <c r="J21" s="37"/>
      <c r="K21" s="38">
        <f t="shared" si="0"/>
        <v>0</v>
      </c>
      <c r="L21" s="39" t="s">
        <v>425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1430</v>
      </c>
      <c r="B23" s="16" t="s">
        <v>306</v>
      </c>
      <c r="C23" s="17">
        <v>22</v>
      </c>
      <c r="D23" s="18" t="s">
        <v>307</v>
      </c>
      <c r="E23" s="41">
        <v>120</v>
      </c>
      <c r="F23" s="42">
        <v>94.72</v>
      </c>
      <c r="G23" s="34" t="s">
        <v>286</v>
      </c>
      <c r="H23" s="35">
        <v>1829</v>
      </c>
      <c r="I23" s="36">
        <v>3353</v>
      </c>
      <c r="J23" s="37">
        <v>33</v>
      </c>
      <c r="K23" s="38">
        <f t="shared" si="0"/>
        <v>202.37702099999998</v>
      </c>
      <c r="L23" s="39" t="s">
        <v>425</v>
      </c>
    </row>
    <row r="24" spans="1:12" s="27" customFormat="1" ht="19.5" customHeight="1" x14ac:dyDescent="0.3">
      <c r="A24" s="28"/>
      <c r="B24" s="16"/>
      <c r="C24" s="17">
        <v>22</v>
      </c>
      <c r="D24" s="18" t="s">
        <v>320</v>
      </c>
      <c r="E24" s="41">
        <v>120</v>
      </c>
      <c r="F24" s="42">
        <v>94.72</v>
      </c>
      <c r="G24" s="34"/>
      <c r="H24" s="35"/>
      <c r="I24" s="36"/>
      <c r="J24" s="37"/>
      <c r="K24" s="38">
        <f t="shared" si="0"/>
        <v>0</v>
      </c>
      <c r="L24" s="39" t="s">
        <v>425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43"/>
      <c r="H30" s="35"/>
      <c r="I30" s="36"/>
      <c r="J30" s="37"/>
      <c r="K30" s="38">
        <f t="shared" si="0"/>
        <v>0</v>
      </c>
      <c r="L30" s="39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1093</v>
      </c>
      <c r="B32" s="76" t="s">
        <v>21</v>
      </c>
      <c r="C32" s="77">
        <v>22</v>
      </c>
      <c r="D32" s="47" t="s">
        <v>83</v>
      </c>
      <c r="E32" s="48">
        <v>2</v>
      </c>
      <c r="F32" s="49">
        <v>6.46</v>
      </c>
      <c r="G32" s="50" t="s">
        <v>18</v>
      </c>
      <c r="H32" s="51">
        <v>1981</v>
      </c>
      <c r="I32" s="45">
        <v>3353</v>
      </c>
      <c r="J32" s="52">
        <v>1</v>
      </c>
      <c r="K32" s="53">
        <f t="shared" si="0"/>
        <v>6.6422930000000004</v>
      </c>
      <c r="L32" s="54" t="s">
        <v>1407</v>
      </c>
    </row>
    <row r="33" spans="1:12" s="55" customFormat="1" ht="19.5" customHeight="1" x14ac:dyDescent="0.3">
      <c r="A33" s="44"/>
      <c r="B33" s="76"/>
      <c r="C33" s="77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1444</v>
      </c>
      <c r="B34" s="76" t="s">
        <v>951</v>
      </c>
      <c r="C34" s="77">
        <v>24</v>
      </c>
      <c r="D34" s="47" t="s">
        <v>55</v>
      </c>
      <c r="E34" s="48">
        <v>6</v>
      </c>
      <c r="F34" s="49">
        <v>6.9</v>
      </c>
      <c r="G34" s="50" t="s">
        <v>56</v>
      </c>
      <c r="H34" s="51">
        <v>1829</v>
      </c>
      <c r="I34" s="45">
        <v>3353</v>
      </c>
      <c r="J34" s="52">
        <v>1</v>
      </c>
      <c r="K34" s="53">
        <f t="shared" si="0"/>
        <v>6.1326369999999999</v>
      </c>
      <c r="L34" s="54"/>
    </row>
    <row r="35" spans="1:12" s="55" customFormat="1" ht="19.5" customHeight="1" x14ac:dyDescent="0.3">
      <c r="A35" s="44"/>
      <c r="B35" s="76"/>
      <c r="C35" s="77"/>
      <c r="D35" s="47"/>
      <c r="E35" s="48"/>
      <c r="F35" s="49"/>
      <c r="G35" s="50" t="s">
        <v>18</v>
      </c>
      <c r="H35" s="51">
        <v>1981</v>
      </c>
      <c r="I35" s="45">
        <v>3353</v>
      </c>
      <c r="J35" s="52">
        <v>1</v>
      </c>
      <c r="K35" s="53">
        <f t="shared" si="0"/>
        <v>6.6422930000000004</v>
      </c>
      <c r="L35" s="54"/>
    </row>
    <row r="36" spans="1:12" s="55" customFormat="1" ht="19.5" customHeight="1" x14ac:dyDescent="0.3">
      <c r="A36" s="44"/>
      <c r="B36" s="76"/>
      <c r="C36" s="77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1392</v>
      </c>
      <c r="B37" s="76" t="s">
        <v>204</v>
      </c>
      <c r="C37" s="77">
        <v>28</v>
      </c>
      <c r="D37" s="47" t="s">
        <v>1393</v>
      </c>
      <c r="E37" s="48">
        <v>3</v>
      </c>
      <c r="F37" s="49">
        <v>15.3</v>
      </c>
      <c r="G37" s="50" t="s">
        <v>206</v>
      </c>
      <c r="H37" s="51">
        <v>2134</v>
      </c>
      <c r="I37" s="45">
        <v>3353</v>
      </c>
      <c r="J37" s="52">
        <v>19</v>
      </c>
      <c r="K37" s="53">
        <f t="shared" si="0"/>
        <v>135.950738</v>
      </c>
      <c r="L37" s="54" t="s">
        <v>1445</v>
      </c>
    </row>
    <row r="38" spans="1:12" s="55" customFormat="1" ht="19.5" customHeight="1" x14ac:dyDescent="0.3">
      <c r="A38" s="44"/>
      <c r="B38" s="76"/>
      <c r="C38" s="77">
        <v>28</v>
      </c>
      <c r="D38" s="47" t="s">
        <v>205</v>
      </c>
      <c r="E38" s="48">
        <v>6</v>
      </c>
      <c r="F38" s="49">
        <v>23.98</v>
      </c>
      <c r="G38" s="50"/>
      <c r="H38" s="51"/>
      <c r="I38" s="45"/>
      <c r="J38" s="52"/>
      <c r="K38" s="53">
        <f t="shared" si="0"/>
        <v>0</v>
      </c>
      <c r="L38" s="54" t="s">
        <v>1445</v>
      </c>
    </row>
    <row r="39" spans="1:12" s="55" customFormat="1" ht="19.5" customHeight="1" x14ac:dyDescent="0.3">
      <c r="A39" s="44" t="s">
        <v>1394</v>
      </c>
      <c r="B39" s="76" t="s">
        <v>204</v>
      </c>
      <c r="C39" s="77">
        <v>28</v>
      </c>
      <c r="D39" s="47" t="s">
        <v>1393</v>
      </c>
      <c r="E39" s="48">
        <v>8</v>
      </c>
      <c r="F39" s="49">
        <v>30.45</v>
      </c>
      <c r="G39" s="50"/>
      <c r="H39" s="51"/>
      <c r="I39" s="45"/>
      <c r="J39" s="52"/>
      <c r="K39" s="53">
        <f t="shared" si="0"/>
        <v>0</v>
      </c>
      <c r="L39" s="54" t="s">
        <v>1445</v>
      </c>
    </row>
    <row r="40" spans="1:12" s="55" customFormat="1" ht="19.5" customHeight="1" x14ac:dyDescent="0.3">
      <c r="A40" s="44"/>
      <c r="B40" s="76"/>
      <c r="C40" s="77">
        <v>28</v>
      </c>
      <c r="D40" s="47" t="s">
        <v>205</v>
      </c>
      <c r="E40" s="48">
        <v>9</v>
      </c>
      <c r="F40" s="49">
        <v>37.619999999999997</v>
      </c>
      <c r="G40" s="50"/>
      <c r="H40" s="51"/>
      <c r="I40" s="45"/>
      <c r="J40" s="52"/>
      <c r="K40" s="53">
        <f t="shared" si="0"/>
        <v>0</v>
      </c>
      <c r="L40" s="54" t="s">
        <v>1445</v>
      </c>
    </row>
    <row r="41" spans="1:12" s="55" customFormat="1" ht="19.5" customHeight="1" x14ac:dyDescent="0.3">
      <c r="A41" s="44"/>
      <c r="B41" s="76"/>
      <c r="C41" s="77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1446</v>
      </c>
      <c r="B42" s="76" t="s">
        <v>59</v>
      </c>
      <c r="C42" s="77">
        <v>22</v>
      </c>
      <c r="D42" s="47" t="s">
        <v>17</v>
      </c>
      <c r="E42" s="48">
        <v>173</v>
      </c>
      <c r="F42" s="49">
        <v>224.9</v>
      </c>
      <c r="G42" s="50" t="s">
        <v>18</v>
      </c>
      <c r="H42" s="51">
        <v>1829</v>
      </c>
      <c r="I42" s="45">
        <v>3048</v>
      </c>
      <c r="J42" s="52">
        <v>41</v>
      </c>
      <c r="K42" s="53">
        <f t="shared" si="0"/>
        <v>228.56647199999998</v>
      </c>
      <c r="L42" s="54" t="s">
        <v>1447</v>
      </c>
    </row>
    <row r="43" spans="1:12" s="55" customFormat="1" ht="19.5" customHeight="1" x14ac:dyDescent="0.3">
      <c r="A43" s="44"/>
      <c r="B43" s="76"/>
      <c r="C43" s="77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/>
      <c r="B44" s="76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/>
      <c r="B45" s="76"/>
      <c r="C45" s="77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77"/>
      <c r="D46" s="78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77"/>
      <c r="D47" s="78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9" customFormat="1" ht="20.100000000000001" customHeight="1" x14ac:dyDescent="0.3">
      <c r="A50" s="44"/>
      <c r="B50" s="45"/>
      <c r="C50" s="46"/>
      <c r="D50" s="47"/>
      <c r="E50" s="56"/>
      <c r="F50" s="57"/>
      <c r="G50" s="50"/>
      <c r="H50" s="51"/>
      <c r="I50" s="45"/>
      <c r="J50" s="52"/>
      <c r="K50" s="53">
        <f t="shared" si="0"/>
        <v>0</v>
      </c>
      <c r="L50" s="58">
        <f>SUM(J31:J51)</f>
        <v>63</v>
      </c>
    </row>
    <row r="51" spans="1:12" s="59" customFormat="1" ht="20.100000000000001" customHeight="1" x14ac:dyDescent="0.3">
      <c r="A51" s="44"/>
      <c r="B51" s="45"/>
      <c r="C51" s="46"/>
      <c r="D51" s="47"/>
      <c r="E51" s="60"/>
      <c r="F51" s="61"/>
      <c r="G51" s="62"/>
      <c r="H51" s="51"/>
      <c r="I51" s="45"/>
      <c r="J51" s="63"/>
      <c r="K51" s="53">
        <f t="shared" si="0"/>
        <v>0</v>
      </c>
      <c r="L51" s="64">
        <f>SUM(K31:K51)</f>
        <v>383.93443300000001</v>
      </c>
    </row>
    <row r="52" spans="1:12" s="59" customFormat="1" ht="20.100000000000001" customHeight="1" thickBot="1" x14ac:dyDescent="0.35">
      <c r="A52" s="114"/>
      <c r="B52" s="115"/>
      <c r="C52" s="115"/>
      <c r="D52" s="115"/>
      <c r="E52" s="115"/>
      <c r="F52" s="115"/>
      <c r="G52" s="115"/>
      <c r="H52" s="115"/>
      <c r="I52" s="115"/>
      <c r="J52" s="65">
        <f>SUM(J7:J51)</f>
        <v>220</v>
      </c>
      <c r="K52" s="66">
        <f>SUM(K7:K51)</f>
        <v>1410.1558600000001</v>
      </c>
      <c r="L52" s="67"/>
    </row>
    <row r="53" spans="1:12" s="59" customFormat="1" ht="20.100000000000001" customHeight="1" thickTop="1" thickBot="1" x14ac:dyDescent="0.35">
      <c r="A53" s="116" t="s">
        <v>52</v>
      </c>
      <c r="B53" s="117"/>
      <c r="C53" s="68"/>
      <c r="D53" s="118">
        <f>J52</f>
        <v>220</v>
      </c>
      <c r="E53" s="119"/>
      <c r="F53" s="119"/>
      <c r="G53" s="120"/>
      <c r="H53" s="121"/>
      <c r="I53" s="121"/>
      <c r="J53" s="122"/>
      <c r="K53" s="119"/>
      <c r="L53" s="123"/>
    </row>
    <row r="54" spans="1:12" s="59" customFormat="1" ht="20.100000000000001" customHeight="1" x14ac:dyDescent="0.3">
      <c r="A54" s="69"/>
      <c r="B54" s="5"/>
      <c r="C54" s="5"/>
      <c r="D54" s="5"/>
      <c r="E54" s="5"/>
      <c r="F54" s="70"/>
      <c r="G54" s="5"/>
      <c r="H54" s="5"/>
      <c r="I54" s="5"/>
      <c r="J54" s="5"/>
      <c r="K54" s="5"/>
      <c r="L54" s="71"/>
    </row>
    <row r="55" spans="1:12" s="59" customFormat="1" ht="20.100000000000001" customHeight="1" x14ac:dyDescent="0.3">
      <c r="A55" s="69"/>
      <c r="B55" s="5"/>
      <c r="C55" s="5"/>
      <c r="D55" s="5"/>
      <c r="E55" s="5"/>
      <c r="F55" s="70"/>
      <c r="G55" s="5"/>
      <c r="H55" s="5"/>
      <c r="I55" s="5"/>
      <c r="J55" s="5"/>
      <c r="K55" s="5"/>
      <c r="L55" s="5"/>
    </row>
    <row r="56" spans="1:12" s="59" customFormat="1" ht="20.100000000000001" customHeight="1" x14ac:dyDescent="0.3">
      <c r="A56" s="69"/>
      <c r="B56" s="5"/>
      <c r="C56" s="5"/>
      <c r="D56" s="5"/>
      <c r="E56" s="5"/>
      <c r="F56" s="70"/>
      <c r="G56" s="5"/>
      <c r="H56" s="5"/>
      <c r="I56" s="5"/>
      <c r="J56" s="5"/>
      <c r="K56" s="5"/>
      <c r="L56" s="5"/>
    </row>
    <row r="57" spans="1:12" s="59" customFormat="1" ht="20.100000000000001" customHeight="1" x14ac:dyDescent="0.3">
      <c r="A57" s="69"/>
      <c r="B57" s="5"/>
      <c r="C57" s="5"/>
      <c r="D57" s="5"/>
      <c r="E57" s="5"/>
      <c r="F57" s="70"/>
      <c r="G57" s="5"/>
      <c r="H57" s="5"/>
      <c r="I57" s="5"/>
      <c r="J57" s="5"/>
      <c r="K57" s="5"/>
      <c r="L57" s="5"/>
    </row>
    <row r="58" spans="1:12" s="59" customFormat="1" ht="20.100000000000001" customHeight="1" x14ac:dyDescent="0.3">
      <c r="A58" s="113"/>
      <c r="B58" s="113"/>
      <c r="C58" s="5"/>
      <c r="D58" s="5"/>
      <c r="E58" s="5"/>
      <c r="F58" s="70"/>
      <c r="G58" s="5"/>
      <c r="H58" s="5"/>
      <c r="I58" s="5"/>
      <c r="J58" s="5"/>
      <c r="K58" s="5"/>
      <c r="L58" s="5"/>
    </row>
    <row r="59" spans="1:12" s="59" customFormat="1" ht="20.100000000000001" customHeight="1" x14ac:dyDescent="0.3">
      <c r="A59" s="113"/>
      <c r="B59" s="113"/>
      <c r="C59" s="5"/>
      <c r="D59" s="5"/>
      <c r="E59" s="72"/>
      <c r="F59" s="5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113"/>
      <c r="B60" s="113"/>
      <c r="C60" s="5"/>
      <c r="D60" s="5"/>
      <c r="E60" s="5"/>
      <c r="F60" s="5"/>
      <c r="G60" s="73"/>
      <c r="H60" s="5"/>
      <c r="I60" s="74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72"/>
      <c r="I64" s="72"/>
      <c r="J64" s="5"/>
      <c r="K64" s="5"/>
      <c r="L64" s="5"/>
    </row>
    <row r="65" spans="1:12" ht="20.100000000000001" customHeight="1" x14ac:dyDescent="0.3">
      <c r="A65" s="113"/>
      <c r="B65" s="113"/>
      <c r="H65" s="72"/>
      <c r="I65" s="72"/>
    </row>
    <row r="66" spans="1:12" ht="20.100000000000001" customHeight="1" x14ac:dyDescent="0.3">
      <c r="H66" s="72"/>
      <c r="I66" s="72"/>
    </row>
    <row r="67" spans="1:12" ht="20.100000000000001" customHeight="1" x14ac:dyDescent="0.3">
      <c r="H67" s="72"/>
      <c r="I67" s="72"/>
    </row>
    <row r="68" spans="1:12" ht="20.100000000000001" customHeight="1" x14ac:dyDescent="0.3">
      <c r="A68" s="113"/>
      <c r="B68" s="113"/>
      <c r="H68" s="72"/>
      <c r="I68" s="72"/>
    </row>
    <row r="69" spans="1:12" ht="20.100000000000001" customHeight="1" x14ac:dyDescent="0.3">
      <c r="A69" s="113"/>
      <c r="B69" s="113"/>
      <c r="H69" s="72"/>
      <c r="I69" s="72"/>
    </row>
    <row r="70" spans="1:12" ht="20.100000000000001" customHeight="1" x14ac:dyDescent="0.3">
      <c r="H70" s="72"/>
      <c r="I70" s="72"/>
    </row>
    <row r="71" spans="1:12" ht="20.100000000000001" customHeight="1" x14ac:dyDescent="0.3">
      <c r="H71" s="72"/>
      <c r="I71" s="72"/>
    </row>
    <row r="72" spans="1:12" ht="20.100000000000001" customHeight="1" x14ac:dyDescent="0.3">
      <c r="H72" s="72"/>
      <c r="I72" s="72"/>
    </row>
    <row r="73" spans="1:12" s="72" customFormat="1" ht="20.100000000000001" customHeight="1" x14ac:dyDescent="0.3">
      <c r="A73" s="69"/>
      <c r="B73" s="5"/>
      <c r="C73" s="5"/>
      <c r="D73" s="5"/>
      <c r="E73" s="5"/>
      <c r="F73" s="70"/>
      <c r="G73" s="5"/>
      <c r="J73" s="5"/>
      <c r="K73" s="5"/>
      <c r="L73" s="5"/>
    </row>
    <row r="74" spans="1:12" s="72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75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75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75" customFormat="1" ht="19.5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72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ht="19.5" customHeight="1" x14ac:dyDescent="0.3"/>
    <row r="81" spans="2:12" ht="19.5" customHeight="1" x14ac:dyDescent="0.3"/>
    <row r="82" spans="2:12" ht="19.5" customHeight="1" x14ac:dyDescent="0.3"/>
    <row r="83" spans="2:12" s="69" customFormat="1" ht="19.5" customHeight="1" x14ac:dyDescent="0.3"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2:12" s="69" customFormat="1" ht="19.5" customHeight="1" x14ac:dyDescent="0.3"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2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2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2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2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2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2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2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2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2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2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2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2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ht="19.5" customHeight="1" x14ac:dyDescent="0.3"/>
    <row r="100" spans="2:12" ht="19.5" customHeight="1" x14ac:dyDescent="0.3"/>
    <row r="101" spans="2:12" ht="19.5" customHeight="1" x14ac:dyDescent="0.3"/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>
        <v>2</v>
      </c>
      <c r="C143" s="5"/>
      <c r="D143" s="5"/>
      <c r="E143" s="5"/>
      <c r="F143" s="70"/>
      <c r="G143" s="5"/>
      <c r="H143" s="5"/>
      <c r="I143" s="5"/>
      <c r="J143" s="5"/>
      <c r="K143" s="5"/>
      <c r="L143" s="5"/>
    </row>
  </sheetData>
  <mergeCells count="30">
    <mergeCell ref="A68:B68"/>
    <mergeCell ref="A69:B69"/>
    <mergeCell ref="A59:B59"/>
    <mergeCell ref="A60:B60"/>
    <mergeCell ref="A61:B61"/>
    <mergeCell ref="A63:B63"/>
    <mergeCell ref="A64:B64"/>
    <mergeCell ref="A65:B65"/>
    <mergeCell ref="A58:B5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2:I52"/>
    <mergeCell ref="A53:B53"/>
    <mergeCell ref="D53:G53"/>
    <mergeCell ref="H53:J53"/>
    <mergeCell ref="K53:L53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L166"/>
  <sheetViews>
    <sheetView view="pageBreakPreview" topLeftCell="A13" zoomScale="85" zoomScaleSheetLayoutView="85" workbookViewId="0">
      <selection activeCell="B13" sqref="B1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46064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4" si="0">(H7/1000*I7/1000)*J7</f>
        <v>0</v>
      </c>
      <c r="L7" s="26">
        <f>SUM(J7:J44)</f>
        <v>100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SUM(K7:K44)</f>
        <v>639.54071900000008</v>
      </c>
    </row>
    <row r="9" spans="1:12" s="27" customFormat="1" ht="19.5" customHeight="1" x14ac:dyDescent="0.3">
      <c r="A9" s="28" t="s">
        <v>1421</v>
      </c>
      <c r="B9" s="16" t="s">
        <v>21</v>
      </c>
      <c r="C9" s="17">
        <v>25.76</v>
      </c>
      <c r="D9" s="18" t="s">
        <v>227</v>
      </c>
      <c r="E9" s="81">
        <v>2</v>
      </c>
      <c r="F9" s="82">
        <v>1.66</v>
      </c>
      <c r="G9" s="34" t="s">
        <v>18</v>
      </c>
      <c r="H9" s="35">
        <v>1981</v>
      </c>
      <c r="I9" s="29">
        <v>3353</v>
      </c>
      <c r="J9" s="84">
        <v>1</v>
      </c>
      <c r="K9" s="85">
        <f t="shared" si="0"/>
        <v>6.6422930000000004</v>
      </c>
      <c r="L9" s="86"/>
    </row>
    <row r="10" spans="1:12" s="27" customFormat="1" ht="19.5" customHeight="1" x14ac:dyDescent="0.3">
      <c r="A10" s="28"/>
      <c r="B10" s="16"/>
      <c r="C10" s="17">
        <v>22</v>
      </c>
      <c r="D10" s="18" t="s">
        <v>228</v>
      </c>
      <c r="E10" s="81">
        <v>1</v>
      </c>
      <c r="F10" s="82">
        <v>1.78</v>
      </c>
      <c r="G10" s="34" t="s">
        <v>19</v>
      </c>
      <c r="H10" s="35">
        <v>1981</v>
      </c>
      <c r="I10" s="36">
        <v>3353</v>
      </c>
      <c r="J10" s="37">
        <v>1</v>
      </c>
      <c r="K10" s="38">
        <f t="shared" si="0"/>
        <v>6.6422930000000004</v>
      </c>
      <c r="L10" s="86"/>
    </row>
    <row r="11" spans="1:12" s="27" customFormat="1" ht="19.5" customHeight="1" x14ac:dyDescent="0.3">
      <c r="A11" s="28"/>
      <c r="B11" s="16"/>
      <c r="C11" s="17">
        <v>22</v>
      </c>
      <c r="D11" s="18" t="s">
        <v>17</v>
      </c>
      <c r="E11" s="81">
        <v>3</v>
      </c>
      <c r="F11" s="82">
        <v>5.52</v>
      </c>
      <c r="G11" s="34"/>
      <c r="H11" s="35"/>
      <c r="I11" s="36"/>
      <c r="J11" s="37"/>
      <c r="K11" s="38">
        <f t="shared" si="0"/>
        <v>0</v>
      </c>
      <c r="L11" s="86"/>
    </row>
    <row r="12" spans="1:12" s="27" customFormat="1" ht="19.5" customHeight="1" x14ac:dyDescent="0.3">
      <c r="A12" s="28"/>
      <c r="B12" s="16"/>
      <c r="C12" s="17"/>
      <c r="D12" s="18"/>
      <c r="E12" s="41"/>
      <c r="F12" s="8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1422</v>
      </c>
      <c r="B13" s="16" t="s">
        <v>934</v>
      </c>
      <c r="C13" s="17">
        <v>8</v>
      </c>
      <c r="D13" s="18" t="s">
        <v>276</v>
      </c>
      <c r="E13" s="81">
        <v>2</v>
      </c>
      <c r="F13" s="82">
        <v>3.38</v>
      </c>
      <c r="G13" s="34"/>
      <c r="H13" s="35"/>
      <c r="I13" s="36"/>
      <c r="J13" s="37"/>
      <c r="K13" s="38">
        <f t="shared" si="0"/>
        <v>0</v>
      </c>
      <c r="L13" s="86" t="s">
        <v>31</v>
      </c>
    </row>
    <row r="14" spans="1:12" s="27" customFormat="1" ht="19.5" customHeight="1" x14ac:dyDescent="0.3">
      <c r="A14" s="28"/>
      <c r="B14" s="16"/>
      <c r="C14" s="17"/>
      <c r="D14" s="18"/>
      <c r="E14" s="81"/>
      <c r="F14" s="8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1423</v>
      </c>
      <c r="B15" s="16" t="s">
        <v>417</v>
      </c>
      <c r="C15" s="17">
        <v>12</v>
      </c>
      <c r="D15" s="18" t="s">
        <v>570</v>
      </c>
      <c r="E15" s="81">
        <v>4</v>
      </c>
      <c r="F15" s="82">
        <v>1.1200000000000001</v>
      </c>
      <c r="G15" s="34"/>
      <c r="H15" s="35"/>
      <c r="I15" s="36"/>
      <c r="J15" s="37"/>
      <c r="K15" s="38">
        <f t="shared" si="0"/>
        <v>0</v>
      </c>
      <c r="L15" s="86" t="s">
        <v>31</v>
      </c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745</v>
      </c>
      <c r="B17" s="16" t="s">
        <v>281</v>
      </c>
      <c r="C17" s="17">
        <v>24</v>
      </c>
      <c r="D17" s="18" t="s">
        <v>283</v>
      </c>
      <c r="E17" s="81">
        <v>1</v>
      </c>
      <c r="F17" s="82">
        <v>1.34</v>
      </c>
      <c r="G17" s="34"/>
      <c r="H17" s="35"/>
      <c r="I17" s="36"/>
      <c r="J17" s="37"/>
      <c r="K17" s="38">
        <f t="shared" si="0"/>
        <v>0</v>
      </c>
      <c r="L17" s="86" t="s">
        <v>31</v>
      </c>
    </row>
    <row r="18" spans="1:12" s="27" customFormat="1" ht="19.5" customHeight="1" x14ac:dyDescent="0.3">
      <c r="A18" s="28"/>
      <c r="B18" s="16"/>
      <c r="C18" s="17"/>
      <c r="D18" s="18"/>
      <c r="E18" s="81"/>
      <c r="F18" s="8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 t="s">
        <v>1424</v>
      </c>
      <c r="B19" s="16" t="s">
        <v>21</v>
      </c>
      <c r="C19" s="17">
        <v>25.76</v>
      </c>
      <c r="D19" s="18" t="s">
        <v>227</v>
      </c>
      <c r="E19" s="41">
        <v>3</v>
      </c>
      <c r="F19" s="42">
        <v>2.0499999999999998</v>
      </c>
      <c r="G19" s="34" t="s">
        <v>19</v>
      </c>
      <c r="H19" s="35">
        <v>1981</v>
      </c>
      <c r="I19" s="36">
        <v>3353</v>
      </c>
      <c r="J19" s="37">
        <v>4</v>
      </c>
      <c r="K19" s="38">
        <f t="shared" si="0"/>
        <v>26.569172000000002</v>
      </c>
      <c r="L19" s="39"/>
    </row>
    <row r="20" spans="1:12" s="27" customFormat="1" ht="19.5" customHeight="1" x14ac:dyDescent="0.3">
      <c r="A20" s="28"/>
      <c r="B20" s="16"/>
      <c r="C20" s="17">
        <v>22</v>
      </c>
      <c r="D20" s="18" t="s">
        <v>228</v>
      </c>
      <c r="E20" s="81">
        <v>1</v>
      </c>
      <c r="F20" s="82">
        <v>2.06</v>
      </c>
      <c r="G20" s="34" t="s">
        <v>18</v>
      </c>
      <c r="H20" s="35">
        <v>2590</v>
      </c>
      <c r="I20" s="36">
        <v>3048</v>
      </c>
      <c r="J20" s="37">
        <v>2</v>
      </c>
      <c r="K20" s="38">
        <f t="shared" si="0"/>
        <v>15.788639999999999</v>
      </c>
      <c r="L20" s="39"/>
    </row>
    <row r="21" spans="1:12" s="27" customFormat="1" ht="19.5" customHeight="1" x14ac:dyDescent="0.3">
      <c r="A21" s="28"/>
      <c r="B21" s="16"/>
      <c r="C21" s="17">
        <v>22</v>
      </c>
      <c r="D21" s="18" t="s">
        <v>17</v>
      </c>
      <c r="E21" s="41">
        <v>12</v>
      </c>
      <c r="F21" s="42">
        <v>16.32</v>
      </c>
      <c r="G21" s="34" t="s">
        <v>18</v>
      </c>
      <c r="H21" s="35">
        <v>1981</v>
      </c>
      <c r="I21" s="36">
        <v>3353</v>
      </c>
      <c r="J21" s="37">
        <v>1</v>
      </c>
      <c r="K21" s="38">
        <f t="shared" si="0"/>
        <v>6.6422930000000004</v>
      </c>
      <c r="L21" s="39"/>
    </row>
    <row r="22" spans="1:12" s="27" customFormat="1" ht="19.5" customHeight="1" x14ac:dyDescent="0.3">
      <c r="A22" s="28"/>
      <c r="B22" s="16"/>
      <c r="C22" s="17">
        <v>46.76</v>
      </c>
      <c r="D22" s="18" t="s">
        <v>272</v>
      </c>
      <c r="E22" s="41">
        <v>1</v>
      </c>
      <c r="F22" s="42">
        <v>0.45</v>
      </c>
      <c r="G22" s="34"/>
      <c r="H22" s="35"/>
      <c r="I22" s="36"/>
      <c r="J22" s="37"/>
      <c r="K22" s="38">
        <f t="shared" si="0"/>
        <v>0</v>
      </c>
      <c r="L22" s="39" t="s">
        <v>1425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 t="s">
        <v>1426</v>
      </c>
      <c r="B24" s="16" t="s">
        <v>21</v>
      </c>
      <c r="C24" s="17">
        <v>25.76</v>
      </c>
      <c r="D24" s="18" t="s">
        <v>227</v>
      </c>
      <c r="E24" s="41">
        <v>1</v>
      </c>
      <c r="F24" s="42">
        <v>0.55000000000000004</v>
      </c>
      <c r="G24" s="34" t="s">
        <v>19</v>
      </c>
      <c r="H24" s="35">
        <v>1981</v>
      </c>
      <c r="I24" s="36">
        <v>3353</v>
      </c>
      <c r="J24" s="37">
        <v>5</v>
      </c>
      <c r="K24" s="38">
        <f t="shared" si="0"/>
        <v>33.211465000000004</v>
      </c>
      <c r="L24" s="39"/>
    </row>
    <row r="25" spans="1:12" s="27" customFormat="1" ht="19.5" customHeight="1" x14ac:dyDescent="0.3">
      <c r="A25" s="28"/>
      <c r="B25" s="16"/>
      <c r="C25" s="17">
        <v>22</v>
      </c>
      <c r="D25" s="18" t="s">
        <v>228</v>
      </c>
      <c r="E25" s="41">
        <v>5</v>
      </c>
      <c r="F25" s="42">
        <v>7.14</v>
      </c>
      <c r="G25" s="34" t="s">
        <v>18</v>
      </c>
      <c r="H25" s="35">
        <v>1981</v>
      </c>
      <c r="I25" s="36">
        <v>3353</v>
      </c>
      <c r="J25" s="37">
        <v>5</v>
      </c>
      <c r="K25" s="38">
        <f t="shared" si="0"/>
        <v>33.211465000000004</v>
      </c>
      <c r="L25" s="39"/>
    </row>
    <row r="26" spans="1:12" s="27" customFormat="1" ht="19.5" customHeight="1" x14ac:dyDescent="0.3">
      <c r="A26" s="28"/>
      <c r="B26" s="16"/>
      <c r="C26" s="17">
        <v>22</v>
      </c>
      <c r="D26" s="18" t="s">
        <v>17</v>
      </c>
      <c r="E26" s="41">
        <v>19</v>
      </c>
      <c r="F26" s="42">
        <v>23.14</v>
      </c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>
        <v>46.76</v>
      </c>
      <c r="D27" s="18" t="s">
        <v>272</v>
      </c>
      <c r="E27" s="41">
        <v>1</v>
      </c>
      <c r="F27" s="42">
        <v>0.45</v>
      </c>
      <c r="G27" s="34"/>
      <c r="H27" s="35"/>
      <c r="I27" s="36"/>
      <c r="J27" s="37"/>
      <c r="K27" s="38">
        <f t="shared" si="0"/>
        <v>0</v>
      </c>
      <c r="L27" s="39" t="s">
        <v>1425</v>
      </c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 t="s">
        <v>1427</v>
      </c>
      <c r="B29" s="16" t="s">
        <v>21</v>
      </c>
      <c r="C29" s="17">
        <v>25.76</v>
      </c>
      <c r="D29" s="18" t="s">
        <v>227</v>
      </c>
      <c r="E29" s="41">
        <v>7</v>
      </c>
      <c r="F29" s="42">
        <v>4.1399999999999997</v>
      </c>
      <c r="G29" s="34" t="s">
        <v>19</v>
      </c>
      <c r="H29" s="35">
        <v>1981</v>
      </c>
      <c r="I29" s="36">
        <v>3353</v>
      </c>
      <c r="J29" s="37">
        <v>8</v>
      </c>
      <c r="K29" s="38">
        <f t="shared" ref="K29:K33" si="1">(H29/1000*I29/1000)*J29</f>
        <v>53.138344000000004</v>
      </c>
      <c r="L29" s="39"/>
    </row>
    <row r="30" spans="1:12" s="27" customFormat="1" ht="19.5" customHeight="1" x14ac:dyDescent="0.3">
      <c r="A30" s="28"/>
      <c r="B30" s="16"/>
      <c r="C30" s="17">
        <v>22</v>
      </c>
      <c r="D30" s="18" t="s">
        <v>228</v>
      </c>
      <c r="E30" s="41">
        <v>1</v>
      </c>
      <c r="F30" s="42">
        <v>2.44</v>
      </c>
      <c r="G30" s="34" t="s">
        <v>18</v>
      </c>
      <c r="H30" s="35">
        <v>2590</v>
      </c>
      <c r="I30" s="36">
        <v>3048</v>
      </c>
      <c r="J30" s="37">
        <v>6</v>
      </c>
      <c r="K30" s="38">
        <f t="shared" si="1"/>
        <v>47.365919999999996</v>
      </c>
      <c r="L30" s="39"/>
    </row>
    <row r="31" spans="1:12" s="27" customFormat="1" ht="19.5" customHeight="1" x14ac:dyDescent="0.3">
      <c r="A31" s="28"/>
      <c r="B31" s="16"/>
      <c r="C31" s="17">
        <v>22</v>
      </c>
      <c r="D31" s="18" t="s">
        <v>17</v>
      </c>
      <c r="E31" s="41">
        <v>35</v>
      </c>
      <c r="F31" s="42">
        <v>41.63</v>
      </c>
      <c r="G31" s="34"/>
      <c r="H31" s="35"/>
      <c r="I31" s="36"/>
      <c r="J31" s="37"/>
      <c r="K31" s="38">
        <f t="shared" si="1"/>
        <v>0</v>
      </c>
      <c r="L31" s="39"/>
    </row>
    <row r="32" spans="1:12" s="27" customFormat="1" ht="19.5" customHeight="1" x14ac:dyDescent="0.3">
      <c r="A32" s="28"/>
      <c r="B32" s="16"/>
      <c r="C32" s="17">
        <v>46.76</v>
      </c>
      <c r="D32" s="18" t="s">
        <v>272</v>
      </c>
      <c r="E32" s="41">
        <v>6</v>
      </c>
      <c r="F32" s="42">
        <v>2.7</v>
      </c>
      <c r="G32" s="34"/>
      <c r="H32" s="35"/>
      <c r="I32" s="36"/>
      <c r="J32" s="37"/>
      <c r="K32" s="38">
        <f t="shared" si="1"/>
        <v>0</v>
      </c>
      <c r="L32" s="39" t="s">
        <v>1425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1"/>
        <v>0</v>
      </c>
      <c r="L33" s="39"/>
    </row>
    <row r="34" spans="1:12" s="27" customFormat="1" ht="19.5" customHeight="1" x14ac:dyDescent="0.3">
      <c r="A34" s="28" t="s">
        <v>1424</v>
      </c>
      <c r="B34" s="16" t="s">
        <v>21</v>
      </c>
      <c r="C34" s="17">
        <v>46.76</v>
      </c>
      <c r="D34" s="18" t="s">
        <v>272</v>
      </c>
      <c r="E34" s="41">
        <v>1</v>
      </c>
      <c r="F34" s="42">
        <v>0.45</v>
      </c>
      <c r="G34" s="34" t="s">
        <v>62</v>
      </c>
      <c r="H34" s="35">
        <v>1829</v>
      </c>
      <c r="I34" s="36">
        <v>3048</v>
      </c>
      <c r="J34" s="37">
        <v>1</v>
      </c>
      <c r="K34" s="38">
        <f t="shared" ref="K34:K39" si="2">(H34/1000*I34/1000)*J34</f>
        <v>5.5747919999999995</v>
      </c>
      <c r="L34" s="39" t="s">
        <v>1428</v>
      </c>
    </row>
    <row r="35" spans="1:12" s="27" customFormat="1" ht="19.5" customHeight="1" x14ac:dyDescent="0.3">
      <c r="A35" s="28" t="s">
        <v>1426</v>
      </c>
      <c r="B35" s="16" t="s">
        <v>21</v>
      </c>
      <c r="C35" s="17">
        <v>46.76</v>
      </c>
      <c r="D35" s="18" t="s">
        <v>272</v>
      </c>
      <c r="E35" s="41">
        <v>1</v>
      </c>
      <c r="F35" s="42">
        <v>0.45</v>
      </c>
      <c r="G35" s="34"/>
      <c r="H35" s="35"/>
      <c r="I35" s="36"/>
      <c r="J35" s="37"/>
      <c r="K35" s="38">
        <f t="shared" si="2"/>
        <v>0</v>
      </c>
      <c r="L35" s="39" t="s">
        <v>1428</v>
      </c>
    </row>
    <row r="36" spans="1:12" s="27" customFormat="1" ht="19.5" customHeight="1" x14ac:dyDescent="0.3">
      <c r="A36" s="28" t="s">
        <v>1427</v>
      </c>
      <c r="B36" s="16" t="s">
        <v>21</v>
      </c>
      <c r="C36" s="17">
        <v>46.76</v>
      </c>
      <c r="D36" s="18" t="s">
        <v>272</v>
      </c>
      <c r="E36" s="41">
        <v>6</v>
      </c>
      <c r="F36" s="42">
        <v>2.7</v>
      </c>
      <c r="G36" s="34"/>
      <c r="H36" s="35"/>
      <c r="I36" s="36"/>
      <c r="J36" s="37"/>
      <c r="K36" s="38">
        <f t="shared" si="2"/>
        <v>0</v>
      </c>
      <c r="L36" s="39" t="s">
        <v>1428</v>
      </c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2"/>
        <v>0</v>
      </c>
      <c r="L37" s="39"/>
    </row>
    <row r="38" spans="1:12" s="27" customFormat="1" ht="19.5" customHeight="1" x14ac:dyDescent="0.3">
      <c r="A38" s="28" t="s">
        <v>1429</v>
      </c>
      <c r="B38" s="16" t="s">
        <v>306</v>
      </c>
      <c r="C38" s="17">
        <v>22</v>
      </c>
      <c r="D38" s="18" t="s">
        <v>307</v>
      </c>
      <c r="E38" s="41">
        <v>128</v>
      </c>
      <c r="F38" s="42">
        <v>97.44</v>
      </c>
      <c r="G38" s="34" t="s">
        <v>49</v>
      </c>
      <c r="H38" s="35">
        <v>1829</v>
      </c>
      <c r="I38" s="36">
        <v>3353</v>
      </c>
      <c r="J38" s="37">
        <v>17</v>
      </c>
      <c r="K38" s="38">
        <f t="shared" si="2"/>
        <v>104.254829</v>
      </c>
      <c r="L38" s="39" t="s">
        <v>465</v>
      </c>
    </row>
    <row r="39" spans="1:12" s="27" customFormat="1" ht="19.5" customHeight="1" x14ac:dyDescent="0.3">
      <c r="A39" s="28"/>
      <c r="B39" s="16"/>
      <c r="C39" s="17">
        <v>22</v>
      </c>
      <c r="D39" s="18" t="s">
        <v>320</v>
      </c>
      <c r="E39" s="41">
        <v>128</v>
      </c>
      <c r="F39" s="42">
        <v>97.44</v>
      </c>
      <c r="G39" s="34" t="s">
        <v>18</v>
      </c>
      <c r="H39" s="35">
        <v>1829</v>
      </c>
      <c r="I39" s="36">
        <v>3353</v>
      </c>
      <c r="J39" s="37">
        <v>17</v>
      </c>
      <c r="K39" s="38">
        <f t="shared" si="2"/>
        <v>104.254829</v>
      </c>
      <c r="L39" s="39" t="s">
        <v>601</v>
      </c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38">
        <f t="shared" si="0"/>
        <v>0</v>
      </c>
      <c r="L40" s="39"/>
    </row>
    <row r="41" spans="1:12" s="27" customFormat="1" ht="19.5" customHeight="1" x14ac:dyDescent="0.3">
      <c r="A41" s="28" t="s">
        <v>1430</v>
      </c>
      <c r="B41" s="16" t="s">
        <v>306</v>
      </c>
      <c r="C41" s="17">
        <v>22</v>
      </c>
      <c r="D41" s="18" t="s">
        <v>307</v>
      </c>
      <c r="E41" s="41">
        <v>120</v>
      </c>
      <c r="F41" s="42">
        <v>94.72</v>
      </c>
      <c r="G41" s="34" t="s">
        <v>49</v>
      </c>
      <c r="H41" s="35">
        <v>1829</v>
      </c>
      <c r="I41" s="36">
        <v>3353</v>
      </c>
      <c r="J41" s="37">
        <v>16</v>
      </c>
      <c r="K41" s="38">
        <f t="shared" si="0"/>
        <v>98.122191999999998</v>
      </c>
      <c r="L41" s="39" t="s">
        <v>465</v>
      </c>
    </row>
    <row r="42" spans="1:12" s="27" customFormat="1" ht="19.5" customHeight="1" x14ac:dyDescent="0.3">
      <c r="A42" s="28"/>
      <c r="B42" s="16"/>
      <c r="C42" s="17">
        <v>22</v>
      </c>
      <c r="D42" s="18" t="s">
        <v>320</v>
      </c>
      <c r="E42" s="41">
        <v>120</v>
      </c>
      <c r="F42" s="42">
        <v>94.72</v>
      </c>
      <c r="G42" s="34" t="s">
        <v>18</v>
      </c>
      <c r="H42" s="35">
        <v>1829</v>
      </c>
      <c r="I42" s="36">
        <v>3353</v>
      </c>
      <c r="J42" s="37">
        <v>16</v>
      </c>
      <c r="K42" s="38">
        <f t="shared" si="0"/>
        <v>98.122191999999998</v>
      </c>
      <c r="L42" s="39" t="s">
        <v>601</v>
      </c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38">
        <f t="shared" si="0"/>
        <v>0</v>
      </c>
      <c r="L43" s="39"/>
    </row>
    <row r="44" spans="1:12" s="27" customFormat="1" ht="19.5" customHeight="1" x14ac:dyDescent="0.3">
      <c r="A44" s="28"/>
      <c r="B44" s="29"/>
      <c r="C44" s="30"/>
      <c r="D44" s="31"/>
      <c r="E44" s="41"/>
      <c r="F44" s="42"/>
      <c r="G44" s="43"/>
      <c r="H44" s="35"/>
      <c r="I44" s="36"/>
      <c r="J44" s="37"/>
      <c r="K44" s="38">
        <f t="shared" si="0"/>
        <v>0</v>
      </c>
      <c r="L44" s="39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1431</v>
      </c>
      <c r="B46" s="76" t="s">
        <v>110</v>
      </c>
      <c r="C46" s="77">
        <v>24</v>
      </c>
      <c r="D46" s="47" t="s">
        <v>55</v>
      </c>
      <c r="E46" s="48">
        <v>1</v>
      </c>
      <c r="F46" s="49">
        <v>0.74</v>
      </c>
      <c r="G46" s="50"/>
      <c r="H46" s="51"/>
      <c r="I46" s="45"/>
      <c r="J46" s="52"/>
      <c r="K46" s="53">
        <f t="shared" si="0"/>
        <v>0</v>
      </c>
      <c r="L46" s="54" t="s">
        <v>31</v>
      </c>
    </row>
    <row r="47" spans="1:12" s="55" customFormat="1" ht="19.5" customHeight="1" x14ac:dyDescent="0.3">
      <c r="A47" s="44"/>
      <c r="B47" s="76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1432</v>
      </c>
      <c r="B48" s="76" t="s">
        <v>939</v>
      </c>
      <c r="C48" s="77">
        <v>22</v>
      </c>
      <c r="D48" s="47" t="s">
        <v>199</v>
      </c>
      <c r="E48" s="48">
        <v>4</v>
      </c>
      <c r="F48" s="49">
        <v>5</v>
      </c>
      <c r="G48" s="50" t="s">
        <v>18</v>
      </c>
      <c r="H48" s="51">
        <v>1981</v>
      </c>
      <c r="I48" s="45">
        <v>3353</v>
      </c>
      <c r="J48" s="52">
        <v>1</v>
      </c>
      <c r="K48" s="53">
        <f t="shared" si="0"/>
        <v>6.6422930000000004</v>
      </c>
      <c r="L48" s="54"/>
    </row>
    <row r="49" spans="1:12" s="55" customFormat="1" ht="19.5" customHeight="1" x14ac:dyDescent="0.3">
      <c r="A49" s="44"/>
      <c r="B49" s="76"/>
      <c r="C49" s="77"/>
      <c r="D49" s="47"/>
      <c r="E49" s="48"/>
      <c r="F49" s="49"/>
      <c r="G49" s="50" t="s">
        <v>49</v>
      </c>
      <c r="H49" s="51">
        <v>1981</v>
      </c>
      <c r="I49" s="45">
        <v>3353</v>
      </c>
      <c r="J49" s="52">
        <v>1</v>
      </c>
      <c r="K49" s="53">
        <f t="shared" si="0"/>
        <v>6.6422930000000004</v>
      </c>
      <c r="L49" s="54"/>
    </row>
    <row r="50" spans="1:12" s="55" customFormat="1" ht="19.5" customHeight="1" x14ac:dyDescent="0.3">
      <c r="A50" s="44"/>
      <c r="B50" s="76"/>
      <c r="C50" s="77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1433</v>
      </c>
      <c r="B51" s="76" t="s">
        <v>278</v>
      </c>
      <c r="C51" s="77">
        <v>31</v>
      </c>
      <c r="D51" s="47" t="s">
        <v>1434</v>
      </c>
      <c r="E51" s="48">
        <v>4</v>
      </c>
      <c r="F51" s="49">
        <v>2.87</v>
      </c>
      <c r="G51" s="50" t="s">
        <v>19</v>
      </c>
      <c r="H51" s="51">
        <v>1981</v>
      </c>
      <c r="I51" s="45">
        <v>3353</v>
      </c>
      <c r="J51" s="52">
        <v>2</v>
      </c>
      <c r="K51" s="53">
        <f t="shared" si="0"/>
        <v>13.284586000000001</v>
      </c>
      <c r="L51" s="54"/>
    </row>
    <row r="52" spans="1:12" s="55" customFormat="1" ht="19.5" customHeight="1" x14ac:dyDescent="0.3">
      <c r="A52" s="44"/>
      <c r="B52" s="76"/>
      <c r="C52" s="77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1435</v>
      </c>
      <c r="B53" s="76" t="s">
        <v>110</v>
      </c>
      <c r="C53" s="77">
        <v>24</v>
      </c>
      <c r="D53" s="47" t="s">
        <v>55</v>
      </c>
      <c r="E53" s="48">
        <v>131</v>
      </c>
      <c r="F53" s="49">
        <v>115.75</v>
      </c>
      <c r="G53" s="50" t="s">
        <v>56</v>
      </c>
      <c r="H53" s="51">
        <v>2438</v>
      </c>
      <c r="I53" s="45">
        <v>3353</v>
      </c>
      <c r="J53" s="52">
        <v>9</v>
      </c>
      <c r="K53" s="53">
        <f t="shared" si="0"/>
        <v>73.571526000000006</v>
      </c>
      <c r="L53" s="54"/>
    </row>
    <row r="54" spans="1:12" s="55" customFormat="1" ht="19.5" customHeight="1" x14ac:dyDescent="0.3">
      <c r="A54" s="44"/>
      <c r="B54" s="76"/>
      <c r="C54" s="77"/>
      <c r="D54" s="47"/>
      <c r="E54" s="48"/>
      <c r="F54" s="49"/>
      <c r="G54" s="50" t="s">
        <v>56</v>
      </c>
      <c r="H54" s="51">
        <v>1981</v>
      </c>
      <c r="I54" s="45">
        <v>3353</v>
      </c>
      <c r="J54" s="52">
        <v>9</v>
      </c>
      <c r="K54" s="53">
        <f t="shared" si="0"/>
        <v>59.780637000000006</v>
      </c>
      <c r="L54" s="54"/>
    </row>
    <row r="55" spans="1:12" s="55" customFormat="1" ht="19.5" customHeight="1" x14ac:dyDescent="0.3">
      <c r="A55" s="44"/>
      <c r="B55" s="76"/>
      <c r="C55" s="77"/>
      <c r="D55" s="47"/>
      <c r="E55" s="48"/>
      <c r="F55" s="49"/>
      <c r="G55" s="50" t="s">
        <v>18</v>
      </c>
      <c r="H55" s="51">
        <v>2590</v>
      </c>
      <c r="I55" s="45">
        <v>3048</v>
      </c>
      <c r="J55" s="52">
        <v>16</v>
      </c>
      <c r="K55" s="53">
        <f t="shared" si="0"/>
        <v>126.30911999999999</v>
      </c>
      <c r="L55" s="54"/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 t="s">
        <v>18</v>
      </c>
      <c r="H56" s="51">
        <v>1981</v>
      </c>
      <c r="I56" s="45">
        <v>3353</v>
      </c>
      <c r="J56" s="52">
        <v>1</v>
      </c>
      <c r="K56" s="53">
        <f t="shared" si="0"/>
        <v>6.6422930000000004</v>
      </c>
      <c r="L56" s="54"/>
    </row>
    <row r="57" spans="1:12" s="55" customFormat="1" ht="19.5" customHeight="1" x14ac:dyDescent="0.3">
      <c r="A57" s="44"/>
      <c r="B57" s="76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1258</v>
      </c>
      <c r="B58" s="76" t="s">
        <v>1436</v>
      </c>
      <c r="C58" s="77">
        <v>8</v>
      </c>
      <c r="D58" s="47" t="s">
        <v>276</v>
      </c>
      <c r="E58" s="48">
        <v>6</v>
      </c>
      <c r="F58" s="49">
        <v>24.42</v>
      </c>
      <c r="G58" s="50" t="s">
        <v>935</v>
      </c>
      <c r="H58" s="51">
        <v>2438</v>
      </c>
      <c r="I58" s="45">
        <v>3353</v>
      </c>
      <c r="J58" s="52">
        <v>4</v>
      </c>
      <c r="K58" s="53">
        <f t="shared" si="0"/>
        <v>32.698456</v>
      </c>
      <c r="L58" s="54"/>
    </row>
    <row r="59" spans="1:12" s="55" customFormat="1" ht="19.5" customHeight="1" x14ac:dyDescent="0.3">
      <c r="A59" s="44"/>
      <c r="B59" s="76"/>
      <c r="C59" s="77"/>
      <c r="D59" s="47"/>
      <c r="E59" s="48"/>
      <c r="F59" s="49"/>
      <c r="G59" s="50" t="s">
        <v>935</v>
      </c>
      <c r="H59" s="51">
        <v>2438</v>
      </c>
      <c r="I59" s="45">
        <v>3048</v>
      </c>
      <c r="J59" s="52">
        <v>1</v>
      </c>
      <c r="K59" s="53">
        <f t="shared" si="0"/>
        <v>7.4310240000000007</v>
      </c>
      <c r="L59" s="54"/>
    </row>
    <row r="60" spans="1:12" s="55" customFormat="1" ht="19.5" customHeight="1" x14ac:dyDescent="0.3">
      <c r="A60" s="44"/>
      <c r="B60" s="76"/>
      <c r="C60" s="77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1437</v>
      </c>
      <c r="B61" s="76" t="s">
        <v>110</v>
      </c>
      <c r="C61" s="77">
        <v>24</v>
      </c>
      <c r="D61" s="47" t="s">
        <v>55</v>
      </c>
      <c r="E61" s="48">
        <v>62</v>
      </c>
      <c r="F61" s="49">
        <v>50.3</v>
      </c>
      <c r="G61" s="50" t="s">
        <v>56</v>
      </c>
      <c r="H61" s="51">
        <v>2438</v>
      </c>
      <c r="I61" s="45">
        <v>3353</v>
      </c>
      <c r="J61" s="52">
        <v>7</v>
      </c>
      <c r="K61" s="53">
        <f t="shared" si="0"/>
        <v>57.222298000000002</v>
      </c>
      <c r="L61" s="54"/>
    </row>
    <row r="62" spans="1:12" s="55" customFormat="1" ht="19.5" customHeight="1" x14ac:dyDescent="0.3">
      <c r="A62" s="44"/>
      <c r="B62" s="76"/>
      <c r="C62" s="77"/>
      <c r="D62" s="47"/>
      <c r="E62" s="48"/>
      <c r="F62" s="49"/>
      <c r="G62" s="50" t="s">
        <v>18</v>
      </c>
      <c r="H62" s="51">
        <v>2438</v>
      </c>
      <c r="I62" s="45">
        <v>3353</v>
      </c>
      <c r="J62" s="52">
        <v>7</v>
      </c>
      <c r="K62" s="53">
        <f t="shared" si="0"/>
        <v>57.222298000000002</v>
      </c>
      <c r="L62" s="54"/>
    </row>
    <row r="63" spans="1:12" s="55" customFormat="1" ht="19.5" customHeight="1" x14ac:dyDescent="0.3">
      <c r="A63" s="44"/>
      <c r="B63" s="76"/>
      <c r="C63" s="77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/>
      <c r="B64" s="76"/>
      <c r="C64" s="77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/>
      <c r="B65" s="76"/>
      <c r="C65" s="77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76"/>
      <c r="C66" s="77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76"/>
      <c r="C67" s="77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76"/>
      <c r="C68" s="77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77"/>
      <c r="D69" s="78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77"/>
      <c r="D70" s="78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9" customFormat="1" ht="20.100000000000001" customHeight="1" x14ac:dyDescent="0.3">
      <c r="A73" s="44"/>
      <c r="B73" s="45"/>
      <c r="C73" s="46"/>
      <c r="D73" s="47"/>
      <c r="E73" s="56"/>
      <c r="F73" s="57"/>
      <c r="G73" s="50"/>
      <c r="H73" s="51"/>
      <c r="I73" s="45"/>
      <c r="J73" s="52"/>
      <c r="K73" s="53">
        <f t="shared" si="0"/>
        <v>0</v>
      </c>
      <c r="L73" s="58">
        <f>SUM(J45:J74)</f>
        <v>58</v>
      </c>
    </row>
    <row r="74" spans="1:12" s="59" customFormat="1" ht="20.100000000000001" customHeight="1" x14ac:dyDescent="0.3">
      <c r="A74" s="44"/>
      <c r="B74" s="45"/>
      <c r="C74" s="46"/>
      <c r="D74" s="47"/>
      <c r="E74" s="60"/>
      <c r="F74" s="61"/>
      <c r="G74" s="62"/>
      <c r="H74" s="51"/>
      <c r="I74" s="45"/>
      <c r="J74" s="63"/>
      <c r="K74" s="53">
        <f t="shared" si="0"/>
        <v>0</v>
      </c>
      <c r="L74" s="64">
        <f>SUM(K45:K74)</f>
        <v>447.44682400000005</v>
      </c>
    </row>
    <row r="75" spans="1:12" s="59" customFormat="1" ht="20.100000000000001" customHeight="1" thickBot="1" x14ac:dyDescent="0.35">
      <c r="A75" s="114"/>
      <c r="B75" s="115"/>
      <c r="C75" s="115"/>
      <c r="D75" s="115"/>
      <c r="E75" s="115"/>
      <c r="F75" s="115"/>
      <c r="G75" s="115"/>
      <c r="H75" s="115"/>
      <c r="I75" s="115"/>
      <c r="J75" s="65">
        <f>SUM(J7:J74)</f>
        <v>158</v>
      </c>
      <c r="K75" s="66">
        <f>SUM(K7:K74)</f>
        <v>1086.9875429999997</v>
      </c>
      <c r="L75" s="67"/>
    </row>
    <row r="76" spans="1:12" s="59" customFormat="1" ht="20.100000000000001" customHeight="1" thickTop="1" thickBot="1" x14ac:dyDescent="0.35">
      <c r="A76" s="116" t="s">
        <v>52</v>
      </c>
      <c r="B76" s="117"/>
      <c r="C76" s="68"/>
      <c r="D76" s="118">
        <f>J75</f>
        <v>158</v>
      </c>
      <c r="E76" s="119"/>
      <c r="F76" s="119"/>
      <c r="G76" s="120"/>
      <c r="H76" s="121"/>
      <c r="I76" s="121"/>
      <c r="J76" s="122"/>
      <c r="K76" s="119"/>
      <c r="L76" s="123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71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72"/>
      <c r="F82" s="5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5"/>
      <c r="G83" s="73"/>
      <c r="H83" s="5"/>
      <c r="I83" s="74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72"/>
      <c r="I87" s="72"/>
      <c r="J87" s="5"/>
      <c r="K87" s="5"/>
      <c r="L87" s="5"/>
    </row>
    <row r="88" spans="1:12" ht="20.100000000000001" customHeight="1" x14ac:dyDescent="0.3">
      <c r="A88" s="113"/>
      <c r="B88" s="113"/>
      <c r="H88" s="72"/>
      <c r="I88" s="72"/>
    </row>
    <row r="89" spans="1:12" ht="20.100000000000001" customHeight="1" x14ac:dyDescent="0.3"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A91" s="113"/>
      <c r="B91" s="113"/>
      <c r="H91" s="72"/>
      <c r="I91" s="72"/>
    </row>
    <row r="92" spans="1:12" ht="20.100000000000001" customHeight="1" x14ac:dyDescent="0.3">
      <c r="A92" s="113"/>
      <c r="B92" s="113"/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H95" s="72"/>
      <c r="I95" s="72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J96" s="5"/>
      <c r="K96" s="5"/>
      <c r="L96" s="5"/>
    </row>
    <row r="97" spans="1:12" s="72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5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5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5" customFormat="1" ht="19.5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2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ht="19.5" customHeight="1" x14ac:dyDescent="0.3"/>
    <row r="104" spans="1:12" ht="19.5" customHeight="1" x14ac:dyDescent="0.3"/>
    <row r="105" spans="1:12" ht="19.5" customHeight="1" x14ac:dyDescent="0.3"/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>
        <v>2</v>
      </c>
      <c r="C166" s="5"/>
      <c r="D166" s="5"/>
      <c r="E166" s="5"/>
      <c r="F166" s="70"/>
      <c r="G166" s="5"/>
      <c r="H166" s="5"/>
      <c r="I166" s="5"/>
      <c r="J166" s="5"/>
      <c r="K166" s="5"/>
      <c r="L16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1:B8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5:I75"/>
    <mergeCell ref="A76:B76"/>
    <mergeCell ref="D76:G76"/>
    <mergeCell ref="H76:J76"/>
    <mergeCell ref="K76:L76"/>
    <mergeCell ref="A91:B91"/>
    <mergeCell ref="A92:B92"/>
    <mergeCell ref="A82:B82"/>
    <mergeCell ref="A83:B83"/>
    <mergeCell ref="A84:B84"/>
    <mergeCell ref="A86:B86"/>
    <mergeCell ref="A87:B87"/>
    <mergeCell ref="A88:B8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L156"/>
  <sheetViews>
    <sheetView view="pageBreakPreview" topLeftCell="A23" zoomScale="85" zoomScaleSheetLayoutView="85" workbookViewId="0">
      <selection activeCell="B36" sqref="B36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46063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4" si="0">(H7/1000*I7/1000)*J7</f>
        <v>0</v>
      </c>
      <c r="L7" s="26">
        <f>SUM(J7:J34)</f>
        <v>196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SUM(K7:K34)</f>
        <v>1261.6750430000002</v>
      </c>
    </row>
    <row r="9" spans="1:12" s="27" customFormat="1" ht="19.5" customHeight="1" x14ac:dyDescent="0.3">
      <c r="A9" s="28" t="s">
        <v>1386</v>
      </c>
      <c r="B9" s="16" t="s">
        <v>1387</v>
      </c>
      <c r="C9" s="17">
        <v>26</v>
      </c>
      <c r="D9" s="18" t="s">
        <v>1388</v>
      </c>
      <c r="E9" s="81">
        <v>12</v>
      </c>
      <c r="F9" s="82">
        <v>3.36</v>
      </c>
      <c r="G9" s="34" t="s">
        <v>18</v>
      </c>
      <c r="H9" s="83">
        <v>1829</v>
      </c>
      <c r="I9" s="29">
        <v>3353</v>
      </c>
      <c r="J9" s="84">
        <v>1</v>
      </c>
      <c r="K9" s="85">
        <f t="shared" si="0"/>
        <v>6.1326369999999999</v>
      </c>
      <c r="L9" s="86" t="s">
        <v>100</v>
      </c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86"/>
    </row>
    <row r="11" spans="1:12" s="27" customFormat="1" ht="19.5" customHeight="1" x14ac:dyDescent="0.3">
      <c r="A11" s="28" t="s">
        <v>1389</v>
      </c>
      <c r="B11" s="16" t="s">
        <v>306</v>
      </c>
      <c r="C11" s="17">
        <v>22</v>
      </c>
      <c r="D11" s="18" t="s">
        <v>307</v>
      </c>
      <c r="E11" s="81">
        <v>164</v>
      </c>
      <c r="F11" s="82">
        <v>141.72</v>
      </c>
      <c r="G11" s="34" t="s">
        <v>49</v>
      </c>
      <c r="H11" s="35">
        <v>1829</v>
      </c>
      <c r="I11" s="36">
        <v>3353</v>
      </c>
      <c r="J11" s="37">
        <v>25</v>
      </c>
      <c r="K11" s="38">
        <f t="shared" si="0"/>
        <v>153.31592499999999</v>
      </c>
      <c r="L11" s="86" t="s">
        <v>1473</v>
      </c>
    </row>
    <row r="12" spans="1:12" s="27" customFormat="1" ht="19.5" customHeight="1" x14ac:dyDescent="0.3">
      <c r="A12" s="28"/>
      <c r="B12" s="16"/>
      <c r="C12" s="17">
        <v>22</v>
      </c>
      <c r="D12" s="18" t="s">
        <v>320</v>
      </c>
      <c r="E12" s="41">
        <v>164</v>
      </c>
      <c r="F12" s="82">
        <v>141.72</v>
      </c>
      <c r="G12" s="34" t="s">
        <v>18</v>
      </c>
      <c r="H12" s="35">
        <v>1829</v>
      </c>
      <c r="I12" s="36">
        <v>3353</v>
      </c>
      <c r="J12" s="37">
        <v>24</v>
      </c>
      <c r="K12" s="38">
        <f t="shared" si="0"/>
        <v>147.183288</v>
      </c>
      <c r="L12" s="86" t="s">
        <v>1473</v>
      </c>
    </row>
    <row r="13" spans="1:12" s="27" customFormat="1" ht="19.5" customHeight="1" x14ac:dyDescent="0.3">
      <c r="A13" s="28"/>
      <c r="B13" s="16"/>
      <c r="C13" s="17"/>
      <c r="D13" s="18"/>
      <c r="E13" s="81"/>
      <c r="F13" s="82"/>
      <c r="G13" s="34" t="s">
        <v>39</v>
      </c>
      <c r="H13" s="35">
        <v>1829</v>
      </c>
      <c r="I13" s="36">
        <v>3353</v>
      </c>
      <c r="J13" s="37">
        <v>49</v>
      </c>
      <c r="K13" s="38">
        <f t="shared" si="0"/>
        <v>300.499213</v>
      </c>
      <c r="L13" s="86" t="s">
        <v>1472</v>
      </c>
    </row>
    <row r="14" spans="1:12" s="27" customFormat="1" ht="19.5" customHeight="1" x14ac:dyDescent="0.3">
      <c r="A14" s="28"/>
      <c r="B14" s="16"/>
      <c r="C14" s="17"/>
      <c r="D14" s="18"/>
      <c r="E14" s="81"/>
      <c r="F14" s="8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1390</v>
      </c>
      <c r="B15" s="16" t="s">
        <v>306</v>
      </c>
      <c r="C15" s="17">
        <v>22</v>
      </c>
      <c r="D15" s="18" t="s">
        <v>307</v>
      </c>
      <c r="E15" s="81">
        <v>112</v>
      </c>
      <c r="F15" s="82">
        <v>92</v>
      </c>
      <c r="G15" s="34" t="s">
        <v>49</v>
      </c>
      <c r="H15" s="35">
        <v>1829</v>
      </c>
      <c r="I15" s="36">
        <v>3353</v>
      </c>
      <c r="J15" s="37">
        <v>16</v>
      </c>
      <c r="K15" s="38">
        <f t="shared" si="0"/>
        <v>98.122191999999998</v>
      </c>
      <c r="L15" s="86" t="s">
        <v>1473</v>
      </c>
    </row>
    <row r="16" spans="1:12" s="27" customFormat="1" ht="19.5" customHeight="1" x14ac:dyDescent="0.3">
      <c r="A16" s="28"/>
      <c r="B16" s="16"/>
      <c r="C16" s="17">
        <v>22</v>
      </c>
      <c r="D16" s="18" t="s">
        <v>320</v>
      </c>
      <c r="E16" s="81">
        <v>112</v>
      </c>
      <c r="F16" s="82">
        <v>92</v>
      </c>
      <c r="G16" s="34" t="s">
        <v>18</v>
      </c>
      <c r="H16" s="35">
        <v>1829</v>
      </c>
      <c r="I16" s="36">
        <v>3353</v>
      </c>
      <c r="J16" s="37">
        <v>16</v>
      </c>
      <c r="K16" s="38">
        <f t="shared" si="0"/>
        <v>98.122191999999998</v>
      </c>
      <c r="L16" s="86" t="s">
        <v>1473</v>
      </c>
    </row>
    <row r="17" spans="1:12" s="27" customFormat="1" ht="19.5" customHeight="1" x14ac:dyDescent="0.3">
      <c r="A17" s="28"/>
      <c r="B17" s="16"/>
      <c r="C17" s="17"/>
      <c r="D17" s="18"/>
      <c r="E17" s="81"/>
      <c r="F17" s="82"/>
      <c r="G17" s="34" t="s">
        <v>39</v>
      </c>
      <c r="H17" s="35">
        <v>1829</v>
      </c>
      <c r="I17" s="36">
        <v>3353</v>
      </c>
      <c r="J17" s="37">
        <v>32</v>
      </c>
      <c r="K17" s="38">
        <f t="shared" si="0"/>
        <v>196.244384</v>
      </c>
      <c r="L17" s="86" t="s">
        <v>1473</v>
      </c>
    </row>
    <row r="18" spans="1:12" s="27" customFormat="1" ht="19.5" customHeight="1" x14ac:dyDescent="0.3">
      <c r="A18" s="28"/>
      <c r="B18" s="16"/>
      <c r="C18" s="17"/>
      <c r="D18" s="18"/>
      <c r="E18" s="81"/>
      <c r="F18" s="8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 t="s">
        <v>57</v>
      </c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1396</v>
      </c>
      <c r="B20" s="16" t="s">
        <v>1397</v>
      </c>
      <c r="C20" s="17">
        <v>5</v>
      </c>
      <c r="D20" s="18" t="s">
        <v>1398</v>
      </c>
      <c r="E20" s="81">
        <v>514</v>
      </c>
      <c r="F20" s="82">
        <v>191.72</v>
      </c>
      <c r="G20" s="34" t="s">
        <v>1399</v>
      </c>
      <c r="H20" s="35">
        <v>2438</v>
      </c>
      <c r="I20" s="36">
        <v>3353</v>
      </c>
      <c r="J20" s="37">
        <v>24</v>
      </c>
      <c r="K20" s="38">
        <f t="shared" si="0"/>
        <v>196.19073600000002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 t="s">
        <v>1399</v>
      </c>
      <c r="H21" s="35">
        <v>1981</v>
      </c>
      <c r="I21" s="36">
        <v>3353</v>
      </c>
      <c r="J21" s="37">
        <v>1</v>
      </c>
      <c r="K21" s="38">
        <f t="shared" si="0"/>
        <v>6.6422930000000004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1400</v>
      </c>
      <c r="B23" s="16" t="s">
        <v>1420</v>
      </c>
      <c r="C23" s="17">
        <v>22</v>
      </c>
      <c r="D23" s="18" t="s">
        <v>1401</v>
      </c>
      <c r="E23" s="41">
        <v>14</v>
      </c>
      <c r="F23" s="42">
        <v>20.92</v>
      </c>
      <c r="G23" s="34" t="s">
        <v>1399</v>
      </c>
      <c r="H23" s="35">
        <v>2438</v>
      </c>
      <c r="I23" s="36">
        <v>3048</v>
      </c>
      <c r="J23" s="37">
        <v>1</v>
      </c>
      <c r="K23" s="38">
        <f t="shared" si="0"/>
        <v>7.4310240000000007</v>
      </c>
      <c r="L23" s="39"/>
    </row>
    <row r="24" spans="1:12" s="27" customFormat="1" ht="19.5" customHeight="1" x14ac:dyDescent="0.3">
      <c r="A24" s="28"/>
      <c r="B24" s="16"/>
      <c r="C24" s="17">
        <v>25.76</v>
      </c>
      <c r="D24" s="18" t="s">
        <v>1402</v>
      </c>
      <c r="E24" s="41">
        <v>1</v>
      </c>
      <c r="F24" s="42">
        <v>0.78</v>
      </c>
      <c r="G24" s="34" t="s">
        <v>1399</v>
      </c>
      <c r="H24" s="35">
        <v>2590</v>
      </c>
      <c r="I24" s="36">
        <v>3048</v>
      </c>
      <c r="J24" s="37">
        <v>3</v>
      </c>
      <c r="K24" s="38">
        <f t="shared" si="0"/>
        <v>23.682959999999998</v>
      </c>
      <c r="L24" s="39"/>
    </row>
    <row r="25" spans="1:12" s="27" customFormat="1" ht="19.5" customHeight="1" x14ac:dyDescent="0.3">
      <c r="A25" s="28"/>
      <c r="B25" s="16"/>
      <c r="C25" s="17">
        <v>5</v>
      </c>
      <c r="D25" s="18" t="s">
        <v>1403</v>
      </c>
      <c r="E25" s="41">
        <v>1</v>
      </c>
      <c r="F25" s="42">
        <v>3.19</v>
      </c>
      <c r="G25" s="34" t="s">
        <v>19</v>
      </c>
      <c r="H25" s="35">
        <v>2134</v>
      </c>
      <c r="I25" s="36">
        <v>3353</v>
      </c>
      <c r="J25" s="37">
        <v>3</v>
      </c>
      <c r="K25" s="38">
        <f t="shared" si="0"/>
        <v>21.465906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 t="s">
        <v>19</v>
      </c>
      <c r="H26" s="35">
        <v>1981</v>
      </c>
      <c r="I26" s="36">
        <v>3353</v>
      </c>
      <c r="J26" s="37">
        <v>1</v>
      </c>
      <c r="K26" s="38">
        <f t="shared" si="0"/>
        <v>6.6422930000000004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38">
        <f t="shared" si="0"/>
        <v>0</v>
      </c>
      <c r="L34" s="39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1206</v>
      </c>
      <c r="B36" s="76" t="s">
        <v>187</v>
      </c>
      <c r="C36" s="77">
        <v>28</v>
      </c>
      <c r="D36" s="47" t="s">
        <v>245</v>
      </c>
      <c r="E36" s="48">
        <v>2</v>
      </c>
      <c r="F36" s="49">
        <v>2.12</v>
      </c>
      <c r="G36" s="50" t="s">
        <v>246</v>
      </c>
      <c r="H36" s="51">
        <v>2440</v>
      </c>
      <c r="I36" s="45">
        <v>3050</v>
      </c>
      <c r="J36" s="52">
        <v>1</v>
      </c>
      <c r="K36" s="53">
        <f t="shared" si="0"/>
        <v>7.4420000000000002</v>
      </c>
      <c r="L36" s="54" t="s">
        <v>247</v>
      </c>
    </row>
    <row r="37" spans="1:12" s="55" customFormat="1" ht="19.5" customHeight="1" x14ac:dyDescent="0.3">
      <c r="A37" s="44"/>
      <c r="B37" s="76"/>
      <c r="C37" s="77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1016</v>
      </c>
      <c r="B38" s="76" t="s">
        <v>204</v>
      </c>
      <c r="C38" s="77">
        <v>28</v>
      </c>
      <c r="D38" s="47" t="s">
        <v>205</v>
      </c>
      <c r="E38" s="48">
        <v>33</v>
      </c>
      <c r="F38" s="49">
        <v>207.4</v>
      </c>
      <c r="G38" s="50" t="s">
        <v>206</v>
      </c>
      <c r="H38" s="51">
        <v>2134</v>
      </c>
      <c r="I38" s="45">
        <v>3353</v>
      </c>
      <c r="J38" s="52">
        <v>33</v>
      </c>
      <c r="K38" s="53">
        <f t="shared" si="0"/>
        <v>236.124966</v>
      </c>
      <c r="L38" s="54" t="s">
        <v>1391</v>
      </c>
    </row>
    <row r="39" spans="1:12" s="55" customFormat="1" ht="19.5" customHeight="1" x14ac:dyDescent="0.3">
      <c r="A39" s="44"/>
      <c r="B39" s="76"/>
      <c r="C39" s="77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1097</v>
      </c>
      <c r="B40" s="76" t="s">
        <v>204</v>
      </c>
      <c r="C40" s="77">
        <v>28</v>
      </c>
      <c r="D40" s="47" t="s">
        <v>205</v>
      </c>
      <c r="E40" s="48">
        <v>5</v>
      </c>
      <c r="F40" s="49">
        <v>29.9</v>
      </c>
      <c r="G40" s="50" t="s">
        <v>206</v>
      </c>
      <c r="H40" s="51">
        <v>2134</v>
      </c>
      <c r="I40" s="45">
        <v>3353</v>
      </c>
      <c r="J40" s="52">
        <v>5</v>
      </c>
      <c r="K40" s="53">
        <f t="shared" si="0"/>
        <v>35.776510000000002</v>
      </c>
      <c r="L40" s="54" t="s">
        <v>1391</v>
      </c>
    </row>
    <row r="41" spans="1:12" s="55" customFormat="1" ht="19.5" customHeight="1" x14ac:dyDescent="0.3">
      <c r="A41" s="44"/>
      <c r="B41" s="76"/>
      <c r="C41" s="77">
        <v>26</v>
      </c>
      <c r="D41" s="47" t="s">
        <v>1115</v>
      </c>
      <c r="E41" s="48">
        <v>8</v>
      </c>
      <c r="F41" s="49">
        <v>48.8</v>
      </c>
      <c r="G41" s="50" t="s">
        <v>1116</v>
      </c>
      <c r="H41" s="51">
        <v>2134</v>
      </c>
      <c r="I41" s="45">
        <v>3353</v>
      </c>
      <c r="J41" s="52">
        <v>8</v>
      </c>
      <c r="K41" s="53">
        <f t="shared" si="0"/>
        <v>57.242415999999999</v>
      </c>
      <c r="L41" s="54" t="s">
        <v>1391</v>
      </c>
    </row>
    <row r="42" spans="1:12" s="55" customFormat="1" ht="19.5" customHeight="1" x14ac:dyDescent="0.3">
      <c r="A42" s="44"/>
      <c r="B42" s="76"/>
      <c r="C42" s="77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1392</v>
      </c>
      <c r="B43" s="76" t="s">
        <v>204</v>
      </c>
      <c r="C43" s="77">
        <v>28</v>
      </c>
      <c r="D43" s="47" t="s">
        <v>1393</v>
      </c>
      <c r="E43" s="48">
        <v>3</v>
      </c>
      <c r="F43" s="49">
        <v>15.3</v>
      </c>
      <c r="G43" s="50" t="s">
        <v>189</v>
      </c>
      <c r="H43" s="51">
        <v>2134</v>
      </c>
      <c r="I43" s="45">
        <v>3353</v>
      </c>
      <c r="J43" s="52">
        <v>5</v>
      </c>
      <c r="K43" s="53">
        <f t="shared" si="0"/>
        <v>35.776510000000002</v>
      </c>
      <c r="L43" s="54" t="s">
        <v>1395</v>
      </c>
    </row>
    <row r="44" spans="1:12" s="55" customFormat="1" ht="19.5" customHeight="1" x14ac:dyDescent="0.3">
      <c r="A44" s="44"/>
      <c r="B44" s="76"/>
      <c r="C44" s="77">
        <v>28</v>
      </c>
      <c r="D44" s="47" t="s">
        <v>205</v>
      </c>
      <c r="E44" s="48">
        <v>6</v>
      </c>
      <c r="F44" s="49">
        <v>23.98</v>
      </c>
      <c r="G44" s="50" t="s">
        <v>189</v>
      </c>
      <c r="H44" s="51">
        <v>1981</v>
      </c>
      <c r="I44" s="45">
        <v>3353</v>
      </c>
      <c r="J44" s="52">
        <v>6</v>
      </c>
      <c r="K44" s="53">
        <f t="shared" si="0"/>
        <v>39.853757999999999</v>
      </c>
      <c r="L44" s="54" t="s">
        <v>1395</v>
      </c>
    </row>
    <row r="45" spans="1:12" s="55" customFormat="1" ht="19.5" customHeight="1" x14ac:dyDescent="0.3">
      <c r="A45" s="44" t="s">
        <v>1394</v>
      </c>
      <c r="B45" s="76" t="s">
        <v>204</v>
      </c>
      <c r="C45" s="77">
        <v>28</v>
      </c>
      <c r="D45" s="47" t="s">
        <v>1393</v>
      </c>
      <c r="E45" s="48">
        <v>8</v>
      </c>
      <c r="F45" s="49">
        <v>30.45</v>
      </c>
      <c r="G45" s="50" t="s">
        <v>189</v>
      </c>
      <c r="H45" s="51">
        <v>1829</v>
      </c>
      <c r="I45" s="45">
        <v>3353</v>
      </c>
      <c r="J45" s="52">
        <v>7</v>
      </c>
      <c r="K45" s="53">
        <f t="shared" si="0"/>
        <v>42.928458999999997</v>
      </c>
      <c r="L45" s="54" t="s">
        <v>1395</v>
      </c>
    </row>
    <row r="46" spans="1:12" s="55" customFormat="1" ht="19.5" customHeight="1" x14ac:dyDescent="0.3">
      <c r="A46" s="44"/>
      <c r="B46" s="76"/>
      <c r="C46" s="77">
        <v>28</v>
      </c>
      <c r="D46" s="47" t="s">
        <v>205</v>
      </c>
      <c r="E46" s="48">
        <v>9</v>
      </c>
      <c r="F46" s="49">
        <v>37.619999999999997</v>
      </c>
      <c r="G46" s="50"/>
      <c r="H46" s="51"/>
      <c r="I46" s="45"/>
      <c r="J46" s="52"/>
      <c r="K46" s="53">
        <f t="shared" si="0"/>
        <v>0</v>
      </c>
      <c r="L46" s="54" t="s">
        <v>1395</v>
      </c>
    </row>
    <row r="47" spans="1:12" s="55" customFormat="1" ht="19.5" customHeight="1" x14ac:dyDescent="0.3">
      <c r="A47" s="44"/>
      <c r="B47" s="76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57</v>
      </c>
      <c r="B48" s="76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1404</v>
      </c>
      <c r="B49" s="76" t="s">
        <v>1405</v>
      </c>
      <c r="C49" s="77">
        <v>24</v>
      </c>
      <c r="D49" s="47" t="s">
        <v>1406</v>
      </c>
      <c r="E49" s="48">
        <v>3</v>
      </c>
      <c r="F49" s="49">
        <v>6.87</v>
      </c>
      <c r="G49" s="50" t="s">
        <v>1399</v>
      </c>
      <c r="H49" s="51">
        <v>2590</v>
      </c>
      <c r="I49" s="45">
        <v>3048</v>
      </c>
      <c r="J49" s="52">
        <v>1</v>
      </c>
      <c r="K49" s="53">
        <f t="shared" si="0"/>
        <v>7.8943199999999996</v>
      </c>
      <c r="L49" s="54" t="s">
        <v>1407</v>
      </c>
    </row>
    <row r="50" spans="1:12" s="55" customFormat="1" ht="19.5" customHeight="1" x14ac:dyDescent="0.3">
      <c r="A50" s="44"/>
      <c r="B50" s="76"/>
      <c r="C50" s="77"/>
      <c r="D50" s="47"/>
      <c r="E50" s="48"/>
      <c r="F50" s="49"/>
      <c r="G50" s="50" t="s">
        <v>1399</v>
      </c>
      <c r="H50" s="51">
        <v>1981</v>
      </c>
      <c r="I50" s="45">
        <v>3353</v>
      </c>
      <c r="J50" s="52">
        <v>1</v>
      </c>
      <c r="K50" s="53">
        <f t="shared" si="0"/>
        <v>6.6422930000000004</v>
      </c>
      <c r="L50" s="54"/>
    </row>
    <row r="51" spans="1:12" s="55" customFormat="1" ht="19.5" customHeight="1" x14ac:dyDescent="0.3">
      <c r="A51" s="44"/>
      <c r="B51" s="76"/>
      <c r="C51" s="77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1408</v>
      </c>
      <c r="B52" s="76" t="s">
        <v>1405</v>
      </c>
      <c r="C52" s="77">
        <v>24</v>
      </c>
      <c r="D52" s="47" t="s">
        <v>1406</v>
      </c>
      <c r="E52" s="48">
        <v>2</v>
      </c>
      <c r="F52" s="49">
        <v>4.16</v>
      </c>
      <c r="G52" s="50" t="s">
        <v>1413</v>
      </c>
      <c r="H52" s="51">
        <v>1981</v>
      </c>
      <c r="I52" s="45">
        <v>3353</v>
      </c>
      <c r="J52" s="52">
        <v>1</v>
      </c>
      <c r="K52" s="53">
        <f t="shared" si="0"/>
        <v>6.6422930000000004</v>
      </c>
      <c r="L52" s="54" t="s">
        <v>1409</v>
      </c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1410</v>
      </c>
      <c r="B54" s="76" t="s">
        <v>1411</v>
      </c>
      <c r="C54" s="77">
        <v>22</v>
      </c>
      <c r="D54" s="47" t="s">
        <v>1412</v>
      </c>
      <c r="E54" s="48">
        <v>13</v>
      </c>
      <c r="F54" s="49">
        <v>6.76</v>
      </c>
      <c r="G54" s="50" t="s">
        <v>1414</v>
      </c>
      <c r="H54" s="51">
        <v>2438</v>
      </c>
      <c r="I54" s="45">
        <v>3353</v>
      </c>
      <c r="J54" s="52">
        <v>1</v>
      </c>
      <c r="K54" s="53">
        <f t="shared" si="0"/>
        <v>8.174614</v>
      </c>
      <c r="L54" s="54" t="s">
        <v>1415</v>
      </c>
    </row>
    <row r="55" spans="1:12" s="55" customFormat="1" ht="19.5" customHeight="1" x14ac:dyDescent="0.3">
      <c r="A55" s="44"/>
      <c r="B55" s="76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1410</v>
      </c>
      <c r="B56" s="76" t="s">
        <v>1411</v>
      </c>
      <c r="C56" s="77">
        <v>22</v>
      </c>
      <c r="D56" s="47" t="s">
        <v>1412</v>
      </c>
      <c r="E56" s="48">
        <v>7</v>
      </c>
      <c r="F56" s="49">
        <v>3.64</v>
      </c>
      <c r="G56" s="50"/>
      <c r="H56" s="51"/>
      <c r="I56" s="45"/>
      <c r="J56" s="52"/>
      <c r="K56" s="53">
        <f t="shared" si="0"/>
        <v>0</v>
      </c>
      <c r="L56" s="54" t="s">
        <v>1416</v>
      </c>
    </row>
    <row r="57" spans="1:12" s="55" customFormat="1" ht="19.5" customHeight="1" x14ac:dyDescent="0.3">
      <c r="A57" s="44"/>
      <c r="B57" s="76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1417</v>
      </c>
      <c r="B58" s="76" t="s">
        <v>1418</v>
      </c>
      <c r="C58" s="77">
        <v>22</v>
      </c>
      <c r="D58" s="47" t="s">
        <v>1401</v>
      </c>
      <c r="E58" s="48">
        <v>452</v>
      </c>
      <c r="F58" s="49">
        <v>387.76</v>
      </c>
      <c r="G58" s="50" t="s">
        <v>1399</v>
      </c>
      <c r="H58" s="51">
        <v>2590</v>
      </c>
      <c r="I58" s="45">
        <v>3048</v>
      </c>
      <c r="J58" s="52">
        <v>53</v>
      </c>
      <c r="K58" s="53">
        <f t="shared" si="0"/>
        <v>418.39895999999999</v>
      </c>
      <c r="L58" s="54" t="s">
        <v>1419</v>
      </c>
    </row>
    <row r="59" spans="1:12" s="55" customFormat="1" ht="19.5" customHeight="1" x14ac:dyDescent="0.3">
      <c r="A59" s="44"/>
      <c r="B59" s="45"/>
      <c r="C59" s="77"/>
      <c r="D59" s="78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77"/>
      <c r="D60" s="78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9" customFormat="1" ht="20.100000000000001" customHeight="1" x14ac:dyDescent="0.3">
      <c r="A63" s="44"/>
      <c r="B63" s="45"/>
      <c r="C63" s="46"/>
      <c r="D63" s="47"/>
      <c r="E63" s="56"/>
      <c r="F63" s="57"/>
      <c r="G63" s="50"/>
      <c r="H63" s="51"/>
      <c r="I63" s="45"/>
      <c r="J63" s="52"/>
      <c r="K63" s="53">
        <f t="shared" si="0"/>
        <v>0</v>
      </c>
      <c r="L63" s="58">
        <f>SUM(J35:J64)</f>
        <v>122</v>
      </c>
    </row>
    <row r="64" spans="1:12" s="59" customFormat="1" ht="20.100000000000001" customHeight="1" x14ac:dyDescent="0.3">
      <c r="A64" s="44"/>
      <c r="B64" s="45"/>
      <c r="C64" s="46"/>
      <c r="D64" s="47"/>
      <c r="E64" s="60"/>
      <c r="F64" s="61"/>
      <c r="G64" s="62"/>
      <c r="H64" s="51"/>
      <c r="I64" s="45"/>
      <c r="J64" s="63"/>
      <c r="K64" s="53">
        <f t="shared" si="0"/>
        <v>0</v>
      </c>
      <c r="L64" s="64">
        <f>SUM(K35:K64)</f>
        <v>902.89709899999991</v>
      </c>
    </row>
    <row r="65" spans="1:12" s="59" customFormat="1" ht="20.100000000000001" customHeight="1" thickBot="1" x14ac:dyDescent="0.35">
      <c r="A65" s="114"/>
      <c r="B65" s="115"/>
      <c r="C65" s="115"/>
      <c r="D65" s="115"/>
      <c r="E65" s="115"/>
      <c r="F65" s="115"/>
      <c r="G65" s="115"/>
      <c r="H65" s="115"/>
      <c r="I65" s="115"/>
      <c r="J65" s="65">
        <f>SUM(J7:J64)</f>
        <v>318</v>
      </c>
      <c r="K65" s="66">
        <f>SUM(K7:K64)</f>
        <v>2164.5721420000004</v>
      </c>
      <c r="L65" s="67"/>
    </row>
    <row r="66" spans="1:12" s="59" customFormat="1" ht="20.100000000000001" customHeight="1" thickTop="1" thickBot="1" x14ac:dyDescent="0.35">
      <c r="A66" s="116" t="s">
        <v>52</v>
      </c>
      <c r="B66" s="117"/>
      <c r="C66" s="68"/>
      <c r="D66" s="118">
        <f>J65</f>
        <v>318</v>
      </c>
      <c r="E66" s="119"/>
      <c r="F66" s="119"/>
      <c r="G66" s="120"/>
      <c r="H66" s="121"/>
      <c r="I66" s="121"/>
      <c r="J66" s="122"/>
      <c r="K66" s="119"/>
      <c r="L66" s="123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71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72"/>
      <c r="F72" s="5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5"/>
      <c r="G73" s="73"/>
      <c r="H73" s="5"/>
      <c r="I73" s="74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72"/>
      <c r="I77" s="72"/>
      <c r="J77" s="5"/>
      <c r="K77" s="5"/>
      <c r="L77" s="5"/>
    </row>
    <row r="78" spans="1:12" ht="20.100000000000001" customHeight="1" x14ac:dyDescent="0.3">
      <c r="A78" s="113"/>
      <c r="B78" s="113"/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H85" s="72"/>
      <c r="I85" s="72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J86" s="5"/>
      <c r="K86" s="5"/>
      <c r="L86" s="5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5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5" customFormat="1" ht="19.5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2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ht="19.5" customHeight="1" x14ac:dyDescent="0.3"/>
    <row r="94" spans="1:12" ht="19.5" customHeight="1" x14ac:dyDescent="0.3"/>
    <row r="95" spans="1:12" ht="19.5" customHeight="1" x14ac:dyDescent="0.3"/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>
        <v>2</v>
      </c>
      <c r="C156" s="5"/>
      <c r="D156" s="5"/>
      <c r="E156" s="5"/>
      <c r="F156" s="70"/>
      <c r="G156" s="5"/>
      <c r="H156" s="5"/>
      <c r="I156" s="5"/>
      <c r="J156" s="5"/>
      <c r="K156" s="5"/>
      <c r="L15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1:B7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5:I65"/>
    <mergeCell ref="A66:B66"/>
    <mergeCell ref="D66:G66"/>
    <mergeCell ref="H66:J66"/>
    <mergeCell ref="K66:L66"/>
    <mergeCell ref="A81:B81"/>
    <mergeCell ref="A82:B82"/>
    <mergeCell ref="A72:B72"/>
    <mergeCell ref="A73:B73"/>
    <mergeCell ref="A74:B74"/>
    <mergeCell ref="A76:B76"/>
    <mergeCell ref="A77:B77"/>
    <mergeCell ref="A78:B7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L156"/>
  <sheetViews>
    <sheetView view="pageBreakPreview" topLeftCell="A23" zoomScale="85" zoomScaleSheetLayoutView="85" workbookViewId="0">
      <selection activeCell="B40" sqref="B4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46062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4" si="0">(H7/1000*I7/1000)*J7</f>
        <v>0</v>
      </c>
      <c r="L7" s="26">
        <f>SUM(J7:J34)</f>
        <v>138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SUM(K7:K34)</f>
        <v>870.84149300000001</v>
      </c>
    </row>
    <row r="9" spans="1:12" s="27" customFormat="1" ht="19.5" customHeight="1" x14ac:dyDescent="0.3">
      <c r="A9" s="28" t="s">
        <v>1346</v>
      </c>
      <c r="B9" s="16" t="s">
        <v>1347</v>
      </c>
      <c r="C9" s="17">
        <v>8</v>
      </c>
      <c r="D9" s="18" t="s">
        <v>1348</v>
      </c>
      <c r="E9" s="81">
        <v>2</v>
      </c>
      <c r="F9" s="82">
        <v>1.74</v>
      </c>
      <c r="G9" s="34" t="s">
        <v>1351</v>
      </c>
      <c r="H9" s="83">
        <v>2438</v>
      </c>
      <c r="I9" s="29">
        <v>3048</v>
      </c>
      <c r="J9" s="84">
        <v>10</v>
      </c>
      <c r="K9" s="85">
        <f t="shared" si="0"/>
        <v>74.310240000000007</v>
      </c>
      <c r="L9" s="86" t="s">
        <v>1352</v>
      </c>
    </row>
    <row r="10" spans="1:12" s="27" customFormat="1" ht="19.5" customHeight="1" x14ac:dyDescent="0.3">
      <c r="A10" s="28" t="s">
        <v>1349</v>
      </c>
      <c r="B10" s="16" t="s">
        <v>1350</v>
      </c>
      <c r="C10" s="17">
        <v>8</v>
      </c>
      <c r="D10" s="18" t="s">
        <v>1348</v>
      </c>
      <c r="E10" s="81">
        <v>54</v>
      </c>
      <c r="F10" s="82">
        <v>66.98</v>
      </c>
      <c r="G10" s="34"/>
      <c r="H10" s="35"/>
      <c r="I10" s="36"/>
      <c r="J10" s="37"/>
      <c r="K10" s="38">
        <f t="shared" si="0"/>
        <v>0</v>
      </c>
      <c r="L10" s="86" t="s">
        <v>1352</v>
      </c>
    </row>
    <row r="11" spans="1:12" s="27" customFormat="1" ht="19.5" customHeight="1" x14ac:dyDescent="0.3">
      <c r="A11" s="28"/>
      <c r="B11" s="16"/>
      <c r="C11" s="17"/>
      <c r="D11" s="18"/>
      <c r="E11" s="81"/>
      <c r="F11" s="82"/>
      <c r="G11" s="34"/>
      <c r="H11" s="35"/>
      <c r="I11" s="36"/>
      <c r="J11" s="37"/>
      <c r="K11" s="38">
        <f t="shared" si="0"/>
        <v>0</v>
      </c>
      <c r="L11" s="86"/>
    </row>
    <row r="12" spans="1:12" s="27" customFormat="1" ht="19.5" customHeight="1" x14ac:dyDescent="0.3">
      <c r="A12" s="28" t="s">
        <v>1353</v>
      </c>
      <c r="B12" s="16" t="s">
        <v>1354</v>
      </c>
      <c r="C12" s="17">
        <v>22</v>
      </c>
      <c r="D12" s="18" t="s">
        <v>1355</v>
      </c>
      <c r="E12" s="41">
        <v>30</v>
      </c>
      <c r="F12" s="42">
        <v>76.599999999999994</v>
      </c>
      <c r="G12" s="34" t="s">
        <v>1356</v>
      </c>
      <c r="H12" s="35">
        <v>1981</v>
      </c>
      <c r="I12" s="36">
        <v>3658</v>
      </c>
      <c r="J12" s="37">
        <v>9</v>
      </c>
      <c r="K12" s="38">
        <f t="shared" si="0"/>
        <v>65.218482000000009</v>
      </c>
      <c r="L12" s="39" t="s">
        <v>1357</v>
      </c>
    </row>
    <row r="13" spans="1:12" s="27" customFormat="1" ht="19.5" customHeight="1" x14ac:dyDescent="0.3">
      <c r="A13" s="28"/>
      <c r="B13" s="16"/>
      <c r="C13" s="17"/>
      <c r="D13" s="18"/>
      <c r="E13" s="81"/>
      <c r="F13" s="82"/>
      <c r="G13" s="34" t="s">
        <v>1356</v>
      </c>
      <c r="H13" s="35">
        <v>1981</v>
      </c>
      <c r="I13" s="36">
        <v>3353</v>
      </c>
      <c r="J13" s="37">
        <v>3</v>
      </c>
      <c r="K13" s="38">
        <f t="shared" si="0"/>
        <v>19.926879</v>
      </c>
      <c r="L13" s="86"/>
    </row>
    <row r="14" spans="1:12" s="27" customFormat="1" ht="19.5" customHeight="1" x14ac:dyDescent="0.3">
      <c r="A14" s="28"/>
      <c r="B14" s="16"/>
      <c r="C14" s="17"/>
      <c r="D14" s="18"/>
      <c r="E14" s="81"/>
      <c r="F14" s="8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1358</v>
      </c>
      <c r="B15" s="16" t="s">
        <v>1359</v>
      </c>
      <c r="C15" s="17">
        <v>22</v>
      </c>
      <c r="D15" s="18" t="s">
        <v>1360</v>
      </c>
      <c r="E15" s="81">
        <v>204</v>
      </c>
      <c r="F15" s="82">
        <v>167.2</v>
      </c>
      <c r="G15" s="34" t="s">
        <v>1362</v>
      </c>
      <c r="H15" s="35">
        <v>1829</v>
      </c>
      <c r="I15" s="36">
        <v>3353</v>
      </c>
      <c r="J15" s="37">
        <v>29</v>
      </c>
      <c r="K15" s="38">
        <f t="shared" si="0"/>
        <v>177.846473</v>
      </c>
      <c r="L15" s="39" t="s">
        <v>1364</v>
      </c>
    </row>
    <row r="16" spans="1:12" s="27" customFormat="1" ht="19.5" customHeight="1" x14ac:dyDescent="0.3">
      <c r="A16" s="28"/>
      <c r="B16" s="16"/>
      <c r="C16" s="17">
        <v>22</v>
      </c>
      <c r="D16" s="18" t="s">
        <v>1361</v>
      </c>
      <c r="E16" s="81">
        <v>204</v>
      </c>
      <c r="F16" s="82">
        <v>167.2</v>
      </c>
      <c r="G16" s="34" t="s">
        <v>1356</v>
      </c>
      <c r="H16" s="35">
        <v>1829</v>
      </c>
      <c r="I16" s="36">
        <v>3353</v>
      </c>
      <c r="J16" s="37">
        <v>29</v>
      </c>
      <c r="K16" s="38">
        <f t="shared" si="0"/>
        <v>177.846473</v>
      </c>
      <c r="L16" s="39" t="s">
        <v>1364</v>
      </c>
    </row>
    <row r="17" spans="1:12" s="27" customFormat="1" ht="19.5" customHeight="1" x14ac:dyDescent="0.3">
      <c r="A17" s="28"/>
      <c r="B17" s="16"/>
      <c r="C17" s="17"/>
      <c r="D17" s="18"/>
      <c r="E17" s="81"/>
      <c r="F17" s="82"/>
      <c r="G17" s="34" t="s">
        <v>1363</v>
      </c>
      <c r="H17" s="35">
        <v>1829</v>
      </c>
      <c r="I17" s="36">
        <v>3353</v>
      </c>
      <c r="J17" s="37">
        <v>58</v>
      </c>
      <c r="K17" s="38">
        <f t="shared" si="0"/>
        <v>355.69294600000001</v>
      </c>
      <c r="L17" s="39" t="s">
        <v>1364</v>
      </c>
    </row>
    <row r="18" spans="1:12" s="27" customFormat="1" ht="19.5" customHeight="1" x14ac:dyDescent="0.3">
      <c r="A18" s="28"/>
      <c r="B18" s="16"/>
      <c r="C18" s="17"/>
      <c r="D18" s="18"/>
      <c r="E18" s="81"/>
      <c r="F18" s="8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38">
        <f t="shared" si="0"/>
        <v>0</v>
      </c>
      <c r="L34" s="39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1365</v>
      </c>
      <c r="B36" s="76" t="s">
        <v>1366</v>
      </c>
      <c r="C36" s="77">
        <v>43</v>
      </c>
      <c r="D36" s="47" t="s">
        <v>1367</v>
      </c>
      <c r="E36" s="48">
        <v>54</v>
      </c>
      <c r="F36" s="49">
        <v>78.56</v>
      </c>
      <c r="G36" s="50" t="s">
        <v>1356</v>
      </c>
      <c r="H36" s="51">
        <v>2590</v>
      </c>
      <c r="I36" s="45">
        <v>3048</v>
      </c>
      <c r="J36" s="52">
        <v>11</v>
      </c>
      <c r="K36" s="53">
        <f t="shared" si="0"/>
        <v>86.837519999999998</v>
      </c>
      <c r="L36" s="54" t="s">
        <v>1357</v>
      </c>
    </row>
    <row r="37" spans="1:12" s="55" customFormat="1" ht="19.5" customHeight="1" x14ac:dyDescent="0.3">
      <c r="A37" s="44"/>
      <c r="B37" s="76"/>
      <c r="C37" s="77">
        <v>24</v>
      </c>
      <c r="D37" s="47" t="s">
        <v>1368</v>
      </c>
      <c r="E37" s="48">
        <v>4</v>
      </c>
      <c r="F37" s="49">
        <v>6.8</v>
      </c>
      <c r="G37" s="50" t="s">
        <v>1356</v>
      </c>
      <c r="H37" s="51">
        <v>2590</v>
      </c>
      <c r="I37" s="45">
        <v>3048</v>
      </c>
      <c r="J37" s="52">
        <v>1</v>
      </c>
      <c r="K37" s="53">
        <f t="shared" si="0"/>
        <v>7.8943199999999996</v>
      </c>
      <c r="L37" s="54"/>
    </row>
    <row r="38" spans="1:12" s="55" customFormat="1" ht="19.5" customHeight="1" x14ac:dyDescent="0.3">
      <c r="A38" s="44"/>
      <c r="B38" s="76"/>
      <c r="C38" s="77"/>
      <c r="D38" s="47"/>
      <c r="E38" s="48"/>
      <c r="F38" s="49"/>
      <c r="G38" s="50" t="s">
        <v>1369</v>
      </c>
      <c r="H38" s="51">
        <v>2134</v>
      </c>
      <c r="I38" s="45">
        <v>3048</v>
      </c>
      <c r="J38" s="52">
        <v>2</v>
      </c>
      <c r="K38" s="53">
        <f t="shared" si="0"/>
        <v>13.008863999999999</v>
      </c>
      <c r="L38" s="54"/>
    </row>
    <row r="39" spans="1:12" s="55" customFormat="1" ht="19.5" customHeight="1" x14ac:dyDescent="0.3">
      <c r="A39" s="44"/>
      <c r="B39" s="76"/>
      <c r="C39" s="77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1370</v>
      </c>
      <c r="B40" s="76" t="s">
        <v>1371</v>
      </c>
      <c r="C40" s="77">
        <v>24</v>
      </c>
      <c r="D40" s="47" t="s">
        <v>1372</v>
      </c>
      <c r="E40" s="48">
        <v>100</v>
      </c>
      <c r="F40" s="49">
        <v>75.8</v>
      </c>
      <c r="G40" s="50" t="s">
        <v>1362</v>
      </c>
      <c r="H40" s="51">
        <v>1981</v>
      </c>
      <c r="I40" s="45">
        <v>3353</v>
      </c>
      <c r="J40" s="52">
        <v>13</v>
      </c>
      <c r="K40" s="53">
        <f t="shared" si="0"/>
        <v>86.349809000000008</v>
      </c>
      <c r="L40" s="54"/>
    </row>
    <row r="41" spans="1:12" s="55" customFormat="1" ht="19.5" customHeight="1" x14ac:dyDescent="0.3">
      <c r="A41" s="44"/>
      <c r="B41" s="76"/>
      <c r="C41" s="77">
        <v>24</v>
      </c>
      <c r="D41" s="47" t="s">
        <v>1373</v>
      </c>
      <c r="E41" s="48">
        <v>110</v>
      </c>
      <c r="F41" s="49">
        <v>107.2</v>
      </c>
      <c r="G41" s="50" t="s">
        <v>1356</v>
      </c>
      <c r="H41" s="51">
        <v>2590</v>
      </c>
      <c r="I41" s="45">
        <v>3048</v>
      </c>
      <c r="J41" s="52">
        <v>14</v>
      </c>
      <c r="K41" s="53">
        <f t="shared" si="0"/>
        <v>110.52047999999999</v>
      </c>
      <c r="L41" s="54"/>
    </row>
    <row r="42" spans="1:12" s="55" customFormat="1" ht="19.5" customHeight="1" x14ac:dyDescent="0.3">
      <c r="A42" s="44"/>
      <c r="B42" s="76"/>
      <c r="C42" s="77">
        <v>22</v>
      </c>
      <c r="D42" s="47" t="s">
        <v>1372</v>
      </c>
      <c r="E42" s="48">
        <v>10</v>
      </c>
      <c r="F42" s="49">
        <v>11.7</v>
      </c>
      <c r="G42" s="50" t="s">
        <v>1374</v>
      </c>
      <c r="H42" s="51">
        <v>1981</v>
      </c>
      <c r="I42" s="45">
        <v>3353</v>
      </c>
      <c r="J42" s="52">
        <v>31</v>
      </c>
      <c r="K42" s="53">
        <f t="shared" si="0"/>
        <v>205.91108300000002</v>
      </c>
      <c r="L42" s="54"/>
    </row>
    <row r="43" spans="1:12" s="55" customFormat="1" ht="19.5" customHeight="1" x14ac:dyDescent="0.3">
      <c r="A43" s="44"/>
      <c r="B43" s="76"/>
      <c r="C43" s="77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1375</v>
      </c>
      <c r="B44" s="76" t="s">
        <v>1376</v>
      </c>
      <c r="C44" s="77">
        <v>24</v>
      </c>
      <c r="D44" s="47" t="s">
        <v>1377</v>
      </c>
      <c r="E44" s="48">
        <v>1</v>
      </c>
      <c r="F44" s="49">
        <v>0.28000000000000003</v>
      </c>
      <c r="G44" s="50" t="s">
        <v>1381</v>
      </c>
      <c r="H44" s="51">
        <v>1981</v>
      </c>
      <c r="I44" s="45">
        <v>3353</v>
      </c>
      <c r="J44" s="52">
        <v>1</v>
      </c>
      <c r="K44" s="53">
        <f t="shared" si="0"/>
        <v>6.6422930000000004</v>
      </c>
      <c r="L44" s="54" t="s">
        <v>1382</v>
      </c>
    </row>
    <row r="45" spans="1:12" s="55" customFormat="1" ht="19.5" customHeight="1" x14ac:dyDescent="0.3">
      <c r="A45" s="44" t="s">
        <v>1378</v>
      </c>
      <c r="B45" s="76" t="s">
        <v>1376</v>
      </c>
      <c r="C45" s="77">
        <v>24</v>
      </c>
      <c r="D45" s="47" t="s">
        <v>1377</v>
      </c>
      <c r="E45" s="48">
        <v>2</v>
      </c>
      <c r="F45" s="49">
        <v>1.83</v>
      </c>
      <c r="G45" s="50"/>
      <c r="H45" s="51"/>
      <c r="I45" s="45"/>
      <c r="J45" s="52"/>
      <c r="K45" s="53">
        <f t="shared" si="0"/>
        <v>0</v>
      </c>
      <c r="L45" s="54" t="s">
        <v>1382</v>
      </c>
    </row>
    <row r="46" spans="1:12" s="55" customFormat="1" ht="19.5" customHeight="1" x14ac:dyDescent="0.3">
      <c r="A46" s="44" t="s">
        <v>1379</v>
      </c>
      <c r="B46" s="76" t="s">
        <v>1376</v>
      </c>
      <c r="C46" s="77">
        <v>24</v>
      </c>
      <c r="D46" s="47" t="s">
        <v>1377</v>
      </c>
      <c r="E46" s="48">
        <v>1</v>
      </c>
      <c r="F46" s="49">
        <v>1.1000000000000001</v>
      </c>
      <c r="G46" s="50"/>
      <c r="H46" s="51"/>
      <c r="I46" s="45"/>
      <c r="J46" s="52"/>
      <c r="K46" s="53">
        <f t="shared" si="0"/>
        <v>0</v>
      </c>
      <c r="L46" s="54" t="s">
        <v>1382</v>
      </c>
    </row>
    <row r="47" spans="1:12" s="55" customFormat="1" ht="19.5" customHeight="1" x14ac:dyDescent="0.3">
      <c r="A47" s="44" t="s">
        <v>1380</v>
      </c>
      <c r="B47" s="76" t="s">
        <v>1376</v>
      </c>
      <c r="C47" s="77">
        <v>24</v>
      </c>
      <c r="D47" s="47" t="s">
        <v>1377</v>
      </c>
      <c r="E47" s="48">
        <v>1</v>
      </c>
      <c r="F47" s="49">
        <v>0.42</v>
      </c>
      <c r="G47" s="50"/>
      <c r="H47" s="51"/>
      <c r="I47" s="45"/>
      <c r="J47" s="52"/>
      <c r="K47" s="53">
        <f t="shared" si="0"/>
        <v>0</v>
      </c>
      <c r="L47" s="54" t="s">
        <v>1382</v>
      </c>
    </row>
    <row r="48" spans="1:12" s="55" customFormat="1" ht="19.5" customHeight="1" x14ac:dyDescent="0.3">
      <c r="A48" s="44"/>
      <c r="B48" s="76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1383</v>
      </c>
      <c r="B49" s="76" t="s">
        <v>1354</v>
      </c>
      <c r="C49" s="77">
        <v>22</v>
      </c>
      <c r="D49" s="47" t="s">
        <v>1384</v>
      </c>
      <c r="E49" s="48">
        <v>40</v>
      </c>
      <c r="F49" s="49">
        <v>50.48</v>
      </c>
      <c r="G49" s="50" t="s">
        <v>1356</v>
      </c>
      <c r="H49" s="51">
        <v>2590</v>
      </c>
      <c r="I49" s="45">
        <v>3048</v>
      </c>
      <c r="J49" s="52">
        <v>9</v>
      </c>
      <c r="K49" s="53">
        <f t="shared" si="0"/>
        <v>71.048879999999997</v>
      </c>
      <c r="L49" s="54"/>
    </row>
    <row r="50" spans="1:12" s="55" customFormat="1" ht="19.5" customHeight="1" x14ac:dyDescent="0.3">
      <c r="A50" s="44"/>
      <c r="B50" s="76"/>
      <c r="C50" s="77">
        <v>22</v>
      </c>
      <c r="D50" s="47" t="s">
        <v>1355</v>
      </c>
      <c r="E50" s="48">
        <v>12</v>
      </c>
      <c r="F50" s="49">
        <v>13.2</v>
      </c>
      <c r="G50" s="50" t="s">
        <v>1374</v>
      </c>
      <c r="H50" s="51">
        <v>1981</v>
      </c>
      <c r="I50" s="45">
        <v>3353</v>
      </c>
      <c r="J50" s="52">
        <v>9</v>
      </c>
      <c r="K50" s="53">
        <f t="shared" si="0"/>
        <v>59.780637000000006</v>
      </c>
      <c r="L50" s="54" t="s">
        <v>1357</v>
      </c>
    </row>
    <row r="51" spans="1:12" s="55" customFormat="1" ht="19.5" customHeight="1" x14ac:dyDescent="0.3">
      <c r="A51" s="44"/>
      <c r="B51" s="76"/>
      <c r="C51" s="77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76"/>
      <c r="C52" s="77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76"/>
      <c r="C54" s="77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76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76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76"/>
      <c r="C58" s="77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77"/>
      <c r="D59" s="78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77"/>
      <c r="D60" s="78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9" customFormat="1" ht="20.100000000000001" customHeight="1" x14ac:dyDescent="0.3">
      <c r="A63" s="44"/>
      <c r="B63" s="45"/>
      <c r="C63" s="46"/>
      <c r="D63" s="47"/>
      <c r="E63" s="56"/>
      <c r="F63" s="57"/>
      <c r="G63" s="50"/>
      <c r="H63" s="51"/>
      <c r="I63" s="45"/>
      <c r="J63" s="52"/>
      <c r="K63" s="53">
        <f t="shared" si="0"/>
        <v>0</v>
      </c>
      <c r="L63" s="58">
        <f>SUM(J35:J64)</f>
        <v>91</v>
      </c>
    </row>
    <row r="64" spans="1:12" s="59" customFormat="1" ht="20.100000000000001" customHeight="1" x14ac:dyDescent="0.3">
      <c r="A64" s="44"/>
      <c r="B64" s="45"/>
      <c r="C64" s="46"/>
      <c r="D64" s="47"/>
      <c r="E64" s="60"/>
      <c r="F64" s="61"/>
      <c r="G64" s="62"/>
      <c r="H64" s="51"/>
      <c r="I64" s="45"/>
      <c r="J64" s="63"/>
      <c r="K64" s="53">
        <f t="shared" si="0"/>
        <v>0</v>
      </c>
      <c r="L64" s="64">
        <f>SUM(K35:K64)</f>
        <v>647.99388600000009</v>
      </c>
    </row>
    <row r="65" spans="1:12" s="59" customFormat="1" ht="20.100000000000001" customHeight="1" thickBot="1" x14ac:dyDescent="0.35">
      <c r="A65" s="114"/>
      <c r="B65" s="115"/>
      <c r="C65" s="115"/>
      <c r="D65" s="115"/>
      <c r="E65" s="115"/>
      <c r="F65" s="115"/>
      <c r="G65" s="115"/>
      <c r="H65" s="115"/>
      <c r="I65" s="115"/>
      <c r="J65" s="65">
        <f>SUM(J7:J64)</f>
        <v>229</v>
      </c>
      <c r="K65" s="66">
        <f>SUM(K7:K64)</f>
        <v>1518.8353790000001</v>
      </c>
      <c r="L65" s="67"/>
    </row>
    <row r="66" spans="1:12" s="59" customFormat="1" ht="20.100000000000001" customHeight="1" thickTop="1" thickBot="1" x14ac:dyDescent="0.35">
      <c r="A66" s="116" t="s">
        <v>52</v>
      </c>
      <c r="B66" s="117"/>
      <c r="C66" s="68"/>
      <c r="D66" s="118">
        <f>J65</f>
        <v>229</v>
      </c>
      <c r="E66" s="119"/>
      <c r="F66" s="119"/>
      <c r="G66" s="120"/>
      <c r="H66" s="121"/>
      <c r="I66" s="121"/>
      <c r="J66" s="122"/>
      <c r="K66" s="119"/>
      <c r="L66" s="123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71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72"/>
      <c r="F72" s="5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5"/>
      <c r="G73" s="73"/>
      <c r="H73" s="5"/>
      <c r="I73" s="74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72"/>
      <c r="I77" s="72"/>
      <c r="J77" s="5"/>
      <c r="K77" s="5"/>
      <c r="L77" s="5"/>
    </row>
    <row r="78" spans="1:12" ht="20.100000000000001" customHeight="1" x14ac:dyDescent="0.3">
      <c r="A78" s="113"/>
      <c r="B78" s="113"/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H85" s="72"/>
      <c r="I85" s="72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J86" s="5"/>
      <c r="K86" s="5"/>
      <c r="L86" s="5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5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5" customFormat="1" ht="19.5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2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ht="19.5" customHeight="1" x14ac:dyDescent="0.3"/>
    <row r="94" spans="1:12" ht="19.5" customHeight="1" x14ac:dyDescent="0.3"/>
    <row r="95" spans="1:12" ht="19.5" customHeight="1" x14ac:dyDescent="0.3"/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>
        <v>2</v>
      </c>
      <c r="C156" s="5"/>
      <c r="D156" s="5"/>
      <c r="E156" s="5"/>
      <c r="F156" s="70"/>
      <c r="G156" s="5"/>
      <c r="H156" s="5"/>
      <c r="I156" s="5"/>
      <c r="J156" s="5"/>
      <c r="K156" s="5"/>
      <c r="L15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1:B7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5:I65"/>
    <mergeCell ref="A66:B66"/>
    <mergeCell ref="D66:G66"/>
    <mergeCell ref="H66:J66"/>
    <mergeCell ref="K66:L66"/>
    <mergeCell ref="A81:B81"/>
    <mergeCell ref="A82:B82"/>
    <mergeCell ref="A72:B72"/>
    <mergeCell ref="A73:B73"/>
    <mergeCell ref="A74:B74"/>
    <mergeCell ref="A76:B76"/>
    <mergeCell ref="A77:B77"/>
    <mergeCell ref="A78:B7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L156"/>
  <sheetViews>
    <sheetView view="pageBreakPreview" topLeftCell="A19" zoomScale="85" zoomScaleSheetLayoutView="85" workbookViewId="0">
      <selection activeCell="B50" sqref="B5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46060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4" si="0">(H7/1000*I7/1000)*J7</f>
        <v>0</v>
      </c>
      <c r="L7" s="26">
        <f>SUM(J7:J34)</f>
        <v>131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SUM(K7:K34)</f>
        <v>900.47603100000003</v>
      </c>
    </row>
    <row r="9" spans="1:12" s="27" customFormat="1" ht="19.5" customHeight="1" x14ac:dyDescent="0.3">
      <c r="A9" s="28" t="s">
        <v>1313</v>
      </c>
      <c r="B9" s="16" t="s">
        <v>1292</v>
      </c>
      <c r="C9" s="17">
        <v>25.76</v>
      </c>
      <c r="D9" s="18" t="s">
        <v>1293</v>
      </c>
      <c r="E9" s="81">
        <v>30</v>
      </c>
      <c r="F9" s="82">
        <v>12</v>
      </c>
      <c r="G9" s="34" t="s">
        <v>1316</v>
      </c>
      <c r="H9" s="83">
        <v>1981</v>
      </c>
      <c r="I9" s="29">
        <v>3353</v>
      </c>
      <c r="J9" s="84">
        <v>15</v>
      </c>
      <c r="K9" s="85">
        <f t="shared" si="0"/>
        <v>99.634395000000012</v>
      </c>
      <c r="L9" s="86" t="s">
        <v>1296</v>
      </c>
    </row>
    <row r="10" spans="1:12" s="27" customFormat="1" ht="19.5" customHeight="1" x14ac:dyDescent="0.3">
      <c r="A10" s="28"/>
      <c r="B10" s="16"/>
      <c r="C10" s="17">
        <v>22</v>
      </c>
      <c r="D10" s="18" t="s">
        <v>1314</v>
      </c>
      <c r="E10" s="81">
        <v>30</v>
      </c>
      <c r="F10" s="82">
        <v>76.599999999999994</v>
      </c>
      <c r="G10" s="34"/>
      <c r="H10" s="35"/>
      <c r="I10" s="36"/>
      <c r="J10" s="37"/>
      <c r="K10" s="38">
        <f t="shared" si="0"/>
        <v>0</v>
      </c>
      <c r="L10" s="86"/>
    </row>
    <row r="11" spans="1:12" s="27" customFormat="1" ht="19.5" customHeight="1" x14ac:dyDescent="0.3">
      <c r="A11" s="28"/>
      <c r="B11" s="16"/>
      <c r="C11" s="17">
        <v>46.76</v>
      </c>
      <c r="D11" s="18" t="s">
        <v>1315</v>
      </c>
      <c r="E11" s="81">
        <v>5</v>
      </c>
      <c r="F11" s="82">
        <v>2.25</v>
      </c>
      <c r="G11" s="34"/>
      <c r="H11" s="35"/>
      <c r="I11" s="36"/>
      <c r="J11" s="37"/>
      <c r="K11" s="38">
        <f t="shared" si="0"/>
        <v>0</v>
      </c>
      <c r="L11" s="86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1317</v>
      </c>
      <c r="B13" s="16" t="s">
        <v>1306</v>
      </c>
      <c r="C13" s="17">
        <v>24</v>
      </c>
      <c r="D13" s="18" t="s">
        <v>1311</v>
      </c>
      <c r="E13" s="81">
        <v>94</v>
      </c>
      <c r="F13" s="82">
        <v>84.7</v>
      </c>
      <c r="G13" s="34" t="s">
        <v>1300</v>
      </c>
      <c r="H13" s="35">
        <v>1981</v>
      </c>
      <c r="I13" s="36">
        <v>3353</v>
      </c>
      <c r="J13" s="37">
        <v>16</v>
      </c>
      <c r="K13" s="38">
        <f t="shared" si="0"/>
        <v>106.27668800000001</v>
      </c>
      <c r="L13" s="86"/>
    </row>
    <row r="14" spans="1:12" s="27" customFormat="1" ht="19.5" customHeight="1" x14ac:dyDescent="0.3">
      <c r="A14" s="28"/>
      <c r="B14" s="16"/>
      <c r="C14" s="17"/>
      <c r="D14" s="18"/>
      <c r="E14" s="81"/>
      <c r="F14" s="82"/>
      <c r="G14" s="34" t="s">
        <v>153</v>
      </c>
      <c r="H14" s="35">
        <v>1981</v>
      </c>
      <c r="I14" s="36">
        <v>3353</v>
      </c>
      <c r="J14" s="37">
        <v>16</v>
      </c>
      <c r="K14" s="38">
        <f t="shared" si="0"/>
        <v>106.27668800000001</v>
      </c>
      <c r="L14" s="39"/>
    </row>
    <row r="15" spans="1:12" s="27" customFormat="1" ht="19.5" customHeight="1" x14ac:dyDescent="0.3">
      <c r="A15" s="28"/>
      <c r="B15" s="16"/>
      <c r="C15" s="17">
        <v>24</v>
      </c>
      <c r="D15" s="18" t="s">
        <v>1318</v>
      </c>
      <c r="E15" s="81">
        <v>106</v>
      </c>
      <c r="F15" s="82">
        <v>122.38</v>
      </c>
      <c r="G15" s="34" t="s">
        <v>1277</v>
      </c>
      <c r="H15" s="35">
        <v>2590</v>
      </c>
      <c r="I15" s="36">
        <v>3048</v>
      </c>
      <c r="J15" s="37">
        <v>10</v>
      </c>
      <c r="K15" s="38">
        <f t="shared" si="0"/>
        <v>78.94319999999999</v>
      </c>
      <c r="L15" s="39"/>
    </row>
    <row r="16" spans="1:12" s="27" customFormat="1" ht="19.5" customHeight="1" x14ac:dyDescent="0.3">
      <c r="A16" s="28"/>
      <c r="B16" s="16"/>
      <c r="C16" s="17">
        <v>22</v>
      </c>
      <c r="D16" s="18" t="s">
        <v>1319</v>
      </c>
      <c r="E16" s="81">
        <v>14</v>
      </c>
      <c r="F16" s="82">
        <v>16.38</v>
      </c>
      <c r="G16" s="34" t="s">
        <v>153</v>
      </c>
      <c r="H16" s="35">
        <v>1981</v>
      </c>
      <c r="I16" s="36">
        <v>3353</v>
      </c>
      <c r="J16" s="37">
        <v>19</v>
      </c>
      <c r="K16" s="38">
        <f t="shared" si="0"/>
        <v>126.20356700000001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81"/>
      <c r="F17" s="8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1320</v>
      </c>
      <c r="B18" s="16" t="s">
        <v>1306</v>
      </c>
      <c r="C18" s="17">
        <v>24</v>
      </c>
      <c r="D18" s="18" t="s">
        <v>1311</v>
      </c>
      <c r="E18" s="81">
        <v>90</v>
      </c>
      <c r="F18" s="82">
        <v>75.599999999999994</v>
      </c>
      <c r="G18" s="34" t="s">
        <v>1300</v>
      </c>
      <c r="H18" s="35">
        <v>1981</v>
      </c>
      <c r="I18" s="36">
        <v>3353</v>
      </c>
      <c r="J18" s="37">
        <v>14</v>
      </c>
      <c r="K18" s="38">
        <f t="shared" si="0"/>
        <v>92.992102000000003</v>
      </c>
      <c r="L18" s="39"/>
    </row>
    <row r="19" spans="1:12" s="27" customFormat="1" ht="19.5" customHeight="1" x14ac:dyDescent="0.3">
      <c r="A19" s="28"/>
      <c r="B19" s="16"/>
      <c r="C19" s="17">
        <v>24</v>
      </c>
      <c r="D19" s="18" t="s">
        <v>1318</v>
      </c>
      <c r="E19" s="41">
        <v>100</v>
      </c>
      <c r="F19" s="42">
        <v>107</v>
      </c>
      <c r="G19" s="34" t="s">
        <v>1277</v>
      </c>
      <c r="H19" s="35">
        <v>2590</v>
      </c>
      <c r="I19" s="36">
        <v>3048</v>
      </c>
      <c r="J19" s="37">
        <v>15</v>
      </c>
      <c r="K19" s="38">
        <f t="shared" si="0"/>
        <v>118.4148</v>
      </c>
      <c r="L19" s="39"/>
    </row>
    <row r="20" spans="1:12" s="27" customFormat="1" ht="19.5" customHeight="1" x14ac:dyDescent="0.3">
      <c r="A20" s="28"/>
      <c r="B20" s="16"/>
      <c r="C20" s="17">
        <v>22</v>
      </c>
      <c r="D20" s="18" t="s">
        <v>1319</v>
      </c>
      <c r="E20" s="81">
        <v>10</v>
      </c>
      <c r="F20" s="82">
        <v>11.7</v>
      </c>
      <c r="G20" s="34" t="s">
        <v>153</v>
      </c>
      <c r="H20" s="35">
        <v>1981</v>
      </c>
      <c r="I20" s="36">
        <v>3353</v>
      </c>
      <c r="J20" s="37">
        <v>17</v>
      </c>
      <c r="K20" s="38">
        <f t="shared" si="0"/>
        <v>112.918981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 t="s">
        <v>1321</v>
      </c>
      <c r="B22" s="16" t="s">
        <v>1322</v>
      </c>
      <c r="C22" s="17">
        <v>24</v>
      </c>
      <c r="D22" s="18" t="s">
        <v>1323</v>
      </c>
      <c r="E22" s="41">
        <v>4</v>
      </c>
      <c r="F22" s="42">
        <v>6.04</v>
      </c>
      <c r="G22" s="34" t="s">
        <v>1316</v>
      </c>
      <c r="H22" s="35">
        <v>1981</v>
      </c>
      <c r="I22" s="36">
        <v>3353</v>
      </c>
      <c r="J22" s="37">
        <v>1</v>
      </c>
      <c r="K22" s="38">
        <f t="shared" si="0"/>
        <v>6.6422930000000004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 t="s">
        <v>1277</v>
      </c>
      <c r="H23" s="35">
        <v>1981</v>
      </c>
      <c r="I23" s="36">
        <v>3353</v>
      </c>
      <c r="J23" s="37">
        <v>1</v>
      </c>
      <c r="K23" s="38">
        <f t="shared" si="0"/>
        <v>6.6422930000000004</v>
      </c>
      <c r="L23" s="39"/>
    </row>
    <row r="24" spans="1:12" s="27" customFormat="1" ht="19.5" customHeight="1" x14ac:dyDescent="0.3">
      <c r="A24" s="28"/>
      <c r="B24" s="16"/>
      <c r="C24" s="17">
        <v>10</v>
      </c>
      <c r="D24" s="18" t="s">
        <v>1342</v>
      </c>
      <c r="E24" s="41">
        <v>23</v>
      </c>
      <c r="F24" s="42">
        <v>34.94</v>
      </c>
      <c r="G24" s="34" t="s">
        <v>1343</v>
      </c>
      <c r="H24" s="35">
        <v>2134</v>
      </c>
      <c r="I24" s="36">
        <v>3048</v>
      </c>
      <c r="J24" s="37">
        <v>7</v>
      </c>
      <c r="K24" s="38">
        <f t="shared" si="0"/>
        <v>45.531023999999995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38">
        <f t="shared" si="0"/>
        <v>0</v>
      </c>
      <c r="L34" s="39"/>
    </row>
    <row r="35" spans="1:12" s="55" customFormat="1" ht="19.5" customHeight="1" x14ac:dyDescent="0.3">
      <c r="A35" s="44" t="s">
        <v>1324</v>
      </c>
      <c r="B35" s="45" t="s">
        <v>1325</v>
      </c>
      <c r="C35" s="46">
        <v>24</v>
      </c>
      <c r="D35" s="47" t="s">
        <v>1311</v>
      </c>
      <c r="E35" s="48">
        <v>60</v>
      </c>
      <c r="F35" s="49">
        <f>5.6+23.4+23.4</f>
        <v>52.4</v>
      </c>
      <c r="G35" s="50" t="s">
        <v>1295</v>
      </c>
      <c r="H35" s="51">
        <v>1981</v>
      </c>
      <c r="I35" s="45">
        <v>3353</v>
      </c>
      <c r="J35" s="52">
        <v>10</v>
      </c>
      <c r="K35" s="53">
        <f t="shared" si="0"/>
        <v>66.422930000000008</v>
      </c>
      <c r="L35" s="54" t="s">
        <v>1326</v>
      </c>
    </row>
    <row r="36" spans="1:12" s="55" customFormat="1" ht="19.5" customHeight="1" x14ac:dyDescent="0.3">
      <c r="A36" s="44"/>
      <c r="B36" s="76"/>
      <c r="C36" s="77">
        <v>22</v>
      </c>
      <c r="D36" s="47" t="s">
        <v>1311</v>
      </c>
      <c r="E36" s="48">
        <v>10</v>
      </c>
      <c r="F36" s="49">
        <v>11.7</v>
      </c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/>
      <c r="B37" s="76"/>
      <c r="C37" s="77">
        <v>24</v>
      </c>
      <c r="D37" s="47" t="s">
        <v>1327</v>
      </c>
      <c r="E37" s="48">
        <v>90</v>
      </c>
      <c r="F37" s="49">
        <v>114.8</v>
      </c>
      <c r="G37" s="50" t="s">
        <v>1277</v>
      </c>
      <c r="H37" s="51">
        <v>2590</v>
      </c>
      <c r="I37" s="45">
        <v>3048</v>
      </c>
      <c r="J37" s="52">
        <v>16</v>
      </c>
      <c r="K37" s="53">
        <f t="shared" si="0"/>
        <v>126.30911999999999</v>
      </c>
      <c r="L37" s="54"/>
    </row>
    <row r="38" spans="1:12" s="55" customFormat="1" ht="19.5" customHeight="1" x14ac:dyDescent="0.3">
      <c r="A38" s="44"/>
      <c r="B38" s="76"/>
      <c r="C38" s="77"/>
      <c r="D38" s="47"/>
      <c r="E38" s="48"/>
      <c r="F38" s="49"/>
      <c r="G38" s="50" t="s">
        <v>1295</v>
      </c>
      <c r="H38" s="51">
        <v>1981</v>
      </c>
      <c r="I38" s="45">
        <v>3353</v>
      </c>
      <c r="J38" s="52">
        <v>18</v>
      </c>
      <c r="K38" s="53">
        <f t="shared" si="0"/>
        <v>119.56127400000001</v>
      </c>
      <c r="L38" s="54"/>
    </row>
    <row r="39" spans="1:12" s="55" customFormat="1" ht="19.5" customHeight="1" x14ac:dyDescent="0.3">
      <c r="A39" s="44"/>
      <c r="B39" s="76"/>
      <c r="C39" s="77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1328</v>
      </c>
      <c r="B40" s="76" t="s">
        <v>1264</v>
      </c>
      <c r="C40" s="77">
        <v>24</v>
      </c>
      <c r="D40" s="47" t="s">
        <v>1280</v>
      </c>
      <c r="E40" s="48">
        <v>1</v>
      </c>
      <c r="F40" s="49">
        <f>1.48/2</f>
        <v>0.74</v>
      </c>
      <c r="G40" s="50" t="s">
        <v>1332</v>
      </c>
      <c r="H40" s="51">
        <v>1981</v>
      </c>
      <c r="I40" s="45">
        <v>3353</v>
      </c>
      <c r="J40" s="52">
        <v>1</v>
      </c>
      <c r="K40" s="53">
        <f t="shared" si="0"/>
        <v>6.6422930000000004</v>
      </c>
      <c r="L40" s="54" t="s">
        <v>1283</v>
      </c>
    </row>
    <row r="41" spans="1:12" s="55" customFormat="1" ht="19.5" customHeight="1" x14ac:dyDescent="0.3">
      <c r="A41" s="44" t="s">
        <v>1329</v>
      </c>
      <c r="B41" s="76" t="s">
        <v>1264</v>
      </c>
      <c r="C41" s="77">
        <v>24</v>
      </c>
      <c r="D41" s="47" t="s">
        <v>1280</v>
      </c>
      <c r="E41" s="48">
        <v>1</v>
      </c>
      <c r="F41" s="49">
        <f>0.84/2</f>
        <v>0.42</v>
      </c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1330</v>
      </c>
      <c r="B42" s="76" t="s">
        <v>1264</v>
      </c>
      <c r="C42" s="77">
        <v>24</v>
      </c>
      <c r="D42" s="47" t="s">
        <v>1280</v>
      </c>
      <c r="E42" s="48">
        <v>2</v>
      </c>
      <c r="F42" s="49">
        <f>38.36/28+11.2/28</f>
        <v>1.7699999999999998</v>
      </c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1331</v>
      </c>
      <c r="B43" s="76" t="s">
        <v>1264</v>
      </c>
      <c r="C43" s="77">
        <v>24</v>
      </c>
      <c r="D43" s="47" t="s">
        <v>1280</v>
      </c>
      <c r="E43" s="48">
        <v>1</v>
      </c>
      <c r="F43" s="49">
        <f>0.84/2</f>
        <v>0.42</v>
      </c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/>
      <c r="B44" s="76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1333</v>
      </c>
      <c r="B45" s="76" t="s">
        <v>1334</v>
      </c>
      <c r="C45" s="77">
        <v>28</v>
      </c>
      <c r="D45" s="47" t="s">
        <v>1335</v>
      </c>
      <c r="E45" s="48">
        <v>44</v>
      </c>
      <c r="F45" s="49">
        <v>238.55</v>
      </c>
      <c r="G45" s="50" t="s">
        <v>1336</v>
      </c>
      <c r="H45" s="51">
        <v>1981</v>
      </c>
      <c r="I45" s="45">
        <v>3353</v>
      </c>
      <c r="J45" s="52">
        <v>1</v>
      </c>
      <c r="K45" s="53">
        <f t="shared" si="0"/>
        <v>6.6422930000000004</v>
      </c>
      <c r="L45" s="54" t="s">
        <v>1337</v>
      </c>
    </row>
    <row r="46" spans="1:12" s="55" customFormat="1" ht="19.5" customHeight="1" x14ac:dyDescent="0.3">
      <c r="A46" s="44" t="s">
        <v>1338</v>
      </c>
      <c r="B46" s="76" t="s">
        <v>1334</v>
      </c>
      <c r="C46" s="77">
        <v>28</v>
      </c>
      <c r="D46" s="47" t="s">
        <v>1335</v>
      </c>
      <c r="E46" s="48">
        <v>12</v>
      </c>
      <c r="F46" s="49">
        <v>44.59</v>
      </c>
      <c r="G46" s="50" t="s">
        <v>1336</v>
      </c>
      <c r="H46" s="51">
        <v>1829</v>
      </c>
      <c r="I46" s="45">
        <v>3353</v>
      </c>
      <c r="J46" s="52">
        <v>48</v>
      </c>
      <c r="K46" s="53">
        <f t="shared" si="0"/>
        <v>294.36657600000001</v>
      </c>
      <c r="L46" s="54"/>
    </row>
    <row r="47" spans="1:12" s="55" customFormat="1" ht="19.5" customHeight="1" x14ac:dyDescent="0.3">
      <c r="A47" s="44"/>
      <c r="B47" s="76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76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76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1339</v>
      </c>
      <c r="B50" s="76" t="s">
        <v>1340</v>
      </c>
      <c r="C50" s="77">
        <v>24</v>
      </c>
      <c r="D50" s="47" t="s">
        <v>1307</v>
      </c>
      <c r="E50" s="48">
        <v>10</v>
      </c>
      <c r="F50" s="49">
        <v>31.4</v>
      </c>
      <c r="G50" s="50" t="s">
        <v>1341</v>
      </c>
      <c r="H50" s="51">
        <v>1981</v>
      </c>
      <c r="I50" s="45">
        <v>3353</v>
      </c>
      <c r="J50" s="52">
        <v>5</v>
      </c>
      <c r="K50" s="53">
        <f t="shared" si="0"/>
        <v>33.211465000000004</v>
      </c>
      <c r="L50" s="54"/>
    </row>
    <row r="51" spans="1:12" s="55" customFormat="1" ht="19.5" customHeight="1" x14ac:dyDescent="0.3">
      <c r="A51" s="44"/>
      <c r="B51" s="76"/>
      <c r="C51" s="77"/>
      <c r="D51" s="47"/>
      <c r="E51" s="48"/>
      <c r="F51" s="49"/>
      <c r="G51" s="50" t="s">
        <v>1316</v>
      </c>
      <c r="H51" s="51">
        <v>1981</v>
      </c>
      <c r="I51" s="45">
        <v>3353</v>
      </c>
      <c r="J51" s="52">
        <v>5</v>
      </c>
      <c r="K51" s="53">
        <f t="shared" si="0"/>
        <v>33.211465000000004</v>
      </c>
      <c r="L51" s="54"/>
    </row>
    <row r="52" spans="1:12" s="55" customFormat="1" ht="19.5" customHeight="1" x14ac:dyDescent="0.3">
      <c r="A52" s="44"/>
      <c r="B52" s="76"/>
      <c r="C52" s="77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76"/>
      <c r="C54" s="77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76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76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76"/>
      <c r="C58" s="77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77"/>
      <c r="D59" s="78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77"/>
      <c r="D60" s="78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9" customFormat="1" ht="20.100000000000001" customHeight="1" x14ac:dyDescent="0.3">
      <c r="A63" s="44"/>
      <c r="B63" s="45"/>
      <c r="C63" s="46"/>
      <c r="D63" s="47"/>
      <c r="E63" s="56"/>
      <c r="F63" s="57"/>
      <c r="G63" s="50"/>
      <c r="H63" s="51"/>
      <c r="I63" s="45"/>
      <c r="J63" s="52"/>
      <c r="K63" s="53">
        <f t="shared" si="0"/>
        <v>0</v>
      </c>
      <c r="L63" s="58">
        <f>SUM(J35:J64)</f>
        <v>104</v>
      </c>
    </row>
    <row r="64" spans="1:12" s="59" customFormat="1" ht="20.100000000000001" customHeight="1" x14ac:dyDescent="0.3">
      <c r="A64" s="44"/>
      <c r="B64" s="45"/>
      <c r="C64" s="46"/>
      <c r="D64" s="47"/>
      <c r="E64" s="60"/>
      <c r="F64" s="61"/>
      <c r="G64" s="62"/>
      <c r="H64" s="51"/>
      <c r="I64" s="45"/>
      <c r="J64" s="63"/>
      <c r="K64" s="53">
        <f t="shared" si="0"/>
        <v>0</v>
      </c>
      <c r="L64" s="64">
        <f>SUM(K35:K64)</f>
        <v>686.36741600000005</v>
      </c>
    </row>
    <row r="65" spans="1:12" s="59" customFormat="1" ht="20.100000000000001" customHeight="1" thickBot="1" x14ac:dyDescent="0.35">
      <c r="A65" s="114"/>
      <c r="B65" s="115"/>
      <c r="C65" s="115"/>
      <c r="D65" s="115"/>
      <c r="E65" s="115"/>
      <c r="F65" s="115"/>
      <c r="G65" s="115"/>
      <c r="H65" s="115"/>
      <c r="I65" s="115"/>
      <c r="J65" s="65">
        <f>SUM(J7:J64)</f>
        <v>235</v>
      </c>
      <c r="K65" s="66">
        <f>SUM(K7:K64)</f>
        <v>1586.8434470000002</v>
      </c>
      <c r="L65" s="67"/>
    </row>
    <row r="66" spans="1:12" s="59" customFormat="1" ht="20.100000000000001" customHeight="1" thickTop="1" thickBot="1" x14ac:dyDescent="0.35">
      <c r="A66" s="116" t="s">
        <v>52</v>
      </c>
      <c r="B66" s="117"/>
      <c r="C66" s="68"/>
      <c r="D66" s="118">
        <f>J65</f>
        <v>235</v>
      </c>
      <c r="E66" s="119"/>
      <c r="F66" s="119"/>
      <c r="G66" s="120"/>
      <c r="H66" s="121"/>
      <c r="I66" s="121"/>
      <c r="J66" s="122"/>
      <c r="K66" s="119"/>
      <c r="L66" s="123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71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72"/>
      <c r="F72" s="5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5"/>
      <c r="G73" s="73"/>
      <c r="H73" s="5"/>
      <c r="I73" s="74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72"/>
      <c r="I77" s="72"/>
      <c r="J77" s="5"/>
      <c r="K77" s="5"/>
      <c r="L77" s="5"/>
    </row>
    <row r="78" spans="1:12" ht="20.100000000000001" customHeight="1" x14ac:dyDescent="0.3">
      <c r="A78" s="113"/>
      <c r="B78" s="113"/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H85" s="72"/>
      <c r="I85" s="72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J86" s="5"/>
      <c r="K86" s="5"/>
      <c r="L86" s="5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5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5" customFormat="1" ht="19.5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2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ht="19.5" customHeight="1" x14ac:dyDescent="0.3"/>
    <row r="94" spans="1:12" ht="19.5" customHeight="1" x14ac:dyDescent="0.3"/>
    <row r="95" spans="1:12" ht="19.5" customHeight="1" x14ac:dyDescent="0.3"/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>
        <v>2</v>
      </c>
      <c r="C156" s="5"/>
      <c r="D156" s="5"/>
      <c r="E156" s="5"/>
      <c r="F156" s="70"/>
      <c r="G156" s="5"/>
      <c r="H156" s="5"/>
      <c r="I156" s="5"/>
      <c r="J156" s="5"/>
      <c r="K156" s="5"/>
      <c r="L156" s="5"/>
    </row>
  </sheetData>
  <mergeCells count="30">
    <mergeCell ref="A81:B81"/>
    <mergeCell ref="A82:B82"/>
    <mergeCell ref="A72:B72"/>
    <mergeCell ref="A73:B73"/>
    <mergeCell ref="A74:B74"/>
    <mergeCell ref="A76:B76"/>
    <mergeCell ref="A77:B77"/>
    <mergeCell ref="A78:B78"/>
    <mergeCell ref="A71:B7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5:I65"/>
    <mergeCell ref="A66:B66"/>
    <mergeCell ref="D66:G66"/>
    <mergeCell ref="H66:J66"/>
    <mergeCell ref="K66:L66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L176"/>
  <sheetViews>
    <sheetView view="pageBreakPreview" topLeftCell="A34" zoomScale="85" zoomScaleSheetLayoutView="85" workbookViewId="0">
      <selection activeCell="B34" sqref="B3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46059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4" si="0">(H7/1000*I7/1000)*J7</f>
        <v>0</v>
      </c>
      <c r="L7" s="26">
        <f>SUM(J7:J42)</f>
        <v>168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SUM(K7:K42)</f>
        <v>1191.1347440000002</v>
      </c>
    </row>
    <row r="9" spans="1:12" s="27" customFormat="1" ht="19.5" customHeight="1" x14ac:dyDescent="0.3">
      <c r="A9" s="87" t="s">
        <v>1225</v>
      </c>
      <c r="B9" s="23" t="s">
        <v>1217</v>
      </c>
      <c r="C9" s="88">
        <v>25.76</v>
      </c>
      <c r="D9" s="89" t="s">
        <v>1222</v>
      </c>
      <c r="E9" s="41">
        <v>119</v>
      </c>
      <c r="F9" s="42">
        <v>66.41</v>
      </c>
      <c r="G9" s="34" t="s">
        <v>1176</v>
      </c>
      <c r="H9" s="35">
        <v>2134</v>
      </c>
      <c r="I9" s="36">
        <v>3353</v>
      </c>
      <c r="J9" s="37">
        <v>10</v>
      </c>
      <c r="K9" s="38">
        <f t="shared" ref="K9:K16" si="1">(H9/1000*I9/1000)*J9</f>
        <v>71.553020000000004</v>
      </c>
      <c r="L9" s="39"/>
    </row>
    <row r="10" spans="1:12" s="27" customFormat="1" ht="19.5" customHeight="1" x14ac:dyDescent="0.3">
      <c r="A10" s="87"/>
      <c r="B10" s="23"/>
      <c r="C10" s="88"/>
      <c r="D10" s="89"/>
      <c r="E10" s="41"/>
      <c r="F10" s="42"/>
      <c r="G10" s="34"/>
      <c r="H10" s="35"/>
      <c r="I10" s="36"/>
      <c r="J10" s="37"/>
      <c r="K10" s="38">
        <f t="shared" si="1"/>
        <v>0</v>
      </c>
      <c r="L10" s="39"/>
    </row>
    <row r="11" spans="1:12" s="27" customFormat="1" ht="19.5" customHeight="1" x14ac:dyDescent="0.3">
      <c r="A11" s="87" t="s">
        <v>1226</v>
      </c>
      <c r="B11" s="23" t="s">
        <v>1227</v>
      </c>
      <c r="C11" s="88">
        <v>22</v>
      </c>
      <c r="D11" s="89" t="s">
        <v>1228</v>
      </c>
      <c r="E11" s="41">
        <v>15</v>
      </c>
      <c r="F11" s="42">
        <v>4.2</v>
      </c>
      <c r="G11" s="34" t="s">
        <v>1229</v>
      </c>
      <c r="H11" s="35"/>
      <c r="I11" s="36"/>
      <c r="J11" s="37"/>
      <c r="K11" s="38">
        <f t="shared" si="1"/>
        <v>0</v>
      </c>
      <c r="L11" s="39" t="s">
        <v>1230</v>
      </c>
    </row>
    <row r="12" spans="1:12" s="27" customFormat="1" ht="19.5" customHeight="1" x14ac:dyDescent="0.3">
      <c r="A12" s="87"/>
      <c r="B12" s="23"/>
      <c r="C12" s="88"/>
      <c r="D12" s="89"/>
      <c r="E12" s="41"/>
      <c r="F12" s="42"/>
      <c r="G12" s="34" t="s">
        <v>1176</v>
      </c>
      <c r="H12" s="35">
        <v>1981</v>
      </c>
      <c r="I12" s="36">
        <v>3353</v>
      </c>
      <c r="J12" s="37">
        <v>1</v>
      </c>
      <c r="K12" s="38">
        <f t="shared" si="1"/>
        <v>6.6422930000000004</v>
      </c>
      <c r="L12" s="39"/>
    </row>
    <row r="13" spans="1:12" s="27" customFormat="1" ht="19.5" customHeight="1" x14ac:dyDescent="0.3">
      <c r="A13" s="87"/>
      <c r="B13" s="23"/>
      <c r="C13" s="88"/>
      <c r="D13" s="89"/>
      <c r="E13" s="41"/>
      <c r="F13" s="42"/>
      <c r="G13" s="34"/>
      <c r="H13" s="35"/>
      <c r="I13" s="36"/>
      <c r="J13" s="37"/>
      <c r="K13" s="38">
        <f t="shared" si="1"/>
        <v>0</v>
      </c>
      <c r="L13" s="39"/>
    </row>
    <row r="14" spans="1:12" s="27" customFormat="1" ht="19.5" customHeight="1" x14ac:dyDescent="0.3">
      <c r="A14" s="87" t="s">
        <v>1231</v>
      </c>
      <c r="B14" s="23" t="s">
        <v>1232</v>
      </c>
      <c r="C14" s="88">
        <v>24</v>
      </c>
      <c r="D14" s="89" t="s">
        <v>1233</v>
      </c>
      <c r="E14" s="41">
        <v>1</v>
      </c>
      <c r="F14" s="42">
        <v>1.52</v>
      </c>
      <c r="G14" s="34" t="s">
        <v>1235</v>
      </c>
      <c r="H14" s="35">
        <v>2438</v>
      </c>
      <c r="I14" s="36">
        <v>3048</v>
      </c>
      <c r="J14" s="37">
        <v>1</v>
      </c>
      <c r="K14" s="38">
        <f t="shared" si="1"/>
        <v>7.4310240000000007</v>
      </c>
      <c r="L14" s="39"/>
    </row>
    <row r="15" spans="1:12" s="27" customFormat="1" ht="19.5" customHeight="1" x14ac:dyDescent="0.3">
      <c r="A15" s="87"/>
      <c r="B15" s="23"/>
      <c r="C15" s="88">
        <v>24</v>
      </c>
      <c r="D15" s="89" t="s">
        <v>1234</v>
      </c>
      <c r="E15" s="41">
        <v>2</v>
      </c>
      <c r="F15" s="42">
        <v>2.88</v>
      </c>
      <c r="G15" s="34" t="s">
        <v>1236</v>
      </c>
      <c r="H15" s="35">
        <v>1829</v>
      </c>
      <c r="I15" s="36">
        <v>3048</v>
      </c>
      <c r="J15" s="37">
        <v>1</v>
      </c>
      <c r="K15" s="38">
        <f t="shared" si="1"/>
        <v>5.5747919999999995</v>
      </c>
      <c r="L15" s="39"/>
    </row>
    <row r="16" spans="1:12" s="27" customFormat="1" ht="19.5" customHeight="1" x14ac:dyDescent="0.3">
      <c r="A16" s="87"/>
      <c r="B16" s="23"/>
      <c r="C16" s="88"/>
      <c r="D16" s="89"/>
      <c r="E16" s="41"/>
      <c r="F16" s="42"/>
      <c r="G16" s="34"/>
      <c r="H16" s="35"/>
      <c r="I16" s="36"/>
      <c r="J16" s="37"/>
      <c r="K16" s="38">
        <f t="shared" si="1"/>
        <v>0</v>
      </c>
      <c r="L16" s="39"/>
    </row>
    <row r="17" spans="1:12" s="27" customFormat="1" ht="19.5" customHeight="1" x14ac:dyDescent="0.3">
      <c r="A17" s="87" t="s">
        <v>1240</v>
      </c>
      <c r="B17" s="23" t="s">
        <v>1237</v>
      </c>
      <c r="C17" s="88">
        <v>24</v>
      </c>
      <c r="D17" s="89" t="s">
        <v>1241</v>
      </c>
      <c r="E17" s="41">
        <v>26</v>
      </c>
      <c r="F17" s="42">
        <v>53.83</v>
      </c>
      <c r="G17" s="34" t="s">
        <v>1243</v>
      </c>
      <c r="H17" s="35">
        <v>2438</v>
      </c>
      <c r="I17" s="36">
        <v>3353</v>
      </c>
      <c r="J17" s="37">
        <v>8</v>
      </c>
      <c r="K17" s="38">
        <f t="shared" si="0"/>
        <v>65.396912</v>
      </c>
      <c r="L17" s="39"/>
    </row>
    <row r="18" spans="1:12" s="27" customFormat="1" ht="19.5" customHeight="1" x14ac:dyDescent="0.3">
      <c r="A18" s="87"/>
      <c r="B18" s="23"/>
      <c r="C18" s="88">
        <v>5</v>
      </c>
      <c r="D18" s="89" t="s">
        <v>1242</v>
      </c>
      <c r="E18" s="41">
        <v>20</v>
      </c>
      <c r="F18" s="42">
        <v>9.6</v>
      </c>
      <c r="G18" s="34" t="s">
        <v>1244</v>
      </c>
      <c r="H18" s="35">
        <v>2438</v>
      </c>
      <c r="I18" s="36">
        <v>3353</v>
      </c>
      <c r="J18" s="37">
        <v>9</v>
      </c>
      <c r="K18" s="38">
        <f t="shared" si="0"/>
        <v>73.571526000000006</v>
      </c>
      <c r="L18" s="39"/>
    </row>
    <row r="19" spans="1:12" s="27" customFormat="1" ht="19.5" customHeight="1" x14ac:dyDescent="0.3">
      <c r="A19" s="87"/>
      <c r="B19" s="23"/>
      <c r="C19" s="88"/>
      <c r="D19" s="89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87" t="s">
        <v>1245</v>
      </c>
      <c r="B20" s="23" t="s">
        <v>1237</v>
      </c>
      <c r="C20" s="88">
        <v>24</v>
      </c>
      <c r="D20" s="89" t="s">
        <v>1241</v>
      </c>
      <c r="E20" s="41">
        <v>26</v>
      </c>
      <c r="F20" s="42">
        <v>53.78</v>
      </c>
      <c r="G20" s="34" t="s">
        <v>1243</v>
      </c>
      <c r="H20" s="35">
        <v>2438</v>
      </c>
      <c r="I20" s="36">
        <v>3353</v>
      </c>
      <c r="J20" s="37">
        <v>8</v>
      </c>
      <c r="K20" s="38">
        <f t="shared" si="0"/>
        <v>65.396912</v>
      </c>
      <c r="L20" s="39"/>
    </row>
    <row r="21" spans="1:12" s="27" customFormat="1" ht="19.5" customHeight="1" x14ac:dyDescent="0.3">
      <c r="A21" s="87"/>
      <c r="B21" s="23"/>
      <c r="C21" s="88"/>
      <c r="D21" s="89"/>
      <c r="E21" s="41"/>
      <c r="F21" s="42"/>
      <c r="G21" s="34" t="s">
        <v>1244</v>
      </c>
      <c r="H21" s="35">
        <v>2438</v>
      </c>
      <c r="I21" s="36">
        <v>3353</v>
      </c>
      <c r="J21" s="37">
        <v>7</v>
      </c>
      <c r="K21" s="38">
        <f t="shared" si="0"/>
        <v>57.222298000000002</v>
      </c>
      <c r="L21" s="39"/>
    </row>
    <row r="22" spans="1:12" s="27" customFormat="1" ht="19.5" customHeight="1" x14ac:dyDescent="0.3">
      <c r="A22" s="87"/>
      <c r="B22" s="23"/>
      <c r="C22" s="88"/>
      <c r="D22" s="89"/>
      <c r="E22" s="41"/>
      <c r="F22" s="42"/>
      <c r="G22" s="34" t="s">
        <v>1244</v>
      </c>
      <c r="H22" s="35">
        <v>2438</v>
      </c>
      <c r="I22" s="36">
        <v>3048</v>
      </c>
      <c r="J22" s="37">
        <v>1</v>
      </c>
      <c r="K22" s="38">
        <f t="shared" si="0"/>
        <v>7.4310240000000007</v>
      </c>
      <c r="L22" s="39"/>
    </row>
    <row r="23" spans="1:12" s="27" customFormat="1" ht="19.5" customHeight="1" x14ac:dyDescent="0.3">
      <c r="A23" s="87"/>
      <c r="B23" s="23"/>
      <c r="C23" s="88"/>
      <c r="D23" s="89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87" t="s">
        <v>1246</v>
      </c>
      <c r="B24" s="23" t="s">
        <v>1247</v>
      </c>
      <c r="C24" s="88">
        <v>24</v>
      </c>
      <c r="D24" s="89" t="s">
        <v>1248</v>
      </c>
      <c r="E24" s="41">
        <v>55</v>
      </c>
      <c r="F24" s="42">
        <v>60.77</v>
      </c>
      <c r="G24" s="34" t="s">
        <v>1244</v>
      </c>
      <c r="H24" s="35">
        <v>2438</v>
      </c>
      <c r="I24" s="36">
        <v>3353</v>
      </c>
      <c r="J24" s="37">
        <v>9</v>
      </c>
      <c r="K24" s="38">
        <f t="shared" ref="K24:K32" si="2">(H24/1000*I24/1000)*J24</f>
        <v>73.571526000000006</v>
      </c>
      <c r="L24" s="39" t="s">
        <v>1250</v>
      </c>
    </row>
    <row r="25" spans="1:12" s="27" customFormat="1" ht="19.5" customHeight="1" x14ac:dyDescent="0.3">
      <c r="A25" s="87"/>
      <c r="B25" s="23"/>
      <c r="C25" s="88"/>
      <c r="D25" s="89"/>
      <c r="E25" s="41"/>
      <c r="F25" s="42"/>
      <c r="G25" s="34"/>
      <c r="H25" s="35"/>
      <c r="I25" s="36"/>
      <c r="J25" s="37"/>
      <c r="K25" s="38">
        <f t="shared" si="2"/>
        <v>0</v>
      </c>
      <c r="L25" s="39"/>
    </row>
    <row r="26" spans="1:12" s="27" customFormat="1" ht="19.5" customHeight="1" x14ac:dyDescent="0.3">
      <c r="A26" s="87" t="s">
        <v>1249</v>
      </c>
      <c r="B26" s="23" t="s">
        <v>1247</v>
      </c>
      <c r="C26" s="88">
        <v>24</v>
      </c>
      <c r="D26" s="89" t="s">
        <v>1248</v>
      </c>
      <c r="E26" s="41">
        <v>34</v>
      </c>
      <c r="F26" s="42">
        <v>34.25</v>
      </c>
      <c r="G26" s="34" t="s">
        <v>1244</v>
      </c>
      <c r="H26" s="35">
        <v>2438</v>
      </c>
      <c r="I26" s="36">
        <v>3353</v>
      </c>
      <c r="J26" s="37">
        <v>4</v>
      </c>
      <c r="K26" s="38">
        <f t="shared" si="2"/>
        <v>32.698456</v>
      </c>
      <c r="L26" s="39" t="s">
        <v>1251</v>
      </c>
    </row>
    <row r="27" spans="1:12" s="27" customFormat="1" ht="19.5" customHeight="1" x14ac:dyDescent="0.3">
      <c r="A27" s="87"/>
      <c r="B27" s="23"/>
      <c r="C27" s="88"/>
      <c r="D27" s="89"/>
      <c r="E27" s="41"/>
      <c r="F27" s="42"/>
      <c r="G27" s="34"/>
      <c r="H27" s="35"/>
      <c r="I27" s="36"/>
      <c r="J27" s="37"/>
      <c r="K27" s="38">
        <f t="shared" si="2"/>
        <v>0</v>
      </c>
      <c r="L27" s="39"/>
    </row>
    <row r="28" spans="1:12" s="27" customFormat="1" ht="19.5" customHeight="1" x14ac:dyDescent="0.3">
      <c r="A28" s="87" t="s">
        <v>1252</v>
      </c>
      <c r="B28" s="23" t="s">
        <v>1247</v>
      </c>
      <c r="C28" s="88">
        <v>24</v>
      </c>
      <c r="D28" s="89" t="s">
        <v>1248</v>
      </c>
      <c r="E28" s="41">
        <v>36</v>
      </c>
      <c r="F28" s="42">
        <v>31.81</v>
      </c>
      <c r="G28" s="34" t="s">
        <v>1244</v>
      </c>
      <c r="H28" s="35">
        <v>2438</v>
      </c>
      <c r="I28" s="36">
        <v>3353</v>
      </c>
      <c r="J28" s="37">
        <v>5</v>
      </c>
      <c r="K28" s="38">
        <f t="shared" si="2"/>
        <v>40.873069999999998</v>
      </c>
      <c r="L28" s="39" t="s">
        <v>1251</v>
      </c>
    </row>
    <row r="29" spans="1:12" s="27" customFormat="1" ht="19.5" customHeight="1" x14ac:dyDescent="0.3">
      <c r="A29" s="87"/>
      <c r="B29" s="23"/>
      <c r="C29" s="88"/>
      <c r="D29" s="89"/>
      <c r="E29" s="41"/>
      <c r="F29" s="42"/>
      <c r="G29" s="34"/>
      <c r="H29" s="35"/>
      <c r="I29" s="36"/>
      <c r="J29" s="37"/>
      <c r="K29" s="38">
        <f t="shared" si="2"/>
        <v>0</v>
      </c>
      <c r="L29" s="39"/>
    </row>
    <row r="30" spans="1:12" s="27" customFormat="1" ht="19.5" customHeight="1" x14ac:dyDescent="0.3">
      <c r="A30" s="87" t="s">
        <v>1253</v>
      </c>
      <c r="B30" s="23" t="s">
        <v>1247</v>
      </c>
      <c r="C30" s="88">
        <v>24</v>
      </c>
      <c r="D30" s="89" t="s">
        <v>1248</v>
      </c>
      <c r="E30" s="41">
        <v>46</v>
      </c>
      <c r="F30" s="42">
        <v>29.24</v>
      </c>
      <c r="G30" s="34" t="s">
        <v>1244</v>
      </c>
      <c r="H30" s="35">
        <v>2438</v>
      </c>
      <c r="I30" s="36">
        <v>3353</v>
      </c>
      <c r="J30" s="37">
        <v>4</v>
      </c>
      <c r="K30" s="38">
        <f t="shared" si="2"/>
        <v>32.698456</v>
      </c>
      <c r="L30" s="39" t="s">
        <v>1251</v>
      </c>
    </row>
    <row r="31" spans="1:12" s="27" customFormat="1" ht="19.5" customHeight="1" x14ac:dyDescent="0.3">
      <c r="A31" s="87"/>
      <c r="B31" s="23"/>
      <c r="C31" s="88"/>
      <c r="D31" s="89"/>
      <c r="E31" s="41"/>
      <c r="F31" s="42"/>
      <c r="G31" s="34"/>
      <c r="H31" s="35"/>
      <c r="I31" s="36"/>
      <c r="J31" s="37"/>
      <c r="K31" s="38">
        <f t="shared" si="2"/>
        <v>0</v>
      </c>
      <c r="L31" s="39"/>
    </row>
    <row r="32" spans="1:12" s="27" customFormat="1" ht="19.5" customHeight="1" x14ac:dyDescent="0.3">
      <c r="A32" s="87" t="s">
        <v>1216</v>
      </c>
      <c r="B32" s="23" t="s">
        <v>1239</v>
      </c>
      <c r="C32" s="88">
        <v>22</v>
      </c>
      <c r="D32" s="89" t="s">
        <v>1223</v>
      </c>
      <c r="E32" s="41">
        <v>448</v>
      </c>
      <c r="F32" s="42">
        <v>376.56</v>
      </c>
      <c r="G32" s="34" t="s">
        <v>1176</v>
      </c>
      <c r="H32" s="35">
        <v>1981</v>
      </c>
      <c r="I32" s="36">
        <v>3048</v>
      </c>
      <c r="J32" s="37">
        <v>50</v>
      </c>
      <c r="K32" s="38">
        <f t="shared" si="2"/>
        <v>301.90440000000007</v>
      </c>
      <c r="L32" s="39" t="s">
        <v>1224</v>
      </c>
    </row>
    <row r="33" spans="1:12" s="27" customFormat="1" ht="19.5" customHeight="1" x14ac:dyDescent="0.3">
      <c r="A33" s="87" t="s">
        <v>1238</v>
      </c>
      <c r="B33" s="23"/>
      <c r="C33" s="88"/>
      <c r="D33" s="89"/>
      <c r="E33" s="41"/>
      <c r="F33" s="42"/>
      <c r="G33" s="34"/>
      <c r="H33" s="35"/>
      <c r="I33" s="36"/>
      <c r="J33" s="37"/>
      <c r="K33" s="38"/>
      <c r="L33" s="39"/>
    </row>
    <row r="34" spans="1:12" s="27" customFormat="1" ht="19.5" customHeight="1" x14ac:dyDescent="0.3">
      <c r="A34" s="87" t="s">
        <v>1212</v>
      </c>
      <c r="B34" s="23" t="s">
        <v>1213</v>
      </c>
      <c r="C34" s="88">
        <v>24</v>
      </c>
      <c r="D34" s="89" t="s">
        <v>1214</v>
      </c>
      <c r="E34" s="41">
        <v>90</v>
      </c>
      <c r="F34" s="42">
        <v>75.599999999999994</v>
      </c>
      <c r="G34" s="34" t="s">
        <v>153</v>
      </c>
      <c r="H34" s="35">
        <v>1981</v>
      </c>
      <c r="I34" s="36">
        <v>3353</v>
      </c>
      <c r="J34" s="37">
        <v>14</v>
      </c>
      <c r="K34" s="38">
        <f t="shared" ref="K34" si="3">(H34/1000*I34/1000)*J34</f>
        <v>92.992102000000003</v>
      </c>
      <c r="L34" s="90" t="s">
        <v>1215</v>
      </c>
    </row>
    <row r="35" spans="1:12" s="27" customFormat="1" ht="19.5" customHeight="1" x14ac:dyDescent="0.3">
      <c r="A35" s="87"/>
      <c r="B35" s="23"/>
      <c r="C35" s="88"/>
      <c r="D35" s="89"/>
      <c r="E35" s="41"/>
      <c r="F35" s="42"/>
      <c r="G35" s="34"/>
      <c r="H35" s="35"/>
      <c r="I35" s="36"/>
      <c r="J35" s="37"/>
      <c r="K35" s="38"/>
      <c r="L35" s="39"/>
    </row>
    <row r="36" spans="1:12" s="27" customFormat="1" ht="19.5" customHeight="1" x14ac:dyDescent="0.3">
      <c r="A36" s="87" t="s">
        <v>1216</v>
      </c>
      <c r="B36" s="23" t="s">
        <v>1217</v>
      </c>
      <c r="C36" s="88">
        <v>22</v>
      </c>
      <c r="D36" s="89" t="s">
        <v>1218</v>
      </c>
      <c r="E36" s="41">
        <v>48</v>
      </c>
      <c r="F36" s="42">
        <v>60.24</v>
      </c>
      <c r="G36" s="34" t="s">
        <v>1219</v>
      </c>
      <c r="H36" s="35">
        <v>2590</v>
      </c>
      <c r="I36" s="36">
        <v>3048</v>
      </c>
      <c r="J36" s="37">
        <v>10</v>
      </c>
      <c r="K36" s="38">
        <f t="shared" ref="K36:K40" si="4">(H36/1000*I36/1000)*J36</f>
        <v>78.94319999999999</v>
      </c>
      <c r="L36" s="90"/>
    </row>
    <row r="37" spans="1:12" s="27" customFormat="1" ht="19.5" customHeight="1" x14ac:dyDescent="0.3">
      <c r="A37" s="87"/>
      <c r="B37" s="23"/>
      <c r="C37" s="88"/>
      <c r="D37" s="89"/>
      <c r="E37" s="41"/>
      <c r="F37" s="42"/>
      <c r="G37" s="34" t="s">
        <v>1176</v>
      </c>
      <c r="H37" s="35">
        <v>1981</v>
      </c>
      <c r="I37" s="36">
        <v>3353</v>
      </c>
      <c r="J37" s="37">
        <v>10</v>
      </c>
      <c r="K37" s="38">
        <f t="shared" si="4"/>
        <v>66.422930000000008</v>
      </c>
      <c r="L37" s="39"/>
    </row>
    <row r="38" spans="1:12" s="27" customFormat="1" ht="19.5" customHeight="1" x14ac:dyDescent="0.3">
      <c r="A38" s="87"/>
      <c r="B38" s="23"/>
      <c r="C38" s="88">
        <v>46.76</v>
      </c>
      <c r="D38" s="89" t="s">
        <v>1220</v>
      </c>
      <c r="E38" s="41">
        <v>20</v>
      </c>
      <c r="F38" s="42">
        <v>8.6</v>
      </c>
      <c r="G38" s="34" t="s">
        <v>1221</v>
      </c>
      <c r="H38" s="35">
        <v>1829</v>
      </c>
      <c r="I38" s="36">
        <v>3048</v>
      </c>
      <c r="J38" s="37">
        <v>2</v>
      </c>
      <c r="K38" s="38">
        <f t="shared" si="4"/>
        <v>11.149583999999999</v>
      </c>
      <c r="L38" s="90"/>
    </row>
    <row r="39" spans="1:12" s="27" customFormat="1" ht="19.5" customHeight="1" x14ac:dyDescent="0.3">
      <c r="A39" s="87"/>
      <c r="B39" s="23"/>
      <c r="C39" s="88"/>
      <c r="D39" s="89"/>
      <c r="E39" s="41"/>
      <c r="F39" s="42"/>
      <c r="G39" s="34" t="s">
        <v>1176</v>
      </c>
      <c r="H39" s="35">
        <v>1981</v>
      </c>
      <c r="I39" s="36">
        <v>3353</v>
      </c>
      <c r="J39" s="37">
        <v>1</v>
      </c>
      <c r="K39" s="38">
        <f t="shared" si="4"/>
        <v>6.6422930000000004</v>
      </c>
      <c r="L39" s="39"/>
    </row>
    <row r="40" spans="1:12" s="27" customFormat="1" ht="19.5" customHeight="1" x14ac:dyDescent="0.3">
      <c r="A40" s="87"/>
      <c r="B40" s="23"/>
      <c r="C40" s="88">
        <v>25.76</v>
      </c>
      <c r="D40" s="89" t="s">
        <v>1222</v>
      </c>
      <c r="E40" s="41">
        <v>164</v>
      </c>
      <c r="F40" s="42">
        <v>86.08</v>
      </c>
      <c r="G40" s="34" t="s">
        <v>1176</v>
      </c>
      <c r="H40" s="35">
        <v>2134</v>
      </c>
      <c r="I40" s="36">
        <v>3353</v>
      </c>
      <c r="J40" s="37">
        <v>13</v>
      </c>
      <c r="K40" s="38">
        <f t="shared" si="4"/>
        <v>93.018925999999993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38"/>
      <c r="L41" s="39"/>
    </row>
    <row r="42" spans="1:12" s="27" customFormat="1" ht="19.5" customHeight="1" x14ac:dyDescent="0.3">
      <c r="A42" s="28"/>
      <c r="B42" s="29"/>
      <c r="C42" s="30"/>
      <c r="D42" s="31"/>
      <c r="E42" s="41"/>
      <c r="F42" s="42"/>
      <c r="G42" s="43"/>
      <c r="H42" s="35"/>
      <c r="I42" s="36"/>
      <c r="J42" s="37"/>
      <c r="K42" s="38"/>
      <c r="L42" s="39"/>
    </row>
    <row r="43" spans="1:12" s="55" customFormat="1" ht="19.5" customHeight="1" x14ac:dyDescent="0.3">
      <c r="A43" s="44" t="s">
        <v>1254</v>
      </c>
      <c r="B43" s="45" t="s">
        <v>1255</v>
      </c>
      <c r="C43" s="46">
        <v>24</v>
      </c>
      <c r="D43" s="47" t="s">
        <v>1256</v>
      </c>
      <c r="E43" s="48">
        <v>114</v>
      </c>
      <c r="F43" s="49">
        <v>90.63</v>
      </c>
      <c r="G43" s="50" t="s">
        <v>1257</v>
      </c>
      <c r="H43" s="51">
        <v>1981</v>
      </c>
      <c r="I43" s="45">
        <v>3353</v>
      </c>
      <c r="J43" s="52">
        <v>12</v>
      </c>
      <c r="K43" s="53">
        <f t="shared" si="0"/>
        <v>79.707515999999998</v>
      </c>
      <c r="L43" s="54"/>
    </row>
    <row r="44" spans="1:12" s="55" customFormat="1" ht="19.5" customHeight="1" x14ac:dyDescent="0.3">
      <c r="A44" s="44"/>
      <c r="B44" s="76"/>
      <c r="C44" s="77"/>
      <c r="D44" s="47"/>
      <c r="E44" s="48"/>
      <c r="F44" s="49"/>
      <c r="G44" s="50" t="s">
        <v>1257</v>
      </c>
      <c r="H44" s="51">
        <v>2438</v>
      </c>
      <c r="I44" s="45">
        <v>3353</v>
      </c>
      <c r="J44" s="52">
        <v>8</v>
      </c>
      <c r="K44" s="53">
        <f t="shared" si="0"/>
        <v>65.396912</v>
      </c>
      <c r="L44" s="54"/>
    </row>
    <row r="45" spans="1:12" s="55" customFormat="1" ht="19.5" customHeight="1" x14ac:dyDescent="0.3">
      <c r="A45" s="44"/>
      <c r="B45" s="76"/>
      <c r="C45" s="77"/>
      <c r="D45" s="47"/>
      <c r="E45" s="48"/>
      <c r="F45" s="49"/>
      <c r="G45" s="50" t="s">
        <v>1257</v>
      </c>
      <c r="H45" s="51">
        <v>2134</v>
      </c>
      <c r="I45" s="45">
        <v>3048</v>
      </c>
      <c r="J45" s="52">
        <v>8</v>
      </c>
      <c r="K45" s="53">
        <f t="shared" si="0"/>
        <v>52.035455999999996</v>
      </c>
      <c r="L45" s="54"/>
    </row>
    <row r="46" spans="1:12" s="55" customFormat="1" ht="19.5" customHeight="1" x14ac:dyDescent="0.3">
      <c r="A46" s="44"/>
      <c r="B46" s="76"/>
      <c r="C46" s="77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1258</v>
      </c>
      <c r="B47" s="76" t="s">
        <v>1259</v>
      </c>
      <c r="C47" s="77">
        <v>24</v>
      </c>
      <c r="D47" s="47" t="s">
        <v>1260</v>
      </c>
      <c r="E47" s="48">
        <v>24</v>
      </c>
      <c r="F47" s="49">
        <v>56.78</v>
      </c>
      <c r="G47" s="50" t="s">
        <v>1261</v>
      </c>
      <c r="H47" s="51">
        <v>2438</v>
      </c>
      <c r="I47" s="45">
        <v>3353</v>
      </c>
      <c r="J47" s="52">
        <v>8</v>
      </c>
      <c r="K47" s="53">
        <f t="shared" si="0"/>
        <v>65.396912</v>
      </c>
      <c r="L47" s="54"/>
    </row>
    <row r="48" spans="1:12" s="55" customFormat="1" ht="19.5" customHeight="1" x14ac:dyDescent="0.3">
      <c r="A48" s="44"/>
      <c r="B48" s="76"/>
      <c r="C48" s="77"/>
      <c r="D48" s="47"/>
      <c r="E48" s="48"/>
      <c r="F48" s="49"/>
      <c r="G48" s="50" t="s">
        <v>1262</v>
      </c>
      <c r="H48" s="51">
        <v>2438</v>
      </c>
      <c r="I48" s="45">
        <v>3353</v>
      </c>
      <c r="J48" s="52">
        <v>8</v>
      </c>
      <c r="K48" s="53">
        <f t="shared" si="0"/>
        <v>65.396912</v>
      </c>
      <c r="L48" s="54"/>
    </row>
    <row r="49" spans="1:12" s="55" customFormat="1" ht="19.5" customHeight="1" x14ac:dyDescent="0.3">
      <c r="A49" s="44"/>
      <c r="B49" s="76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1263</v>
      </c>
      <c r="B50" s="76" t="s">
        <v>1264</v>
      </c>
      <c r="C50" s="77">
        <v>24</v>
      </c>
      <c r="D50" s="47" t="s">
        <v>1265</v>
      </c>
      <c r="E50" s="48">
        <v>8</v>
      </c>
      <c r="F50" s="49">
        <v>5.98</v>
      </c>
      <c r="G50" s="50" t="s">
        <v>1266</v>
      </c>
      <c r="H50" s="51">
        <v>1981</v>
      </c>
      <c r="I50" s="45">
        <v>3353</v>
      </c>
      <c r="J50" s="52">
        <v>1</v>
      </c>
      <c r="K50" s="53">
        <f t="shared" si="0"/>
        <v>6.6422930000000004</v>
      </c>
      <c r="L50" s="54"/>
    </row>
    <row r="51" spans="1:12" s="55" customFormat="1" ht="19.5" customHeight="1" x14ac:dyDescent="0.3">
      <c r="A51" s="44"/>
      <c r="B51" s="76"/>
      <c r="C51" s="77"/>
      <c r="D51" s="47"/>
      <c r="E51" s="48"/>
      <c r="F51" s="49"/>
      <c r="G51" s="50" t="s">
        <v>1267</v>
      </c>
      <c r="H51" s="51">
        <v>1981</v>
      </c>
      <c r="I51" s="45">
        <v>3353</v>
      </c>
      <c r="J51" s="52">
        <v>1</v>
      </c>
      <c r="K51" s="53">
        <f t="shared" si="0"/>
        <v>6.6422930000000004</v>
      </c>
      <c r="L51" s="54"/>
    </row>
    <row r="52" spans="1:12" s="55" customFormat="1" ht="19.5" customHeight="1" x14ac:dyDescent="0.3">
      <c r="A52" s="44"/>
      <c r="B52" s="76"/>
      <c r="C52" s="77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1268</v>
      </c>
      <c r="B53" s="76" t="s">
        <v>1269</v>
      </c>
      <c r="C53" s="77">
        <v>28</v>
      </c>
      <c r="D53" s="47" t="s">
        <v>1270</v>
      </c>
      <c r="E53" s="48">
        <v>1</v>
      </c>
      <c r="F53" s="49">
        <v>0.94</v>
      </c>
      <c r="G53" s="50" t="s">
        <v>1271</v>
      </c>
      <c r="H53" s="51"/>
      <c r="I53" s="45"/>
      <c r="J53" s="52"/>
      <c r="K53" s="53">
        <f t="shared" si="0"/>
        <v>0</v>
      </c>
      <c r="L53" s="54" t="s">
        <v>1272</v>
      </c>
    </row>
    <row r="54" spans="1:12" s="55" customFormat="1" ht="19.5" customHeight="1" x14ac:dyDescent="0.3">
      <c r="A54" s="44"/>
      <c r="B54" s="76"/>
      <c r="C54" s="77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1273</v>
      </c>
      <c r="B55" s="76" t="s">
        <v>1274</v>
      </c>
      <c r="C55" s="77">
        <v>24</v>
      </c>
      <c r="D55" s="47" t="s">
        <v>1275</v>
      </c>
      <c r="E55" s="48">
        <v>1</v>
      </c>
      <c r="F55" s="49">
        <v>0.28000000000000003</v>
      </c>
      <c r="G55" s="50" t="s">
        <v>1276</v>
      </c>
      <c r="H55" s="51"/>
      <c r="I55" s="45"/>
      <c r="J55" s="52"/>
      <c r="K55" s="53">
        <f t="shared" si="0"/>
        <v>0</v>
      </c>
      <c r="L55" s="54" t="s">
        <v>1272</v>
      </c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 t="s">
        <v>1277</v>
      </c>
      <c r="H56" s="51"/>
      <c r="I56" s="45"/>
      <c r="J56" s="52"/>
      <c r="K56" s="53">
        <f t="shared" si="0"/>
        <v>0</v>
      </c>
      <c r="L56" s="54" t="s">
        <v>1272</v>
      </c>
    </row>
    <row r="57" spans="1:12" s="55" customFormat="1" ht="19.5" customHeight="1" x14ac:dyDescent="0.3">
      <c r="A57" s="44"/>
      <c r="B57" s="76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1278</v>
      </c>
      <c r="B58" s="76" t="s">
        <v>1279</v>
      </c>
      <c r="C58" s="77">
        <v>24</v>
      </c>
      <c r="D58" s="47" t="s">
        <v>1280</v>
      </c>
      <c r="E58" s="48">
        <v>1</v>
      </c>
      <c r="F58" s="49">
        <f>23.37/19</f>
        <v>1.23</v>
      </c>
      <c r="G58" s="50" t="s">
        <v>1282</v>
      </c>
      <c r="H58" s="51">
        <v>1981</v>
      </c>
      <c r="I58" s="45">
        <v>3353</v>
      </c>
      <c r="J58" s="52">
        <v>3</v>
      </c>
      <c r="K58" s="53">
        <f t="shared" si="0"/>
        <v>19.926879</v>
      </c>
      <c r="L58" s="54" t="s">
        <v>1283</v>
      </c>
    </row>
    <row r="59" spans="1:12" s="55" customFormat="1" ht="19.5" customHeight="1" x14ac:dyDescent="0.3">
      <c r="A59" s="44" t="s">
        <v>1281</v>
      </c>
      <c r="B59" s="76" t="s">
        <v>1279</v>
      </c>
      <c r="C59" s="77">
        <v>24</v>
      </c>
      <c r="D59" s="47" t="s">
        <v>1280</v>
      </c>
      <c r="E59" s="48">
        <v>7</v>
      </c>
      <c r="F59" s="49">
        <f>12.8/10*2+5.75/5+4.55/5+7.4/10*2+5.52/8</f>
        <v>6.7899999999999991</v>
      </c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1284</v>
      </c>
      <c r="B60" s="76" t="s">
        <v>1279</v>
      </c>
      <c r="C60" s="77">
        <v>24</v>
      </c>
      <c r="D60" s="47" t="s">
        <v>1280</v>
      </c>
      <c r="E60" s="48">
        <f>2+2+5+4</f>
        <v>13</v>
      </c>
      <c r="F60" s="49">
        <v>9.16</v>
      </c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76"/>
      <c r="C61" s="77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1285</v>
      </c>
      <c r="B62" s="45" t="s">
        <v>1255</v>
      </c>
      <c r="C62" s="46">
        <v>24</v>
      </c>
      <c r="D62" s="47" t="s">
        <v>1287</v>
      </c>
      <c r="E62" s="48">
        <v>13</v>
      </c>
      <c r="F62" s="49">
        <v>23.54</v>
      </c>
      <c r="G62" s="50" t="s">
        <v>1286</v>
      </c>
      <c r="H62" s="51">
        <v>2438</v>
      </c>
      <c r="I62" s="45">
        <v>3353</v>
      </c>
      <c r="J62" s="52">
        <v>3</v>
      </c>
      <c r="K62" s="53">
        <f t="shared" ref="K62:K70" si="5">(H62/1000*I62/1000)*J62</f>
        <v>24.523842000000002</v>
      </c>
      <c r="L62" s="54"/>
    </row>
    <row r="63" spans="1:12" s="55" customFormat="1" ht="19.5" customHeight="1" x14ac:dyDescent="0.3">
      <c r="A63" s="44"/>
      <c r="B63" s="76"/>
      <c r="C63" s="77"/>
      <c r="D63" s="47"/>
      <c r="E63" s="48"/>
      <c r="F63" s="49"/>
      <c r="G63" s="50" t="s">
        <v>1261</v>
      </c>
      <c r="H63" s="51">
        <v>2438</v>
      </c>
      <c r="I63" s="45">
        <v>3353</v>
      </c>
      <c r="J63" s="52">
        <v>3</v>
      </c>
      <c r="K63" s="53">
        <f t="shared" si="5"/>
        <v>24.523842000000002</v>
      </c>
      <c r="L63" s="54"/>
    </row>
    <row r="64" spans="1:12" s="55" customFormat="1" ht="19.5" customHeight="1" x14ac:dyDescent="0.3">
      <c r="A64" s="44"/>
      <c r="B64" s="76"/>
      <c r="C64" s="77"/>
      <c r="D64" s="47"/>
      <c r="E64" s="48"/>
      <c r="F64" s="49"/>
      <c r="G64" s="50"/>
      <c r="H64" s="51"/>
      <c r="I64" s="45"/>
      <c r="J64" s="52"/>
      <c r="K64" s="53">
        <f t="shared" si="5"/>
        <v>0</v>
      </c>
      <c r="L64" s="54"/>
    </row>
    <row r="65" spans="1:12" s="55" customFormat="1" ht="19.5" customHeight="1" x14ac:dyDescent="0.3">
      <c r="A65" s="44" t="s">
        <v>1288</v>
      </c>
      <c r="B65" s="45" t="s">
        <v>1255</v>
      </c>
      <c r="C65" s="77">
        <v>24</v>
      </c>
      <c r="D65" s="47" t="s">
        <v>1256</v>
      </c>
      <c r="E65" s="48">
        <v>15</v>
      </c>
      <c r="F65" s="49">
        <v>8.7100000000000009</v>
      </c>
      <c r="G65" s="50" t="s">
        <v>1290</v>
      </c>
      <c r="H65" s="51">
        <v>1981</v>
      </c>
      <c r="I65" s="45">
        <v>3353</v>
      </c>
      <c r="J65" s="52">
        <v>3</v>
      </c>
      <c r="K65" s="53">
        <f t="shared" si="5"/>
        <v>19.926879</v>
      </c>
      <c r="L65" s="54"/>
    </row>
    <row r="66" spans="1:12" s="55" customFormat="1" ht="19.5" customHeight="1" x14ac:dyDescent="0.3">
      <c r="A66" s="44"/>
      <c r="B66" s="76"/>
      <c r="C66" s="77">
        <v>24</v>
      </c>
      <c r="D66" s="47" t="s">
        <v>1289</v>
      </c>
      <c r="E66" s="48">
        <v>8</v>
      </c>
      <c r="F66" s="49">
        <v>5.21</v>
      </c>
      <c r="G66" s="50" t="s">
        <v>1286</v>
      </c>
      <c r="H66" s="51">
        <v>2134</v>
      </c>
      <c r="I66" s="45">
        <v>3353</v>
      </c>
      <c r="J66" s="52">
        <v>2</v>
      </c>
      <c r="K66" s="53">
        <f t="shared" si="5"/>
        <v>14.310604</v>
      </c>
      <c r="L66" s="54"/>
    </row>
    <row r="67" spans="1:12" s="55" customFormat="1" ht="19.5" customHeight="1" x14ac:dyDescent="0.3">
      <c r="A67" s="44"/>
      <c r="B67" s="45"/>
      <c r="C67" s="77"/>
      <c r="D67" s="78"/>
      <c r="E67" s="48"/>
      <c r="F67" s="49"/>
      <c r="G67" s="50"/>
      <c r="H67" s="51"/>
      <c r="I67" s="45"/>
      <c r="J67" s="52"/>
      <c r="K67" s="53">
        <f t="shared" si="5"/>
        <v>0</v>
      </c>
      <c r="L67" s="54"/>
    </row>
    <row r="68" spans="1:12" s="55" customFormat="1" ht="19.5" customHeight="1" x14ac:dyDescent="0.3">
      <c r="A68" s="44"/>
      <c r="B68" s="45"/>
      <c r="C68" s="77"/>
      <c r="D68" s="78"/>
      <c r="E68" s="48"/>
      <c r="F68" s="49"/>
      <c r="G68" s="50"/>
      <c r="H68" s="51"/>
      <c r="I68" s="45"/>
      <c r="J68" s="52"/>
      <c r="K68" s="53">
        <f t="shared" si="5"/>
        <v>0</v>
      </c>
      <c r="L68" s="54"/>
    </row>
    <row r="69" spans="1:12" s="55" customFormat="1" ht="19.5" customHeight="1" x14ac:dyDescent="0.3">
      <c r="A69" s="44" t="s">
        <v>1294</v>
      </c>
      <c r="B69" s="76"/>
      <c r="C69" s="77"/>
      <c r="D69" s="47"/>
      <c r="E69" s="48"/>
      <c r="F69" s="49"/>
      <c r="G69" s="50"/>
      <c r="H69" s="51"/>
      <c r="I69" s="45"/>
      <c r="J69" s="52"/>
      <c r="K69" s="53">
        <f t="shared" si="5"/>
        <v>0</v>
      </c>
      <c r="L69" s="54"/>
    </row>
    <row r="70" spans="1:12" s="55" customFormat="1" ht="19.5" customHeight="1" x14ac:dyDescent="0.3">
      <c r="A70" s="44" t="s">
        <v>1291</v>
      </c>
      <c r="B70" s="45" t="s">
        <v>1292</v>
      </c>
      <c r="C70" s="77">
        <v>25.76</v>
      </c>
      <c r="D70" s="78" t="s">
        <v>1293</v>
      </c>
      <c r="E70" s="48">
        <v>164</v>
      </c>
      <c r="F70" s="49">
        <v>90.24</v>
      </c>
      <c r="G70" s="50" t="s">
        <v>1295</v>
      </c>
      <c r="H70" s="51">
        <v>2134</v>
      </c>
      <c r="I70" s="45">
        <v>3353</v>
      </c>
      <c r="J70" s="52">
        <v>13</v>
      </c>
      <c r="K70" s="53">
        <f t="shared" si="5"/>
        <v>93.018925999999993</v>
      </c>
      <c r="L70" s="54" t="s">
        <v>1296</v>
      </c>
    </row>
    <row r="71" spans="1:12" s="55" customFormat="1" ht="19.5" customHeight="1" x14ac:dyDescent="0.3">
      <c r="A71" s="44"/>
      <c r="B71" s="76"/>
      <c r="C71" s="77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 t="s">
        <v>1297</v>
      </c>
      <c r="B72" s="76" t="s">
        <v>1298</v>
      </c>
      <c r="C72" s="77">
        <v>5</v>
      </c>
      <c r="D72" s="47" t="s">
        <v>1299</v>
      </c>
      <c r="E72" s="48">
        <v>2</v>
      </c>
      <c r="F72" s="49">
        <v>0.56000000000000005</v>
      </c>
      <c r="G72" s="50" t="s">
        <v>1277</v>
      </c>
      <c r="H72" s="51">
        <v>1981</v>
      </c>
      <c r="I72" s="45">
        <v>3353</v>
      </c>
      <c r="J72" s="52">
        <v>2</v>
      </c>
      <c r="K72" s="53">
        <f t="shared" si="0"/>
        <v>13.284586000000001</v>
      </c>
      <c r="L72" s="54"/>
    </row>
    <row r="73" spans="1:12" s="55" customFormat="1" ht="19.5" customHeight="1" x14ac:dyDescent="0.3">
      <c r="A73" s="44"/>
      <c r="B73" s="45"/>
      <c r="C73" s="77">
        <v>22</v>
      </c>
      <c r="D73" s="78" t="s">
        <v>1301</v>
      </c>
      <c r="E73" s="48">
        <v>12</v>
      </c>
      <c r="F73" s="49">
        <v>12.27</v>
      </c>
      <c r="G73" s="50" t="s">
        <v>1300</v>
      </c>
      <c r="H73" s="51">
        <v>1981</v>
      </c>
      <c r="I73" s="45">
        <v>3353</v>
      </c>
      <c r="J73" s="52">
        <v>2</v>
      </c>
      <c r="K73" s="53">
        <f t="shared" si="0"/>
        <v>13.284586000000001</v>
      </c>
      <c r="L73" s="54"/>
    </row>
    <row r="74" spans="1:12" s="55" customFormat="1" ht="19.5" customHeight="1" x14ac:dyDescent="0.3">
      <c r="A74" s="44"/>
      <c r="B74" s="45"/>
      <c r="C74" s="77">
        <v>22</v>
      </c>
      <c r="D74" s="78" t="s">
        <v>1302</v>
      </c>
      <c r="E74" s="48">
        <v>12</v>
      </c>
      <c r="F74" s="49">
        <v>12.11</v>
      </c>
      <c r="G74" s="50" t="s">
        <v>1277</v>
      </c>
      <c r="H74" s="51">
        <v>2590</v>
      </c>
      <c r="I74" s="45">
        <v>3048</v>
      </c>
      <c r="J74" s="52">
        <v>3</v>
      </c>
      <c r="K74" s="53">
        <f t="shared" si="0"/>
        <v>23.682959999999998</v>
      </c>
      <c r="L74" s="54"/>
    </row>
    <row r="75" spans="1:12" s="55" customFormat="1" ht="19.5" customHeight="1" x14ac:dyDescent="0.3">
      <c r="A75" s="44"/>
      <c r="B75" s="45"/>
      <c r="C75" s="77">
        <v>28</v>
      </c>
      <c r="D75" s="78" t="s">
        <v>1303</v>
      </c>
      <c r="E75" s="48">
        <v>1</v>
      </c>
      <c r="F75" s="49">
        <v>0.37</v>
      </c>
      <c r="G75" s="50" t="s">
        <v>1304</v>
      </c>
      <c r="H75" s="51"/>
      <c r="I75" s="45"/>
      <c r="J75" s="52"/>
      <c r="K75" s="53">
        <f t="shared" si="0"/>
        <v>0</v>
      </c>
      <c r="L75" s="54" t="s">
        <v>1272</v>
      </c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 t="s">
        <v>1261</v>
      </c>
      <c r="H76" s="51"/>
      <c r="I76" s="45"/>
      <c r="J76" s="52"/>
      <c r="K76" s="53">
        <f t="shared" si="0"/>
        <v>0</v>
      </c>
      <c r="L76" s="54" t="s">
        <v>1272</v>
      </c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 t="s">
        <v>1305</v>
      </c>
      <c r="B78" s="45" t="s">
        <v>1306</v>
      </c>
      <c r="C78" s="46">
        <v>24</v>
      </c>
      <c r="D78" s="47" t="s">
        <v>1307</v>
      </c>
      <c r="E78" s="48">
        <v>10</v>
      </c>
      <c r="F78" s="49">
        <v>33.299999999999997</v>
      </c>
      <c r="G78" s="50" t="s">
        <v>1309</v>
      </c>
      <c r="H78" s="51">
        <v>1981</v>
      </c>
      <c r="I78" s="45">
        <v>3353</v>
      </c>
      <c r="J78" s="52">
        <v>10</v>
      </c>
      <c r="K78" s="53">
        <f t="shared" si="0"/>
        <v>66.422930000000008</v>
      </c>
      <c r="L78" s="54"/>
    </row>
    <row r="79" spans="1:12" s="55" customFormat="1" ht="19.5" customHeight="1" x14ac:dyDescent="0.3">
      <c r="A79" s="44"/>
      <c r="B79" s="45"/>
      <c r="C79" s="46">
        <v>24</v>
      </c>
      <c r="D79" s="47" t="s">
        <v>1308</v>
      </c>
      <c r="E79" s="48">
        <v>20</v>
      </c>
      <c r="F79" s="49">
        <f>14.6+14.5</f>
        <v>29.1</v>
      </c>
      <c r="G79" s="50" t="s">
        <v>62</v>
      </c>
      <c r="H79" s="51">
        <v>1981</v>
      </c>
      <c r="I79" s="45">
        <v>3353</v>
      </c>
      <c r="J79" s="52">
        <v>10</v>
      </c>
      <c r="K79" s="53">
        <f t="shared" si="0"/>
        <v>66.422930000000008</v>
      </c>
      <c r="L79" s="54" t="s">
        <v>1310</v>
      </c>
    </row>
    <row r="80" spans="1:12" s="55" customFormat="1" ht="19.5" customHeight="1" x14ac:dyDescent="0.3">
      <c r="A80" s="44"/>
      <c r="B80" s="45"/>
      <c r="C80" s="46">
        <v>24</v>
      </c>
      <c r="D80" s="47" t="s">
        <v>1308</v>
      </c>
      <c r="E80" s="48">
        <v>60</v>
      </c>
      <c r="F80" s="49">
        <f>5.6+23.4+23.4</f>
        <v>52.4</v>
      </c>
      <c r="G80" s="50" t="s">
        <v>1309</v>
      </c>
      <c r="H80" s="51">
        <v>1981</v>
      </c>
      <c r="I80" s="45">
        <v>3353</v>
      </c>
      <c r="J80" s="52">
        <v>11</v>
      </c>
      <c r="K80" s="53">
        <f t="shared" si="0"/>
        <v>73.065223000000003</v>
      </c>
      <c r="L80" s="54" t="s">
        <v>1312</v>
      </c>
    </row>
    <row r="81" spans="1:12" s="55" customFormat="1" ht="19.5" customHeight="1" x14ac:dyDescent="0.3">
      <c r="A81" s="44"/>
      <c r="B81" s="45"/>
      <c r="C81" s="46">
        <v>22</v>
      </c>
      <c r="D81" s="47" t="s">
        <v>1311</v>
      </c>
      <c r="E81" s="48">
        <v>10</v>
      </c>
      <c r="F81" s="49">
        <v>11.7</v>
      </c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9" customFormat="1" ht="20.100000000000001" customHeight="1" x14ac:dyDescent="0.3">
      <c r="A83" s="44"/>
      <c r="B83" s="45"/>
      <c r="C83" s="46"/>
      <c r="D83" s="47"/>
      <c r="E83" s="56"/>
      <c r="F83" s="57"/>
      <c r="G83" s="50"/>
      <c r="H83" s="51"/>
      <c r="I83" s="45"/>
      <c r="J83" s="52"/>
      <c r="K83" s="53">
        <f t="shared" si="0"/>
        <v>0</v>
      </c>
      <c r="L83" s="58">
        <f>SUM(J43:J84)</f>
        <v>111</v>
      </c>
    </row>
    <row r="84" spans="1:12" s="59" customFormat="1" ht="20.100000000000001" customHeight="1" x14ac:dyDescent="0.3">
      <c r="A84" s="44"/>
      <c r="B84" s="45"/>
      <c r="C84" s="46"/>
      <c r="D84" s="47"/>
      <c r="E84" s="60"/>
      <c r="F84" s="61"/>
      <c r="G84" s="62"/>
      <c r="H84" s="51"/>
      <c r="I84" s="45"/>
      <c r="J84" s="63"/>
      <c r="K84" s="53">
        <f t="shared" si="0"/>
        <v>0</v>
      </c>
      <c r="L84" s="64">
        <f>SUM(K43:K84)</f>
        <v>793.61248099999989</v>
      </c>
    </row>
    <row r="85" spans="1:12" s="59" customFormat="1" ht="20.100000000000001" customHeight="1" thickBot="1" x14ac:dyDescent="0.35">
      <c r="A85" s="114"/>
      <c r="B85" s="115"/>
      <c r="C85" s="115"/>
      <c r="D85" s="115"/>
      <c r="E85" s="115"/>
      <c r="F85" s="115"/>
      <c r="G85" s="115"/>
      <c r="H85" s="115"/>
      <c r="I85" s="115"/>
      <c r="J85" s="65">
        <f>SUM(J7:J84)</f>
        <v>279</v>
      </c>
      <c r="K85" s="66">
        <f>SUM(K7:K84)</f>
        <v>1984.7472250000005</v>
      </c>
      <c r="L85" s="67"/>
    </row>
    <row r="86" spans="1:12" s="59" customFormat="1" ht="20.100000000000001" customHeight="1" thickTop="1" thickBot="1" x14ac:dyDescent="0.35">
      <c r="A86" s="116" t="s">
        <v>52</v>
      </c>
      <c r="B86" s="117"/>
      <c r="C86" s="68"/>
      <c r="D86" s="118">
        <f>J85</f>
        <v>279</v>
      </c>
      <c r="E86" s="119"/>
      <c r="F86" s="119"/>
      <c r="G86" s="120"/>
      <c r="H86" s="121"/>
      <c r="I86" s="121"/>
      <c r="J86" s="122"/>
      <c r="K86" s="119"/>
      <c r="L86" s="123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71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72"/>
      <c r="F92" s="5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5"/>
      <c r="G93" s="73"/>
      <c r="H93" s="5"/>
      <c r="I93" s="74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72"/>
      <c r="I97" s="72"/>
      <c r="J97" s="5"/>
      <c r="K97" s="5"/>
      <c r="L97" s="5"/>
    </row>
    <row r="98" spans="1:12" ht="20.100000000000001" customHeight="1" x14ac:dyDescent="0.3">
      <c r="A98" s="113"/>
      <c r="B98" s="113"/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A101" s="113"/>
      <c r="B101" s="113"/>
      <c r="H101" s="72"/>
      <c r="I101" s="72"/>
    </row>
    <row r="102" spans="1:12" ht="20.100000000000001" customHeight="1" x14ac:dyDescent="0.3">
      <c r="A102" s="113"/>
      <c r="B102" s="113"/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H105" s="72"/>
      <c r="I105" s="72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5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5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5" customFormat="1" ht="19.5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>
        <v>2</v>
      </c>
      <c r="C176" s="5"/>
      <c r="D176" s="5"/>
      <c r="E176" s="5"/>
      <c r="F176" s="70"/>
      <c r="G176" s="5"/>
      <c r="H176" s="5"/>
      <c r="I176" s="5"/>
      <c r="J176" s="5"/>
      <c r="K176" s="5"/>
      <c r="L17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1:B9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5:I85"/>
    <mergeCell ref="A86:B86"/>
    <mergeCell ref="D86:G86"/>
    <mergeCell ref="H86:J86"/>
    <mergeCell ref="K86:L86"/>
    <mergeCell ref="A101:B101"/>
    <mergeCell ref="A102:B102"/>
    <mergeCell ref="A92:B92"/>
    <mergeCell ref="A93:B93"/>
    <mergeCell ref="A94:B94"/>
    <mergeCell ref="A96:B96"/>
    <mergeCell ref="A97:B97"/>
    <mergeCell ref="A98:B9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L156"/>
  <sheetViews>
    <sheetView view="pageBreakPreview" topLeftCell="A37" zoomScale="85" zoomScaleSheetLayoutView="85" workbookViewId="0">
      <selection activeCell="D57" sqref="D5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46058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4" si="0">(H7/1000*I7/1000)*J7</f>
        <v>0</v>
      </c>
      <c r="L7" s="26">
        <f>SUM(J7:J34)</f>
        <v>185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SUM(K7:K34)</f>
        <v>1353.287887</v>
      </c>
    </row>
    <row r="9" spans="1:12" s="27" customFormat="1" ht="19.5" customHeight="1" x14ac:dyDescent="0.3">
      <c r="A9" s="28" t="s">
        <v>1154</v>
      </c>
      <c r="B9" s="16" t="s">
        <v>1155</v>
      </c>
      <c r="C9" s="17">
        <v>5</v>
      </c>
      <c r="D9" s="18" t="s">
        <v>1156</v>
      </c>
      <c r="E9" s="81">
        <v>12</v>
      </c>
      <c r="F9" s="82">
        <v>10.68</v>
      </c>
      <c r="G9" s="34" t="s">
        <v>1157</v>
      </c>
      <c r="H9" s="83">
        <v>2438</v>
      </c>
      <c r="I9" s="29">
        <v>3353</v>
      </c>
      <c r="J9" s="84">
        <v>1</v>
      </c>
      <c r="K9" s="85">
        <f t="shared" si="0"/>
        <v>8.174614</v>
      </c>
      <c r="L9" s="86"/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86"/>
    </row>
    <row r="11" spans="1:12" s="27" customFormat="1" ht="19.5" customHeight="1" x14ac:dyDescent="0.3">
      <c r="A11" s="28" t="s">
        <v>1158</v>
      </c>
      <c r="B11" s="16" t="s">
        <v>1159</v>
      </c>
      <c r="C11" s="17">
        <v>28</v>
      </c>
      <c r="D11" s="18" t="s">
        <v>1160</v>
      </c>
      <c r="E11" s="81">
        <v>1</v>
      </c>
      <c r="F11" s="82">
        <v>2.0499999999999998</v>
      </c>
      <c r="G11" s="34"/>
      <c r="H11" s="35"/>
      <c r="I11" s="36"/>
      <c r="J11" s="37"/>
      <c r="K11" s="38">
        <f t="shared" si="0"/>
        <v>0</v>
      </c>
      <c r="L11" s="86" t="s">
        <v>1161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1162</v>
      </c>
      <c r="B13" s="16" t="s">
        <v>1163</v>
      </c>
      <c r="C13" s="17">
        <v>24</v>
      </c>
      <c r="D13" s="18" t="s">
        <v>1164</v>
      </c>
      <c r="E13" s="81">
        <v>1</v>
      </c>
      <c r="F13" s="82">
        <v>1.1200000000000001</v>
      </c>
      <c r="G13" s="34"/>
      <c r="H13" s="35"/>
      <c r="I13" s="36"/>
      <c r="J13" s="37"/>
      <c r="K13" s="38">
        <f t="shared" si="0"/>
        <v>0</v>
      </c>
      <c r="L13" s="86" t="s">
        <v>1161</v>
      </c>
    </row>
    <row r="14" spans="1:12" s="27" customFormat="1" ht="19.5" customHeight="1" x14ac:dyDescent="0.3">
      <c r="A14" s="28"/>
      <c r="B14" s="16"/>
      <c r="C14" s="17"/>
      <c r="D14" s="18"/>
      <c r="E14" s="81"/>
      <c r="F14" s="8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1166</v>
      </c>
      <c r="B15" s="16" t="s">
        <v>1167</v>
      </c>
      <c r="C15" s="17">
        <v>22</v>
      </c>
      <c r="D15" s="18" t="s">
        <v>1168</v>
      </c>
      <c r="E15" s="81">
        <v>28</v>
      </c>
      <c r="F15" s="82">
        <v>30.86</v>
      </c>
      <c r="G15" s="34" t="s">
        <v>1170</v>
      </c>
      <c r="H15" s="35">
        <v>1981</v>
      </c>
      <c r="I15" s="36">
        <v>3353</v>
      </c>
      <c r="J15" s="37">
        <v>5</v>
      </c>
      <c r="K15" s="38">
        <f t="shared" si="0"/>
        <v>33.211465000000004</v>
      </c>
      <c r="L15" s="39" t="s">
        <v>1172</v>
      </c>
    </row>
    <row r="16" spans="1:12" s="27" customFormat="1" ht="19.5" customHeight="1" x14ac:dyDescent="0.3">
      <c r="A16" s="28"/>
      <c r="B16" s="16"/>
      <c r="C16" s="17">
        <v>22</v>
      </c>
      <c r="D16" s="18" t="s">
        <v>1169</v>
      </c>
      <c r="E16" s="81">
        <v>13</v>
      </c>
      <c r="F16" s="82">
        <v>17.09</v>
      </c>
      <c r="G16" s="34" t="s">
        <v>1157</v>
      </c>
      <c r="H16" s="35">
        <v>1981</v>
      </c>
      <c r="I16" s="36">
        <v>3353</v>
      </c>
      <c r="J16" s="37">
        <v>3</v>
      </c>
      <c r="K16" s="38">
        <f t="shared" si="0"/>
        <v>19.926879</v>
      </c>
      <c r="L16" s="39" t="s">
        <v>1172</v>
      </c>
    </row>
    <row r="17" spans="1:12" s="27" customFormat="1" ht="19.5" customHeight="1" x14ac:dyDescent="0.3">
      <c r="A17" s="28"/>
      <c r="B17" s="16"/>
      <c r="C17" s="17"/>
      <c r="D17" s="18"/>
      <c r="E17" s="81"/>
      <c r="F17" s="82"/>
      <c r="G17" s="34" t="s">
        <v>1171</v>
      </c>
      <c r="H17" s="35">
        <v>1981</v>
      </c>
      <c r="I17" s="36">
        <v>3353</v>
      </c>
      <c r="J17" s="37">
        <v>8</v>
      </c>
      <c r="K17" s="38">
        <f t="shared" si="0"/>
        <v>53.138344000000004</v>
      </c>
      <c r="L17" s="39" t="s">
        <v>1172</v>
      </c>
    </row>
    <row r="18" spans="1:12" s="27" customFormat="1" ht="19.5" customHeight="1" x14ac:dyDescent="0.3">
      <c r="A18" s="28"/>
      <c r="B18" s="16"/>
      <c r="C18" s="17"/>
      <c r="D18" s="18"/>
      <c r="E18" s="81"/>
      <c r="F18" s="8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 t="s">
        <v>1173</v>
      </c>
      <c r="B19" s="16" t="s">
        <v>1167</v>
      </c>
      <c r="C19" s="17">
        <v>22</v>
      </c>
      <c r="D19" s="18" t="s">
        <v>1168</v>
      </c>
      <c r="E19" s="41">
        <v>6</v>
      </c>
      <c r="F19" s="42">
        <v>4.04</v>
      </c>
      <c r="G19" s="34" t="s">
        <v>1170</v>
      </c>
      <c r="H19" s="35">
        <v>1829</v>
      </c>
      <c r="I19" s="36">
        <v>3353</v>
      </c>
      <c r="J19" s="37">
        <v>1</v>
      </c>
      <c r="K19" s="38">
        <f t="shared" si="0"/>
        <v>6.1326369999999999</v>
      </c>
      <c r="L19" s="39"/>
    </row>
    <row r="20" spans="1:12" s="27" customFormat="1" ht="19.5" customHeight="1" x14ac:dyDescent="0.3">
      <c r="A20" s="28"/>
      <c r="B20" s="16"/>
      <c r="C20" s="17">
        <v>22</v>
      </c>
      <c r="D20" s="18" t="s">
        <v>1169</v>
      </c>
      <c r="E20" s="81">
        <v>3</v>
      </c>
      <c r="F20" s="82">
        <v>0.9</v>
      </c>
      <c r="G20" s="34" t="s">
        <v>1171</v>
      </c>
      <c r="H20" s="35">
        <v>1829</v>
      </c>
      <c r="I20" s="36">
        <v>3353</v>
      </c>
      <c r="J20" s="37">
        <v>1</v>
      </c>
      <c r="K20" s="38">
        <f t="shared" si="0"/>
        <v>6.1326369999999999</v>
      </c>
      <c r="L20" s="39" t="s">
        <v>1174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 t="s">
        <v>1186</v>
      </c>
      <c r="B22" s="16" t="s">
        <v>1142</v>
      </c>
      <c r="C22" s="17">
        <v>22</v>
      </c>
      <c r="D22" s="18" t="s">
        <v>228</v>
      </c>
      <c r="E22" s="41">
        <v>52</v>
      </c>
      <c r="F22" s="42">
        <v>62.16</v>
      </c>
      <c r="G22" s="34" t="s">
        <v>1176</v>
      </c>
      <c r="H22" s="35">
        <v>1981</v>
      </c>
      <c r="I22" s="36">
        <v>3353</v>
      </c>
      <c r="J22" s="37">
        <v>57</v>
      </c>
      <c r="K22" s="38">
        <f t="shared" si="0"/>
        <v>378.61070100000001</v>
      </c>
      <c r="L22" s="39" t="s">
        <v>1177</v>
      </c>
    </row>
    <row r="23" spans="1:12" s="27" customFormat="1" ht="19.5" customHeight="1" x14ac:dyDescent="0.3">
      <c r="A23" s="28"/>
      <c r="B23" s="16"/>
      <c r="C23" s="17">
        <v>22</v>
      </c>
      <c r="D23" s="18" t="s">
        <v>1175</v>
      </c>
      <c r="E23" s="41">
        <v>415</v>
      </c>
      <c r="F23" s="42">
        <v>348.69</v>
      </c>
      <c r="G23" s="34" t="s">
        <v>1157</v>
      </c>
      <c r="H23" s="35">
        <v>2590</v>
      </c>
      <c r="I23" s="36">
        <v>3048</v>
      </c>
      <c r="J23" s="37">
        <v>48</v>
      </c>
      <c r="K23" s="38">
        <f t="shared" si="0"/>
        <v>378.92735999999996</v>
      </c>
      <c r="L23" s="39" t="s">
        <v>1178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1179</v>
      </c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 t="s">
        <v>1187</v>
      </c>
      <c r="B26" s="16" t="s">
        <v>1142</v>
      </c>
      <c r="C26" s="17">
        <v>22</v>
      </c>
      <c r="D26" s="18" t="s">
        <v>17</v>
      </c>
      <c r="E26" s="41">
        <v>448</v>
      </c>
      <c r="F26" s="42">
        <v>376.56</v>
      </c>
      <c r="G26" s="34" t="s">
        <v>18</v>
      </c>
      <c r="H26" s="35">
        <v>2590</v>
      </c>
      <c r="I26" s="36">
        <v>3048</v>
      </c>
      <c r="J26" s="37">
        <v>51</v>
      </c>
      <c r="K26" s="38">
        <f t="shared" si="0"/>
        <v>402.61032</v>
      </c>
      <c r="L26" s="39" t="s">
        <v>1188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 t="s">
        <v>1187</v>
      </c>
      <c r="B28" s="16" t="s">
        <v>1142</v>
      </c>
      <c r="C28" s="17">
        <v>22</v>
      </c>
      <c r="D28" s="18" t="s">
        <v>17</v>
      </c>
      <c r="E28" s="41">
        <v>40</v>
      </c>
      <c r="F28" s="42">
        <v>59.32</v>
      </c>
      <c r="G28" s="34" t="s">
        <v>19</v>
      </c>
      <c r="H28" s="35">
        <v>1981</v>
      </c>
      <c r="I28" s="36">
        <v>3353</v>
      </c>
      <c r="J28" s="37">
        <v>10</v>
      </c>
      <c r="K28" s="38">
        <f t="shared" si="0"/>
        <v>66.422930000000008</v>
      </c>
      <c r="L28" s="39" t="s">
        <v>1189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38">
        <f t="shared" si="0"/>
        <v>0</v>
      </c>
      <c r="L34" s="39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1180</v>
      </c>
      <c r="B36" s="76" t="s">
        <v>1155</v>
      </c>
      <c r="C36" s="77">
        <v>22</v>
      </c>
      <c r="D36" s="47" t="s">
        <v>1185</v>
      </c>
      <c r="E36" s="48">
        <v>178</v>
      </c>
      <c r="F36" s="49">
        <v>92.56</v>
      </c>
      <c r="G36" s="50" t="s">
        <v>1170</v>
      </c>
      <c r="H36" s="51">
        <v>1981</v>
      </c>
      <c r="I36" s="45">
        <v>3353</v>
      </c>
      <c r="J36" s="52">
        <v>15</v>
      </c>
      <c r="K36" s="53">
        <f t="shared" si="0"/>
        <v>99.634395000000012</v>
      </c>
      <c r="L36" s="54" t="s">
        <v>1181</v>
      </c>
    </row>
    <row r="37" spans="1:12" s="55" customFormat="1" ht="19.5" customHeight="1" x14ac:dyDescent="0.3">
      <c r="A37" s="44"/>
      <c r="B37" s="76"/>
      <c r="C37" s="77">
        <v>22</v>
      </c>
      <c r="D37" s="47" t="s">
        <v>1175</v>
      </c>
      <c r="E37" s="48">
        <v>178</v>
      </c>
      <c r="F37" s="49">
        <v>199.36</v>
      </c>
      <c r="G37" s="50" t="s">
        <v>1157</v>
      </c>
      <c r="H37" s="51">
        <v>1829</v>
      </c>
      <c r="I37" s="45">
        <v>3353</v>
      </c>
      <c r="J37" s="52">
        <v>35</v>
      </c>
      <c r="K37" s="53">
        <f t="shared" si="0"/>
        <v>214.64229499999999</v>
      </c>
      <c r="L37" s="54"/>
    </row>
    <row r="38" spans="1:12" s="55" customFormat="1" ht="19.5" customHeight="1" x14ac:dyDescent="0.3">
      <c r="A38" s="44"/>
      <c r="B38" s="76"/>
      <c r="C38" s="77"/>
      <c r="D38" s="47"/>
      <c r="E38" s="48"/>
      <c r="F38" s="49"/>
      <c r="G38" s="50" t="s">
        <v>1157</v>
      </c>
      <c r="H38" s="51">
        <v>1981</v>
      </c>
      <c r="I38" s="45">
        <v>3353</v>
      </c>
      <c r="J38" s="52">
        <v>1</v>
      </c>
      <c r="K38" s="53">
        <f t="shared" si="0"/>
        <v>6.6422930000000004</v>
      </c>
      <c r="L38" s="54"/>
    </row>
    <row r="39" spans="1:12" s="55" customFormat="1" ht="19.5" customHeight="1" x14ac:dyDescent="0.3">
      <c r="A39" s="44"/>
      <c r="B39" s="76"/>
      <c r="C39" s="77"/>
      <c r="D39" s="47"/>
      <c r="E39" s="48"/>
      <c r="F39" s="49"/>
      <c r="G39" s="50" t="s">
        <v>1165</v>
      </c>
      <c r="H39" s="51">
        <v>1829</v>
      </c>
      <c r="I39" s="45">
        <v>3353</v>
      </c>
      <c r="J39" s="52">
        <v>34</v>
      </c>
      <c r="K39" s="53">
        <f t="shared" si="0"/>
        <v>208.509658</v>
      </c>
      <c r="L39" s="54"/>
    </row>
    <row r="40" spans="1:12" s="55" customFormat="1" ht="19.5" customHeight="1" x14ac:dyDescent="0.3">
      <c r="A40" s="44"/>
      <c r="B40" s="76"/>
      <c r="C40" s="77"/>
      <c r="D40" s="47"/>
      <c r="E40" s="48"/>
      <c r="F40" s="49"/>
      <c r="G40" s="50" t="s">
        <v>1165</v>
      </c>
      <c r="H40" s="51">
        <v>1829</v>
      </c>
      <c r="I40" s="45">
        <v>3048</v>
      </c>
      <c r="J40" s="52">
        <v>2</v>
      </c>
      <c r="K40" s="53">
        <f t="shared" si="0"/>
        <v>11.149583999999999</v>
      </c>
      <c r="L40" s="54"/>
    </row>
    <row r="41" spans="1:12" s="55" customFormat="1" ht="19.5" customHeight="1" x14ac:dyDescent="0.3">
      <c r="A41" s="44"/>
      <c r="B41" s="76"/>
      <c r="C41" s="77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1182</v>
      </c>
      <c r="B42" s="76" t="s">
        <v>204</v>
      </c>
      <c r="C42" s="77">
        <v>26</v>
      </c>
      <c r="D42" s="47" t="s">
        <v>1115</v>
      </c>
      <c r="E42" s="48">
        <v>4</v>
      </c>
      <c r="F42" s="49">
        <v>24.4</v>
      </c>
      <c r="G42" s="50" t="s">
        <v>1183</v>
      </c>
      <c r="H42" s="51">
        <v>2134</v>
      </c>
      <c r="I42" s="45">
        <v>3353</v>
      </c>
      <c r="J42" s="52">
        <v>5</v>
      </c>
      <c r="K42" s="53">
        <f t="shared" si="0"/>
        <v>35.776510000000002</v>
      </c>
      <c r="L42" s="54" t="s">
        <v>1184</v>
      </c>
    </row>
    <row r="43" spans="1:12" s="55" customFormat="1" ht="19.5" customHeight="1" x14ac:dyDescent="0.3">
      <c r="A43" s="44"/>
      <c r="B43" s="76"/>
      <c r="C43" s="77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1179</v>
      </c>
      <c r="B44" s="76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1190</v>
      </c>
      <c r="B45" s="76" t="s">
        <v>1191</v>
      </c>
      <c r="C45" s="77">
        <v>43</v>
      </c>
      <c r="D45" s="47" t="s">
        <v>1192</v>
      </c>
      <c r="E45" s="48">
        <v>5</v>
      </c>
      <c r="F45" s="49">
        <v>4.7</v>
      </c>
      <c r="G45" s="50" t="s">
        <v>1193</v>
      </c>
      <c r="H45" s="51">
        <v>2134</v>
      </c>
      <c r="I45" s="45">
        <v>3048</v>
      </c>
      <c r="J45" s="52">
        <v>2</v>
      </c>
      <c r="K45" s="53">
        <f t="shared" si="0"/>
        <v>13.008863999999999</v>
      </c>
      <c r="L45" s="54"/>
    </row>
    <row r="46" spans="1:12" s="55" customFormat="1" ht="19.5" customHeight="1" x14ac:dyDescent="0.3">
      <c r="A46" s="44"/>
      <c r="B46" s="76"/>
      <c r="C46" s="77"/>
      <c r="D46" s="47"/>
      <c r="E46" s="48"/>
      <c r="F46" s="49"/>
      <c r="G46" s="50" t="s">
        <v>1194</v>
      </c>
      <c r="H46" s="51">
        <v>1981</v>
      </c>
      <c r="I46" s="45">
        <v>3353</v>
      </c>
      <c r="J46" s="52">
        <v>1</v>
      </c>
      <c r="K46" s="53">
        <f t="shared" si="0"/>
        <v>6.6422930000000004</v>
      </c>
      <c r="L46" s="54"/>
    </row>
    <row r="47" spans="1:12" s="55" customFormat="1" ht="19.5" customHeight="1" x14ac:dyDescent="0.3">
      <c r="A47" s="44"/>
      <c r="B47" s="76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1195</v>
      </c>
      <c r="B48" s="76" t="s">
        <v>1196</v>
      </c>
      <c r="C48" s="77">
        <v>24</v>
      </c>
      <c r="D48" s="47" t="s">
        <v>1197</v>
      </c>
      <c r="E48" s="48">
        <v>20</v>
      </c>
      <c r="F48" s="49">
        <v>24.15</v>
      </c>
      <c r="G48" s="50" t="s">
        <v>1198</v>
      </c>
      <c r="H48" s="51">
        <v>1981</v>
      </c>
      <c r="I48" s="45">
        <v>3353</v>
      </c>
      <c r="J48" s="52">
        <v>5</v>
      </c>
      <c r="K48" s="53">
        <f t="shared" si="0"/>
        <v>33.211465000000004</v>
      </c>
      <c r="L48" s="54"/>
    </row>
    <row r="49" spans="1:12" s="55" customFormat="1" ht="19.5" customHeight="1" x14ac:dyDescent="0.3">
      <c r="A49" s="44"/>
      <c r="B49" s="76"/>
      <c r="C49" s="77"/>
      <c r="D49" s="47"/>
      <c r="E49" s="48"/>
      <c r="F49" s="49"/>
      <c r="G49" s="50" t="s">
        <v>1199</v>
      </c>
      <c r="H49" s="51">
        <v>1981</v>
      </c>
      <c r="I49" s="45">
        <v>3353</v>
      </c>
      <c r="J49" s="52">
        <v>4</v>
      </c>
      <c r="K49" s="53">
        <f t="shared" si="0"/>
        <v>26.569172000000002</v>
      </c>
      <c r="L49" s="54"/>
    </row>
    <row r="50" spans="1:12" s="55" customFormat="1" ht="19.5" customHeight="1" x14ac:dyDescent="0.3">
      <c r="A50" s="44"/>
      <c r="B50" s="76"/>
      <c r="C50" s="77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1200</v>
      </c>
      <c r="B51" s="76" t="s">
        <v>1191</v>
      </c>
      <c r="C51" s="77">
        <v>43</v>
      </c>
      <c r="D51" s="47" t="s">
        <v>1192</v>
      </c>
      <c r="E51" s="48">
        <v>6</v>
      </c>
      <c r="F51" s="49">
        <v>7.59</v>
      </c>
      <c r="G51" s="50" t="s">
        <v>1193</v>
      </c>
      <c r="H51" s="51">
        <v>1981</v>
      </c>
      <c r="I51" s="45">
        <v>3353</v>
      </c>
      <c r="J51" s="52">
        <v>3</v>
      </c>
      <c r="K51" s="53">
        <f t="shared" si="0"/>
        <v>19.926879</v>
      </c>
      <c r="L51" s="54"/>
    </row>
    <row r="52" spans="1:12" s="55" customFormat="1" ht="19.5" customHeight="1" x14ac:dyDescent="0.3">
      <c r="A52" s="44"/>
      <c r="B52" s="76"/>
      <c r="C52" s="77"/>
      <c r="D52" s="47"/>
      <c r="E52" s="48"/>
      <c r="F52" s="49"/>
      <c r="G52" s="50" t="s">
        <v>1194</v>
      </c>
      <c r="H52" s="51">
        <v>1829</v>
      </c>
      <c r="I52" s="45">
        <v>3353</v>
      </c>
      <c r="J52" s="52">
        <v>1</v>
      </c>
      <c r="K52" s="53">
        <f t="shared" si="0"/>
        <v>6.1326369999999999</v>
      </c>
      <c r="L52" s="54"/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1201</v>
      </c>
      <c r="B54" s="76" t="s">
        <v>1202</v>
      </c>
      <c r="C54" s="77">
        <v>24</v>
      </c>
      <c r="D54" s="47" t="s">
        <v>1203</v>
      </c>
      <c r="E54" s="48">
        <v>15</v>
      </c>
      <c r="F54" s="49">
        <v>8.7100000000000009</v>
      </c>
      <c r="G54" s="50" t="s">
        <v>1193</v>
      </c>
      <c r="H54" s="51">
        <v>1981</v>
      </c>
      <c r="I54" s="45">
        <v>3353</v>
      </c>
      <c r="J54" s="52">
        <v>3</v>
      </c>
      <c r="K54" s="53">
        <f t="shared" si="0"/>
        <v>19.926879</v>
      </c>
      <c r="L54" s="54"/>
    </row>
    <row r="55" spans="1:12" s="55" customFormat="1" ht="19.5" customHeight="1" x14ac:dyDescent="0.3">
      <c r="A55" s="44"/>
      <c r="B55" s="76"/>
      <c r="C55" s="77">
        <v>24</v>
      </c>
      <c r="D55" s="47" t="s">
        <v>1204</v>
      </c>
      <c r="E55" s="48">
        <v>8</v>
      </c>
      <c r="F55" s="49">
        <v>5.21</v>
      </c>
      <c r="G55" s="50" t="s">
        <v>1205</v>
      </c>
      <c r="H55" s="51">
        <v>2134</v>
      </c>
      <c r="I55" s="45">
        <v>3353</v>
      </c>
      <c r="J55" s="52">
        <v>2</v>
      </c>
      <c r="K55" s="53">
        <f t="shared" si="0"/>
        <v>14.310604</v>
      </c>
      <c r="L55" s="54"/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1206</v>
      </c>
      <c r="B57" s="76" t="s">
        <v>1207</v>
      </c>
      <c r="C57" s="77">
        <v>28</v>
      </c>
      <c r="D57" s="47" t="s">
        <v>1208</v>
      </c>
      <c r="E57" s="48">
        <v>21</v>
      </c>
      <c r="F57" s="49">
        <v>27.33</v>
      </c>
      <c r="G57" s="50" t="s">
        <v>1210</v>
      </c>
      <c r="H57" s="51">
        <v>2438</v>
      </c>
      <c r="I57" s="45">
        <v>3353</v>
      </c>
      <c r="J57" s="52">
        <v>6</v>
      </c>
      <c r="K57" s="53">
        <f t="shared" si="0"/>
        <v>49.047684000000004</v>
      </c>
      <c r="L57" s="54" t="s">
        <v>1211</v>
      </c>
    </row>
    <row r="58" spans="1:12" s="55" customFormat="1" ht="19.5" customHeight="1" x14ac:dyDescent="0.3">
      <c r="A58" s="44"/>
      <c r="B58" s="76"/>
      <c r="C58" s="77">
        <v>28</v>
      </c>
      <c r="D58" s="47" t="s">
        <v>1209</v>
      </c>
      <c r="E58" s="48">
        <v>5</v>
      </c>
      <c r="F58" s="49">
        <v>8.4700000000000006</v>
      </c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77">
        <v>28</v>
      </c>
      <c r="D59" s="47" t="s">
        <v>245</v>
      </c>
      <c r="E59" s="48">
        <v>2</v>
      </c>
      <c r="F59" s="49">
        <v>2.12</v>
      </c>
      <c r="G59" s="50"/>
      <c r="H59" s="51"/>
      <c r="I59" s="45"/>
      <c r="J59" s="52"/>
      <c r="K59" s="53">
        <f t="shared" si="0"/>
        <v>0</v>
      </c>
      <c r="L59" s="54" t="s">
        <v>1385</v>
      </c>
    </row>
    <row r="60" spans="1:12" s="55" customFormat="1" ht="19.5" customHeight="1" x14ac:dyDescent="0.3">
      <c r="A60" s="44"/>
      <c r="B60" s="45"/>
      <c r="C60" s="77"/>
      <c r="D60" s="78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9" customFormat="1" ht="20.100000000000001" customHeight="1" x14ac:dyDescent="0.3">
      <c r="A63" s="44"/>
      <c r="B63" s="45"/>
      <c r="C63" s="46"/>
      <c r="D63" s="47"/>
      <c r="E63" s="56"/>
      <c r="F63" s="57"/>
      <c r="G63" s="50"/>
      <c r="H63" s="51"/>
      <c r="I63" s="45"/>
      <c r="J63" s="52"/>
      <c r="K63" s="53">
        <f t="shared" si="0"/>
        <v>0</v>
      </c>
      <c r="L63" s="58">
        <f>SUM(J35:J64)</f>
        <v>119</v>
      </c>
    </row>
    <row r="64" spans="1:12" s="59" customFormat="1" ht="20.100000000000001" customHeight="1" x14ac:dyDescent="0.3">
      <c r="A64" s="44"/>
      <c r="B64" s="45"/>
      <c r="C64" s="46"/>
      <c r="D64" s="47"/>
      <c r="E64" s="60"/>
      <c r="F64" s="61"/>
      <c r="G64" s="62"/>
      <c r="H64" s="51"/>
      <c r="I64" s="45"/>
      <c r="J64" s="63"/>
      <c r="K64" s="53">
        <f t="shared" si="0"/>
        <v>0</v>
      </c>
      <c r="L64" s="64">
        <f>SUM(K35:K64)</f>
        <v>765.131212</v>
      </c>
    </row>
    <row r="65" spans="1:12" s="59" customFormat="1" ht="20.100000000000001" customHeight="1" thickBot="1" x14ac:dyDescent="0.35">
      <c r="A65" s="114"/>
      <c r="B65" s="115"/>
      <c r="C65" s="115"/>
      <c r="D65" s="115"/>
      <c r="E65" s="115"/>
      <c r="F65" s="115"/>
      <c r="G65" s="115"/>
      <c r="H65" s="115"/>
      <c r="I65" s="115"/>
      <c r="J65" s="65">
        <f>SUM(J7:J64)</f>
        <v>304</v>
      </c>
      <c r="K65" s="66">
        <f>SUM(K7:K64)</f>
        <v>2118.4190990000002</v>
      </c>
      <c r="L65" s="67"/>
    </row>
    <row r="66" spans="1:12" s="59" customFormat="1" ht="20.100000000000001" customHeight="1" thickTop="1" thickBot="1" x14ac:dyDescent="0.35">
      <c r="A66" s="116" t="s">
        <v>52</v>
      </c>
      <c r="B66" s="117"/>
      <c r="C66" s="68"/>
      <c r="D66" s="118">
        <f>J65</f>
        <v>304</v>
      </c>
      <c r="E66" s="119"/>
      <c r="F66" s="119"/>
      <c r="G66" s="120"/>
      <c r="H66" s="121"/>
      <c r="I66" s="121"/>
      <c r="J66" s="122"/>
      <c r="K66" s="119"/>
      <c r="L66" s="123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71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72"/>
      <c r="F72" s="5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5"/>
      <c r="G73" s="73"/>
      <c r="H73" s="5"/>
      <c r="I73" s="74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72"/>
      <c r="I77" s="72"/>
      <c r="J77" s="5"/>
      <c r="K77" s="5"/>
      <c r="L77" s="5"/>
    </row>
    <row r="78" spans="1:12" ht="20.100000000000001" customHeight="1" x14ac:dyDescent="0.3">
      <c r="A78" s="113"/>
      <c r="B78" s="113"/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H85" s="72"/>
      <c r="I85" s="72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J86" s="5"/>
      <c r="K86" s="5"/>
      <c r="L86" s="5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5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5" customFormat="1" ht="19.5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2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ht="19.5" customHeight="1" x14ac:dyDescent="0.3"/>
    <row r="94" spans="1:12" ht="19.5" customHeight="1" x14ac:dyDescent="0.3"/>
    <row r="95" spans="1:12" ht="19.5" customHeight="1" x14ac:dyDescent="0.3"/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>
        <v>2</v>
      </c>
      <c r="C156" s="5"/>
      <c r="D156" s="5"/>
      <c r="E156" s="5"/>
      <c r="F156" s="70"/>
      <c r="G156" s="5"/>
      <c r="H156" s="5"/>
      <c r="I156" s="5"/>
      <c r="J156" s="5"/>
      <c r="K156" s="5"/>
      <c r="L156" s="5"/>
    </row>
  </sheetData>
  <mergeCells count="30">
    <mergeCell ref="A81:B81"/>
    <mergeCell ref="A82:B82"/>
    <mergeCell ref="A72:B72"/>
    <mergeCell ref="A73:B73"/>
    <mergeCell ref="A74:B74"/>
    <mergeCell ref="A76:B76"/>
    <mergeCell ref="A77:B77"/>
    <mergeCell ref="A78:B78"/>
    <mergeCell ref="A71:B7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5:I65"/>
    <mergeCell ref="A66:B66"/>
    <mergeCell ref="D66:G66"/>
    <mergeCell ref="H66:J66"/>
    <mergeCell ref="K66:L66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L171"/>
  <sheetViews>
    <sheetView view="pageBreakPreview" topLeftCell="A52" zoomScale="85" zoomScaleSheetLayoutView="85" workbookViewId="0">
      <selection activeCell="A53" sqref="A5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46057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9" si="0">(H7/1000*I7/1000)*J7</f>
        <v>0</v>
      </c>
      <c r="L7" s="26">
        <f>SUM(J7:J49)</f>
        <v>85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SUM(K7:K49)</f>
        <v>628.82004599999982</v>
      </c>
    </row>
    <row r="9" spans="1:12" s="27" customFormat="1" ht="19.5" customHeight="1" x14ac:dyDescent="0.3">
      <c r="A9" s="28" t="s">
        <v>1105</v>
      </c>
      <c r="B9" s="16" t="s">
        <v>68</v>
      </c>
      <c r="C9" s="17">
        <v>22</v>
      </c>
      <c r="D9" s="18" t="s">
        <v>17</v>
      </c>
      <c r="E9" s="81">
        <v>2</v>
      </c>
      <c r="F9" s="82">
        <v>4.7300000000000004</v>
      </c>
      <c r="G9" s="34" t="s">
        <v>49</v>
      </c>
      <c r="H9" s="83">
        <v>1981</v>
      </c>
      <c r="I9" s="29">
        <v>3353</v>
      </c>
      <c r="J9" s="84">
        <v>2</v>
      </c>
      <c r="K9" s="85">
        <f t="shared" si="0"/>
        <v>13.284586000000001</v>
      </c>
      <c r="L9" s="86" t="s">
        <v>1106</v>
      </c>
    </row>
    <row r="10" spans="1:12" s="27" customFormat="1" ht="19.5" customHeight="1" x14ac:dyDescent="0.3">
      <c r="A10" s="28"/>
      <c r="B10" s="16"/>
      <c r="C10" s="17">
        <v>22</v>
      </c>
      <c r="D10" s="18" t="s">
        <v>45</v>
      </c>
      <c r="E10" s="81">
        <v>5</v>
      </c>
      <c r="F10" s="82">
        <v>10.24</v>
      </c>
      <c r="G10" s="34" t="s">
        <v>19</v>
      </c>
      <c r="H10" s="35">
        <v>1981</v>
      </c>
      <c r="I10" s="36">
        <v>3353</v>
      </c>
      <c r="J10" s="37">
        <v>3</v>
      </c>
      <c r="K10" s="38">
        <f t="shared" si="0"/>
        <v>19.926879</v>
      </c>
      <c r="L10" s="86" t="s">
        <v>1106</v>
      </c>
    </row>
    <row r="11" spans="1:12" s="27" customFormat="1" ht="19.5" customHeight="1" x14ac:dyDescent="0.3">
      <c r="A11" s="28"/>
      <c r="B11" s="16"/>
      <c r="C11" s="17">
        <v>22</v>
      </c>
      <c r="D11" s="18" t="s">
        <v>45</v>
      </c>
      <c r="E11" s="81">
        <v>1</v>
      </c>
      <c r="F11" s="82">
        <v>1</v>
      </c>
      <c r="G11" s="34" t="s">
        <v>18</v>
      </c>
      <c r="H11" s="35">
        <v>2590</v>
      </c>
      <c r="I11" s="36">
        <v>3048</v>
      </c>
      <c r="J11" s="37">
        <v>20</v>
      </c>
      <c r="K11" s="38">
        <f t="shared" si="0"/>
        <v>157.88639999999998</v>
      </c>
      <c r="L11" s="86" t="s">
        <v>1106</v>
      </c>
    </row>
    <row r="12" spans="1:12" s="27" customFormat="1" ht="19.5" customHeight="1" x14ac:dyDescent="0.3">
      <c r="A12" s="28" t="s">
        <v>1093</v>
      </c>
      <c r="B12" s="16" t="s">
        <v>21</v>
      </c>
      <c r="C12" s="17">
        <v>22</v>
      </c>
      <c r="D12" s="18" t="s">
        <v>17</v>
      </c>
      <c r="E12" s="41">
        <v>145</v>
      </c>
      <c r="F12" s="42">
        <v>138.05000000000001</v>
      </c>
      <c r="G12" s="34"/>
      <c r="H12" s="35"/>
      <c r="I12" s="36"/>
      <c r="J12" s="37"/>
      <c r="K12" s="38">
        <f t="shared" si="0"/>
        <v>0</v>
      </c>
      <c r="L12" s="39" t="s">
        <v>1107</v>
      </c>
    </row>
    <row r="13" spans="1:12" s="27" customFormat="1" ht="19.5" customHeight="1" x14ac:dyDescent="0.3">
      <c r="A13" s="28"/>
      <c r="B13" s="16"/>
      <c r="C13" s="17"/>
      <c r="D13" s="18"/>
      <c r="E13" s="81"/>
      <c r="F13" s="8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1108</v>
      </c>
      <c r="B14" s="16" t="s">
        <v>102</v>
      </c>
      <c r="C14" s="17">
        <v>24</v>
      </c>
      <c r="D14" s="18" t="s">
        <v>55</v>
      </c>
      <c r="E14" s="81">
        <v>36</v>
      </c>
      <c r="F14" s="82">
        <v>31.81</v>
      </c>
      <c r="G14" s="34" t="s">
        <v>1110</v>
      </c>
      <c r="H14" s="35">
        <v>2438</v>
      </c>
      <c r="I14" s="36">
        <v>3353</v>
      </c>
      <c r="J14" s="37">
        <v>4</v>
      </c>
      <c r="K14" s="38">
        <f t="shared" si="0"/>
        <v>32.698456</v>
      </c>
      <c r="L14" s="39" t="s">
        <v>106</v>
      </c>
    </row>
    <row r="15" spans="1:12" s="27" customFormat="1" ht="19.5" customHeight="1" x14ac:dyDescent="0.3">
      <c r="A15" s="28"/>
      <c r="B15" s="16"/>
      <c r="C15" s="17"/>
      <c r="D15" s="18"/>
      <c r="E15" s="81"/>
      <c r="F15" s="8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1108</v>
      </c>
      <c r="B16" s="16" t="s">
        <v>102</v>
      </c>
      <c r="C16" s="17">
        <v>24</v>
      </c>
      <c r="D16" s="18" t="s">
        <v>55</v>
      </c>
      <c r="E16" s="81">
        <v>5</v>
      </c>
      <c r="F16" s="82">
        <v>6.91</v>
      </c>
      <c r="G16" s="34" t="s">
        <v>18</v>
      </c>
      <c r="H16" s="35">
        <v>2438</v>
      </c>
      <c r="I16" s="36">
        <v>3353</v>
      </c>
      <c r="J16" s="37">
        <v>1</v>
      </c>
      <c r="K16" s="38">
        <f t="shared" si="0"/>
        <v>8.174614</v>
      </c>
      <c r="L16" s="39" t="s">
        <v>1111</v>
      </c>
    </row>
    <row r="17" spans="1:12" s="27" customFormat="1" ht="19.5" customHeight="1" x14ac:dyDescent="0.3">
      <c r="A17" s="28"/>
      <c r="B17" s="16"/>
      <c r="C17" s="17"/>
      <c r="D17" s="18"/>
      <c r="E17" s="81"/>
      <c r="F17" s="8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1109</v>
      </c>
      <c r="B18" s="16" t="s">
        <v>102</v>
      </c>
      <c r="C18" s="17">
        <v>24</v>
      </c>
      <c r="D18" s="18" t="s">
        <v>55</v>
      </c>
      <c r="E18" s="81">
        <v>46</v>
      </c>
      <c r="F18" s="82">
        <v>29.24</v>
      </c>
      <c r="G18" s="34" t="s">
        <v>1110</v>
      </c>
      <c r="H18" s="35">
        <v>2438</v>
      </c>
      <c r="I18" s="36">
        <v>3353</v>
      </c>
      <c r="J18" s="37">
        <v>4</v>
      </c>
      <c r="K18" s="38">
        <f t="shared" si="0"/>
        <v>32.698456</v>
      </c>
      <c r="L18" s="39" t="s">
        <v>106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1112</v>
      </c>
      <c r="B20" s="16" t="s">
        <v>102</v>
      </c>
      <c r="C20" s="17">
        <v>24</v>
      </c>
      <c r="D20" s="18" t="s">
        <v>55</v>
      </c>
      <c r="E20" s="81">
        <v>34</v>
      </c>
      <c r="F20" s="82">
        <v>34.25</v>
      </c>
      <c r="G20" s="34" t="s">
        <v>1110</v>
      </c>
      <c r="H20" s="35">
        <v>2438</v>
      </c>
      <c r="I20" s="36">
        <v>3353</v>
      </c>
      <c r="J20" s="37">
        <v>4</v>
      </c>
      <c r="K20" s="38">
        <f t="shared" si="0"/>
        <v>32.698456</v>
      </c>
      <c r="L20" s="39" t="s">
        <v>106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 t="s">
        <v>1113</v>
      </c>
      <c r="B22" s="16" t="s">
        <v>102</v>
      </c>
      <c r="C22" s="17">
        <v>24</v>
      </c>
      <c r="D22" s="18" t="s">
        <v>55</v>
      </c>
      <c r="E22" s="41">
        <v>55</v>
      </c>
      <c r="F22" s="42">
        <v>60.77</v>
      </c>
      <c r="G22" s="34" t="s">
        <v>1110</v>
      </c>
      <c r="H22" s="35">
        <v>2438</v>
      </c>
      <c r="I22" s="36">
        <v>3353</v>
      </c>
      <c r="J22" s="37">
        <v>9</v>
      </c>
      <c r="K22" s="38">
        <f t="shared" si="0"/>
        <v>73.571526000000006</v>
      </c>
      <c r="L22" s="39" t="s">
        <v>106</v>
      </c>
    </row>
    <row r="23" spans="1:12" s="27" customFormat="1" ht="19.5" customHeight="1" x14ac:dyDescent="0.3">
      <c r="A23" s="28"/>
      <c r="B23" s="16"/>
      <c r="C23" s="17">
        <v>24</v>
      </c>
      <c r="D23" s="18" t="s">
        <v>1114</v>
      </c>
      <c r="E23" s="41">
        <v>3</v>
      </c>
      <c r="F23" s="42">
        <v>5.19</v>
      </c>
      <c r="G23" s="34" t="s">
        <v>336</v>
      </c>
      <c r="H23" s="35">
        <v>2438</v>
      </c>
      <c r="I23" s="36">
        <v>3353</v>
      </c>
      <c r="J23" s="37">
        <v>1</v>
      </c>
      <c r="K23" s="38">
        <f t="shared" si="0"/>
        <v>8.174614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18</v>
      </c>
      <c r="H24" s="35">
        <v>2438</v>
      </c>
      <c r="I24" s="36">
        <v>3048</v>
      </c>
      <c r="J24" s="37">
        <v>1</v>
      </c>
      <c r="K24" s="38">
        <f t="shared" si="0"/>
        <v>7.4310240000000007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 t="s">
        <v>57</v>
      </c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 t="s">
        <v>1117</v>
      </c>
      <c r="B27" s="16" t="s">
        <v>1118</v>
      </c>
      <c r="C27" s="17">
        <v>22</v>
      </c>
      <c r="D27" s="18" t="s">
        <v>1119</v>
      </c>
      <c r="E27" s="41">
        <v>6</v>
      </c>
      <c r="F27" s="42">
        <v>2.66</v>
      </c>
      <c r="G27" s="34" t="s">
        <v>1120</v>
      </c>
      <c r="H27" s="35">
        <v>1829</v>
      </c>
      <c r="I27" s="36">
        <v>3353</v>
      </c>
      <c r="J27" s="37">
        <v>1</v>
      </c>
      <c r="K27" s="38">
        <f t="shared" si="0"/>
        <v>6.1326369999999999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 t="s">
        <v>19</v>
      </c>
      <c r="H28" s="35"/>
      <c r="I28" s="36"/>
      <c r="J28" s="37"/>
      <c r="K28" s="38">
        <f t="shared" si="0"/>
        <v>0</v>
      </c>
      <c r="L28" s="39" t="s">
        <v>1121</v>
      </c>
    </row>
    <row r="29" spans="1:12" s="27" customFormat="1" ht="19.5" customHeight="1" x14ac:dyDescent="0.3">
      <c r="A29" s="28"/>
      <c r="B29" s="16"/>
      <c r="C29" s="17">
        <v>22</v>
      </c>
      <c r="D29" s="18" t="s">
        <v>1122</v>
      </c>
      <c r="E29" s="41">
        <v>9</v>
      </c>
      <c r="F29" s="42">
        <v>10.09</v>
      </c>
      <c r="G29" s="34" t="s">
        <v>18</v>
      </c>
      <c r="H29" s="35">
        <v>1829</v>
      </c>
      <c r="I29" s="36">
        <v>3353</v>
      </c>
      <c r="J29" s="37">
        <v>2</v>
      </c>
      <c r="K29" s="38">
        <f t="shared" si="0"/>
        <v>12.265274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 t="s">
        <v>19</v>
      </c>
      <c r="H30" s="35">
        <v>1829</v>
      </c>
      <c r="I30" s="36">
        <v>3353</v>
      </c>
      <c r="J30" s="37">
        <v>2</v>
      </c>
      <c r="K30" s="38">
        <f t="shared" si="0"/>
        <v>12.265274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 t="s">
        <v>1123</v>
      </c>
      <c r="B32" s="16" t="s">
        <v>1124</v>
      </c>
      <c r="C32" s="17">
        <v>22</v>
      </c>
      <c r="D32" s="18" t="s">
        <v>1125</v>
      </c>
      <c r="E32" s="41">
        <v>4</v>
      </c>
      <c r="F32" s="42">
        <v>5.08</v>
      </c>
      <c r="G32" s="34" t="s">
        <v>1120</v>
      </c>
      <c r="H32" s="35">
        <v>1981</v>
      </c>
      <c r="I32" s="36">
        <v>3353</v>
      </c>
      <c r="J32" s="37">
        <v>1</v>
      </c>
      <c r="K32" s="38">
        <f t="shared" si="0"/>
        <v>6.6422930000000004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 t="s">
        <v>19</v>
      </c>
      <c r="H33" s="35">
        <v>1981</v>
      </c>
      <c r="I33" s="36">
        <v>3353</v>
      </c>
      <c r="J33" s="37">
        <v>1</v>
      </c>
      <c r="K33" s="38">
        <f t="shared" si="0"/>
        <v>6.6422930000000004</v>
      </c>
      <c r="L33" s="39"/>
    </row>
    <row r="34" spans="1:12" s="27" customFormat="1" ht="19.5" customHeight="1" x14ac:dyDescent="0.3">
      <c r="A34" s="28"/>
      <c r="B34" s="16"/>
      <c r="C34" s="17">
        <v>22</v>
      </c>
      <c r="D34" s="18" t="s">
        <v>1122</v>
      </c>
      <c r="E34" s="41">
        <v>7</v>
      </c>
      <c r="F34" s="42">
        <v>13.65</v>
      </c>
      <c r="G34" s="34" t="s">
        <v>18</v>
      </c>
      <c r="H34" s="35">
        <v>1829</v>
      </c>
      <c r="I34" s="36">
        <v>3353</v>
      </c>
      <c r="J34" s="37">
        <v>2</v>
      </c>
      <c r="K34" s="38">
        <f t="shared" ref="K34:K35" si="1">(H34/1000*I34/1000)*J34</f>
        <v>12.265274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 t="s">
        <v>19</v>
      </c>
      <c r="H35" s="35">
        <v>1829</v>
      </c>
      <c r="I35" s="36">
        <v>3353</v>
      </c>
      <c r="J35" s="37">
        <v>2</v>
      </c>
      <c r="K35" s="38">
        <f t="shared" si="1"/>
        <v>12.265274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 t="s">
        <v>1126</v>
      </c>
      <c r="B37" s="16" t="s">
        <v>1127</v>
      </c>
      <c r="C37" s="17">
        <v>22</v>
      </c>
      <c r="D37" s="18" t="s">
        <v>1128</v>
      </c>
      <c r="E37" s="41">
        <v>6</v>
      </c>
      <c r="F37" s="42">
        <v>9.14</v>
      </c>
      <c r="G37" s="34" t="s">
        <v>1132</v>
      </c>
      <c r="H37" s="35">
        <v>2438</v>
      </c>
      <c r="I37" s="36">
        <v>3048</v>
      </c>
      <c r="J37" s="37">
        <v>2</v>
      </c>
      <c r="K37" s="38">
        <f t="shared" si="0"/>
        <v>14.862048000000001</v>
      </c>
      <c r="L37" s="39" t="s">
        <v>1133</v>
      </c>
    </row>
    <row r="38" spans="1:12" s="27" customFormat="1" ht="19.5" customHeight="1" x14ac:dyDescent="0.3">
      <c r="A38" s="28"/>
      <c r="B38" s="16"/>
      <c r="C38" s="17">
        <v>25.76</v>
      </c>
      <c r="D38" s="18" t="s">
        <v>1130</v>
      </c>
      <c r="E38" s="41">
        <v>4</v>
      </c>
      <c r="F38" s="42">
        <v>11.82</v>
      </c>
      <c r="G38" s="34" t="s">
        <v>1134</v>
      </c>
      <c r="H38" s="35">
        <v>1981</v>
      </c>
      <c r="I38" s="36">
        <v>3353</v>
      </c>
      <c r="J38" s="37">
        <v>2</v>
      </c>
      <c r="K38" s="38">
        <f t="shared" si="0"/>
        <v>13.284586000000001</v>
      </c>
      <c r="L38" s="39" t="s">
        <v>1135</v>
      </c>
    </row>
    <row r="39" spans="1:12" s="27" customFormat="1" ht="19.5" customHeight="1" x14ac:dyDescent="0.3">
      <c r="A39" s="28"/>
      <c r="B39" s="16"/>
      <c r="C39" s="17">
        <v>47</v>
      </c>
      <c r="D39" s="18" t="s">
        <v>1129</v>
      </c>
      <c r="E39" s="41">
        <v>2</v>
      </c>
      <c r="F39" s="42">
        <v>0.66</v>
      </c>
      <c r="G39" s="34" t="s">
        <v>1136</v>
      </c>
      <c r="H39" s="35"/>
      <c r="I39" s="36"/>
      <c r="J39" s="37"/>
      <c r="K39" s="38">
        <f t="shared" si="0"/>
        <v>0</v>
      </c>
      <c r="L39" s="39" t="s">
        <v>1137</v>
      </c>
    </row>
    <row r="40" spans="1:12" s="27" customFormat="1" ht="19.5" customHeight="1" x14ac:dyDescent="0.3">
      <c r="A40" s="28"/>
      <c r="B40" s="16"/>
      <c r="C40" s="17">
        <v>16</v>
      </c>
      <c r="D40" s="18" t="s">
        <v>1131</v>
      </c>
      <c r="E40" s="41">
        <v>1</v>
      </c>
      <c r="F40" s="42">
        <v>1.35</v>
      </c>
      <c r="G40" s="34"/>
      <c r="H40" s="35"/>
      <c r="I40" s="36"/>
      <c r="J40" s="37"/>
      <c r="K40" s="38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38">
        <f t="shared" si="0"/>
        <v>0</v>
      </c>
      <c r="L41" s="39"/>
    </row>
    <row r="42" spans="1:12" s="27" customFormat="1" ht="19.5" customHeight="1" x14ac:dyDescent="0.3">
      <c r="A42" s="28" t="s">
        <v>1138</v>
      </c>
      <c r="B42" s="16" t="s">
        <v>1139</v>
      </c>
      <c r="C42" s="17">
        <v>43</v>
      </c>
      <c r="D42" s="18" t="s">
        <v>1140</v>
      </c>
      <c r="E42" s="41">
        <v>6</v>
      </c>
      <c r="F42" s="42">
        <v>10.02</v>
      </c>
      <c r="G42" s="34" t="s">
        <v>1145</v>
      </c>
      <c r="H42" s="35">
        <v>1981</v>
      </c>
      <c r="I42" s="36">
        <v>3353</v>
      </c>
      <c r="J42" s="37">
        <v>2</v>
      </c>
      <c r="K42" s="38">
        <f t="shared" si="0"/>
        <v>13.284586000000001</v>
      </c>
      <c r="L42" s="39" t="s">
        <v>1153</v>
      </c>
    </row>
    <row r="43" spans="1:12" s="27" customFormat="1" ht="19.5" customHeight="1" x14ac:dyDescent="0.3">
      <c r="A43" s="28"/>
      <c r="B43" s="16"/>
      <c r="C43" s="17">
        <v>47</v>
      </c>
      <c r="D43" s="18" t="s">
        <v>1141</v>
      </c>
      <c r="E43" s="41">
        <v>5</v>
      </c>
      <c r="F43" s="42">
        <v>7.75</v>
      </c>
      <c r="G43" s="34" t="s">
        <v>1145</v>
      </c>
      <c r="H43" s="35">
        <v>1829</v>
      </c>
      <c r="I43" s="36">
        <v>3048</v>
      </c>
      <c r="J43" s="37">
        <v>7</v>
      </c>
      <c r="K43" s="38">
        <f t="shared" si="0"/>
        <v>39.023543999999994</v>
      </c>
      <c r="L43" s="39" t="s">
        <v>1153</v>
      </c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 t="s">
        <v>1152</v>
      </c>
      <c r="H44" s="35">
        <v>2438</v>
      </c>
      <c r="I44" s="36">
        <v>3048</v>
      </c>
      <c r="J44" s="37">
        <v>3</v>
      </c>
      <c r="K44" s="38">
        <f t="shared" si="0"/>
        <v>22.293072000000002</v>
      </c>
      <c r="L44" s="39" t="s">
        <v>1153</v>
      </c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38"/>
      <c r="L45" s="39"/>
    </row>
    <row r="46" spans="1:12" s="27" customFormat="1" ht="19.5" customHeight="1" x14ac:dyDescent="0.3">
      <c r="A46" s="28" t="s">
        <v>1186</v>
      </c>
      <c r="B46" s="16" t="s">
        <v>1142</v>
      </c>
      <c r="C46" s="17">
        <v>22</v>
      </c>
      <c r="D46" s="18" t="s">
        <v>1143</v>
      </c>
      <c r="E46" s="41">
        <v>52</v>
      </c>
      <c r="F46" s="42">
        <v>62.16</v>
      </c>
      <c r="G46" s="34" t="s">
        <v>1144</v>
      </c>
      <c r="H46" s="35">
        <v>2590</v>
      </c>
      <c r="I46" s="36">
        <v>3048</v>
      </c>
      <c r="J46" s="37">
        <v>9</v>
      </c>
      <c r="K46" s="38">
        <f t="shared" si="0"/>
        <v>71.048879999999997</v>
      </c>
      <c r="L46" s="39" t="s">
        <v>100</v>
      </c>
    </row>
    <row r="47" spans="1:12" s="27" customFormat="1" ht="19.5" customHeight="1" x14ac:dyDescent="0.3">
      <c r="A47" s="28"/>
      <c r="B47" s="16"/>
      <c r="C47" s="17"/>
      <c r="D47" s="18"/>
      <c r="E47" s="41"/>
      <c r="F47" s="42"/>
      <c r="G47" s="34"/>
      <c r="H47" s="35"/>
      <c r="I47" s="36"/>
      <c r="J47" s="37"/>
      <c r="K47" s="38">
        <f t="shared" si="0"/>
        <v>0</v>
      </c>
      <c r="L47" s="39"/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38">
        <f t="shared" si="0"/>
        <v>0</v>
      </c>
      <c r="L48" s="39"/>
    </row>
    <row r="49" spans="1:12" s="27" customFormat="1" ht="19.5" customHeight="1" x14ac:dyDescent="0.3">
      <c r="A49" s="28"/>
      <c r="B49" s="29"/>
      <c r="C49" s="30"/>
      <c r="D49" s="31"/>
      <c r="E49" s="41"/>
      <c r="F49" s="42"/>
      <c r="G49" s="43"/>
      <c r="H49" s="35"/>
      <c r="I49" s="36"/>
      <c r="J49" s="37"/>
      <c r="K49" s="38">
        <f t="shared" si="0"/>
        <v>0</v>
      </c>
      <c r="L49" s="39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1099</v>
      </c>
      <c r="B51" s="76" t="s">
        <v>110</v>
      </c>
      <c r="C51" s="77">
        <v>24</v>
      </c>
      <c r="D51" s="47" t="s">
        <v>55</v>
      </c>
      <c r="E51" s="48">
        <v>56</v>
      </c>
      <c r="F51" s="49">
        <v>49.56</v>
      </c>
      <c r="G51" s="50" t="s">
        <v>18</v>
      </c>
      <c r="H51" s="51">
        <v>1981</v>
      </c>
      <c r="I51" s="45">
        <v>3353</v>
      </c>
      <c r="J51" s="52">
        <v>8</v>
      </c>
      <c r="K51" s="53">
        <f t="shared" si="0"/>
        <v>53.138344000000004</v>
      </c>
      <c r="L51" s="54" t="s">
        <v>100</v>
      </c>
    </row>
    <row r="52" spans="1:12" s="55" customFormat="1" ht="19.5" customHeight="1" x14ac:dyDescent="0.3">
      <c r="A52" s="44"/>
      <c r="B52" s="76"/>
      <c r="C52" s="77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1097</v>
      </c>
      <c r="B53" s="76" t="s">
        <v>204</v>
      </c>
      <c r="C53" s="77">
        <v>26</v>
      </c>
      <c r="D53" s="47" t="s">
        <v>1115</v>
      </c>
      <c r="E53" s="48">
        <v>8</v>
      </c>
      <c r="F53" s="49">
        <v>48.8</v>
      </c>
      <c r="G53" s="50" t="s">
        <v>1116</v>
      </c>
      <c r="H53" s="51">
        <v>2134</v>
      </c>
      <c r="I53" s="45">
        <v>3353</v>
      </c>
      <c r="J53" s="52">
        <v>8</v>
      </c>
      <c r="K53" s="53">
        <f t="shared" si="0"/>
        <v>57.242415999999999</v>
      </c>
      <c r="L53" s="54"/>
    </row>
    <row r="54" spans="1:12" s="55" customFormat="1" ht="19.5" customHeight="1" x14ac:dyDescent="0.3">
      <c r="A54" s="44"/>
      <c r="B54" s="76"/>
      <c r="C54" s="77"/>
      <c r="D54" s="47"/>
      <c r="E54" s="48"/>
      <c r="F54" s="49"/>
      <c r="G54" s="50" t="s">
        <v>18</v>
      </c>
      <c r="H54" s="51">
        <v>1981</v>
      </c>
      <c r="I54" s="45">
        <v>3353</v>
      </c>
      <c r="J54" s="52">
        <v>8</v>
      </c>
      <c r="K54" s="53">
        <f t="shared" si="0"/>
        <v>53.138344000000004</v>
      </c>
      <c r="L54" s="54"/>
    </row>
    <row r="55" spans="1:12" s="55" customFormat="1" ht="19.5" customHeight="1" x14ac:dyDescent="0.3">
      <c r="A55" s="44"/>
      <c r="B55" s="76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1102</v>
      </c>
      <c r="B56" s="76" t="s">
        <v>110</v>
      </c>
      <c r="C56" s="77">
        <v>24</v>
      </c>
      <c r="D56" s="47" t="s">
        <v>55</v>
      </c>
      <c r="E56" s="48">
        <v>46</v>
      </c>
      <c r="F56" s="49">
        <v>38.479999999999997</v>
      </c>
      <c r="G56" s="50" t="s">
        <v>18</v>
      </c>
      <c r="H56" s="51">
        <v>1981</v>
      </c>
      <c r="I56" s="45">
        <v>3353</v>
      </c>
      <c r="J56" s="52">
        <v>6</v>
      </c>
      <c r="K56" s="53">
        <f t="shared" si="0"/>
        <v>39.853757999999999</v>
      </c>
      <c r="L56" s="54" t="s">
        <v>100</v>
      </c>
    </row>
    <row r="57" spans="1:12" s="55" customFormat="1" ht="19.5" customHeight="1" x14ac:dyDescent="0.3">
      <c r="A57" s="44"/>
      <c r="B57" s="76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1103</v>
      </c>
      <c r="B58" s="76" t="s">
        <v>110</v>
      </c>
      <c r="C58" s="77">
        <v>24</v>
      </c>
      <c r="D58" s="47" t="s">
        <v>55</v>
      </c>
      <c r="E58" s="48">
        <v>36</v>
      </c>
      <c r="F58" s="49">
        <v>30.22</v>
      </c>
      <c r="G58" s="50" t="s">
        <v>18</v>
      </c>
      <c r="H58" s="51">
        <v>1981</v>
      </c>
      <c r="I58" s="45">
        <v>3353</v>
      </c>
      <c r="J58" s="52">
        <v>5</v>
      </c>
      <c r="K58" s="53">
        <f t="shared" si="0"/>
        <v>33.211465000000004</v>
      </c>
      <c r="L58" s="54" t="s">
        <v>100</v>
      </c>
    </row>
    <row r="59" spans="1:12" s="55" customFormat="1" ht="19.5" customHeight="1" x14ac:dyDescent="0.3">
      <c r="A59" s="44"/>
      <c r="B59" s="76"/>
      <c r="C59" s="77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1104</v>
      </c>
      <c r="B60" s="76" t="s">
        <v>110</v>
      </c>
      <c r="C60" s="77">
        <v>24</v>
      </c>
      <c r="D60" s="47" t="s">
        <v>55</v>
      </c>
      <c r="E60" s="48">
        <v>10</v>
      </c>
      <c r="F60" s="49">
        <v>8.1999999999999993</v>
      </c>
      <c r="G60" s="50" t="s">
        <v>18</v>
      </c>
      <c r="H60" s="51">
        <v>1981</v>
      </c>
      <c r="I60" s="45">
        <v>3353</v>
      </c>
      <c r="J60" s="52">
        <v>1</v>
      </c>
      <c r="K60" s="53">
        <f t="shared" si="0"/>
        <v>6.6422930000000004</v>
      </c>
      <c r="L60" s="54" t="s">
        <v>100</v>
      </c>
    </row>
    <row r="61" spans="1:12" s="55" customFormat="1" ht="19.5" customHeight="1" x14ac:dyDescent="0.3">
      <c r="A61" s="44"/>
      <c r="B61" s="76"/>
      <c r="C61" s="77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57</v>
      </c>
      <c r="B62" s="76"/>
      <c r="C62" s="77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1146</v>
      </c>
      <c r="B63" s="76" t="s">
        <v>1142</v>
      </c>
      <c r="C63" s="77">
        <v>46.76</v>
      </c>
      <c r="D63" s="47" t="s">
        <v>1147</v>
      </c>
      <c r="E63" s="48">
        <v>20</v>
      </c>
      <c r="F63" s="49">
        <v>8.6</v>
      </c>
      <c r="G63" s="50" t="s">
        <v>1148</v>
      </c>
      <c r="H63" s="51">
        <v>1981</v>
      </c>
      <c r="I63" s="45">
        <v>3353</v>
      </c>
      <c r="J63" s="52">
        <v>3</v>
      </c>
      <c r="K63" s="53">
        <f t="shared" si="0"/>
        <v>19.926879</v>
      </c>
      <c r="L63" s="54" t="s">
        <v>1345</v>
      </c>
    </row>
    <row r="64" spans="1:12" s="55" customFormat="1" ht="19.5" customHeight="1" x14ac:dyDescent="0.3">
      <c r="A64" s="44" t="s">
        <v>1344</v>
      </c>
      <c r="B64" s="76" t="s">
        <v>1142</v>
      </c>
      <c r="C64" s="77">
        <v>46.76</v>
      </c>
      <c r="D64" s="47" t="s">
        <v>1147</v>
      </c>
      <c r="E64" s="48">
        <v>20</v>
      </c>
      <c r="F64" s="49">
        <v>8.6</v>
      </c>
      <c r="G64" s="50" t="s">
        <v>438</v>
      </c>
      <c r="H64" s="51">
        <v>1981</v>
      </c>
      <c r="I64" s="45">
        <v>3353</v>
      </c>
      <c r="J64" s="52">
        <v>2</v>
      </c>
      <c r="K64" s="53">
        <f t="shared" si="0"/>
        <v>13.284586000000001</v>
      </c>
      <c r="L64" s="54" t="s">
        <v>1345</v>
      </c>
    </row>
    <row r="65" spans="1:12" s="55" customFormat="1" ht="19.5" customHeight="1" x14ac:dyDescent="0.3">
      <c r="A65" s="44"/>
      <c r="B65" s="76"/>
      <c r="C65" s="77"/>
      <c r="D65" s="47"/>
      <c r="E65" s="48"/>
      <c r="F65" s="49"/>
      <c r="G65" s="50" t="s">
        <v>438</v>
      </c>
      <c r="H65" s="51">
        <v>2134</v>
      </c>
      <c r="I65" s="45">
        <v>3353</v>
      </c>
      <c r="J65" s="52">
        <v>1</v>
      </c>
      <c r="K65" s="53">
        <f t="shared" si="0"/>
        <v>7.1553019999999998</v>
      </c>
      <c r="L65" s="54"/>
    </row>
    <row r="66" spans="1:12" s="55" customFormat="1" ht="19.5" customHeight="1" x14ac:dyDescent="0.3">
      <c r="A66" s="44"/>
      <c r="B66" s="76"/>
      <c r="C66" s="77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1149</v>
      </c>
      <c r="B67" s="76" t="s">
        <v>1150</v>
      </c>
      <c r="C67" s="77">
        <v>27.76</v>
      </c>
      <c r="D67" s="47" t="s">
        <v>1151</v>
      </c>
      <c r="E67" s="48">
        <v>178</v>
      </c>
      <c r="F67" s="49">
        <v>103.24</v>
      </c>
      <c r="G67" s="50" t="s">
        <v>1148</v>
      </c>
      <c r="H67" s="51">
        <v>1829</v>
      </c>
      <c r="I67" s="45">
        <v>3048</v>
      </c>
      <c r="J67" s="52">
        <v>2</v>
      </c>
      <c r="K67" s="53">
        <f t="shared" si="0"/>
        <v>11.149583999999999</v>
      </c>
      <c r="L67" s="54" t="s">
        <v>106</v>
      </c>
    </row>
    <row r="68" spans="1:12" s="55" customFormat="1" ht="19.5" customHeight="1" x14ac:dyDescent="0.3">
      <c r="A68" s="44"/>
      <c r="B68" s="76"/>
      <c r="C68" s="77">
        <v>22</v>
      </c>
      <c r="D68" s="47" t="s">
        <v>665</v>
      </c>
      <c r="E68" s="48">
        <v>178</v>
      </c>
      <c r="F68" s="49">
        <v>92.56</v>
      </c>
      <c r="G68" s="50" t="s">
        <v>1148</v>
      </c>
      <c r="H68" s="51">
        <v>2438</v>
      </c>
      <c r="I68" s="45">
        <v>3353</v>
      </c>
      <c r="J68" s="52">
        <v>25</v>
      </c>
      <c r="K68" s="53">
        <f t="shared" si="0"/>
        <v>204.36535000000001</v>
      </c>
      <c r="L68" s="54" t="s">
        <v>106</v>
      </c>
    </row>
    <row r="69" spans="1:12" s="55" customFormat="1" ht="19.5" customHeight="1" x14ac:dyDescent="0.3">
      <c r="A69" s="44"/>
      <c r="B69" s="76"/>
      <c r="C69" s="77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76"/>
      <c r="C70" s="77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76"/>
      <c r="C71" s="77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76"/>
      <c r="C72" s="77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76"/>
      <c r="C73" s="77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45"/>
      <c r="C74" s="77"/>
      <c r="D74" s="78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77"/>
      <c r="D75" s="78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9" customFormat="1" ht="20.100000000000001" customHeight="1" x14ac:dyDescent="0.3">
      <c r="A78" s="44"/>
      <c r="B78" s="45"/>
      <c r="C78" s="46"/>
      <c r="D78" s="47"/>
      <c r="E78" s="56"/>
      <c r="F78" s="57"/>
      <c r="G78" s="50"/>
      <c r="H78" s="51"/>
      <c r="I78" s="45"/>
      <c r="J78" s="52"/>
      <c r="K78" s="53">
        <f t="shared" si="0"/>
        <v>0</v>
      </c>
      <c r="L78" s="58">
        <f>SUM(J50:J79)</f>
        <v>69</v>
      </c>
    </row>
    <row r="79" spans="1:12" s="59" customFormat="1" ht="20.100000000000001" customHeight="1" x14ac:dyDescent="0.3">
      <c r="A79" s="44"/>
      <c r="B79" s="45"/>
      <c r="C79" s="46"/>
      <c r="D79" s="47"/>
      <c r="E79" s="60"/>
      <c r="F79" s="61"/>
      <c r="G79" s="62"/>
      <c r="H79" s="51"/>
      <c r="I79" s="45"/>
      <c r="J79" s="63"/>
      <c r="K79" s="53">
        <f t="shared" si="0"/>
        <v>0</v>
      </c>
      <c r="L79" s="64">
        <f>SUM(K50:K79)</f>
        <v>499.10832100000005</v>
      </c>
    </row>
    <row r="80" spans="1:12" s="59" customFormat="1" ht="20.100000000000001" customHeight="1" thickBot="1" x14ac:dyDescent="0.35">
      <c r="A80" s="114"/>
      <c r="B80" s="115"/>
      <c r="C80" s="115"/>
      <c r="D80" s="115"/>
      <c r="E80" s="115"/>
      <c r="F80" s="115"/>
      <c r="G80" s="115"/>
      <c r="H80" s="115"/>
      <c r="I80" s="115"/>
      <c r="J80" s="65">
        <f>SUM(J7:J79)</f>
        <v>154</v>
      </c>
      <c r="K80" s="66">
        <f>SUM(K7:K79)</f>
        <v>1127.9283669999998</v>
      </c>
      <c r="L80" s="67"/>
    </row>
    <row r="81" spans="1:12" s="59" customFormat="1" ht="20.100000000000001" customHeight="1" thickTop="1" thickBot="1" x14ac:dyDescent="0.35">
      <c r="A81" s="116" t="s">
        <v>52</v>
      </c>
      <c r="B81" s="117"/>
      <c r="C81" s="68"/>
      <c r="D81" s="118">
        <f>J80</f>
        <v>154</v>
      </c>
      <c r="E81" s="119"/>
      <c r="F81" s="119"/>
      <c r="G81" s="120"/>
      <c r="H81" s="121"/>
      <c r="I81" s="121"/>
      <c r="J81" s="122"/>
      <c r="K81" s="119"/>
      <c r="L81" s="123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71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72"/>
      <c r="F87" s="5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5"/>
      <c r="F88" s="5"/>
      <c r="G88" s="73"/>
      <c r="H88" s="5"/>
      <c r="I88" s="74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70"/>
      <c r="G92" s="5"/>
      <c r="H92" s="72"/>
      <c r="I92" s="72"/>
      <c r="J92" s="5"/>
      <c r="K92" s="5"/>
      <c r="L92" s="5"/>
    </row>
    <row r="93" spans="1:12" ht="20.100000000000001" customHeight="1" x14ac:dyDescent="0.3">
      <c r="A93" s="113"/>
      <c r="B93" s="113"/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H95" s="72"/>
      <c r="I95" s="72"/>
    </row>
    <row r="96" spans="1:12" ht="20.100000000000001" customHeight="1" x14ac:dyDescent="0.3">
      <c r="A96" s="113"/>
      <c r="B96" s="113"/>
      <c r="H96" s="72"/>
      <c r="I96" s="72"/>
    </row>
    <row r="97" spans="1:12" ht="20.100000000000001" customHeight="1" x14ac:dyDescent="0.3">
      <c r="A97" s="113"/>
      <c r="B97" s="113"/>
      <c r="H97" s="72"/>
      <c r="I97" s="72"/>
    </row>
    <row r="98" spans="1:12" ht="20.100000000000001" customHeight="1" x14ac:dyDescent="0.3"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s="72" customFormat="1" ht="20.100000000000001" customHeight="1" x14ac:dyDescent="0.3">
      <c r="A101" s="69"/>
      <c r="B101" s="5"/>
      <c r="C101" s="5"/>
      <c r="D101" s="5"/>
      <c r="E101" s="5"/>
      <c r="F101" s="70"/>
      <c r="G101" s="5"/>
      <c r="J101" s="5"/>
      <c r="K101" s="5"/>
      <c r="L101" s="5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5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5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5" customFormat="1" ht="19.5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ht="19.5" customHeight="1" x14ac:dyDescent="0.3"/>
    <row r="109" spans="1:12" ht="19.5" customHeight="1" x14ac:dyDescent="0.3"/>
    <row r="110" spans="1:12" ht="19.5" customHeight="1" x14ac:dyDescent="0.3"/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>
        <v>2</v>
      </c>
      <c r="C171" s="5"/>
      <c r="D171" s="5"/>
      <c r="E171" s="5"/>
      <c r="F171" s="70"/>
      <c r="G171" s="5"/>
      <c r="H171" s="5"/>
      <c r="I171" s="5"/>
      <c r="J171" s="5"/>
      <c r="K171" s="5"/>
      <c r="L171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6:B8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0:I80"/>
    <mergeCell ref="A81:B81"/>
    <mergeCell ref="D81:G81"/>
    <mergeCell ref="H81:J81"/>
    <mergeCell ref="K81:L81"/>
    <mergeCell ref="A96:B96"/>
    <mergeCell ref="A97:B97"/>
    <mergeCell ref="A87:B87"/>
    <mergeCell ref="A88:B88"/>
    <mergeCell ref="A89:B89"/>
    <mergeCell ref="A91:B91"/>
    <mergeCell ref="A92:B92"/>
    <mergeCell ref="A93:B93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L167"/>
  <sheetViews>
    <sheetView view="pageBreakPreview" topLeftCell="A43" zoomScale="85" zoomScaleSheetLayoutView="85" workbookViewId="0">
      <selection activeCell="G49" sqref="G49:J65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46056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5" si="0">(H7/1000*I7/1000)*J7</f>
        <v>0</v>
      </c>
      <c r="L7" s="26">
        <f>SUM(J7:J45)</f>
        <v>183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SUM(K7:K45)</f>
        <v>1275.832075</v>
      </c>
    </row>
    <row r="9" spans="1:12" s="27" customFormat="1" ht="19.5" customHeight="1" x14ac:dyDescent="0.3">
      <c r="A9" s="28" t="s">
        <v>1066</v>
      </c>
      <c r="B9" s="16" t="s">
        <v>1067</v>
      </c>
      <c r="C9" s="17">
        <v>24</v>
      </c>
      <c r="D9" s="18" t="s">
        <v>45</v>
      </c>
      <c r="E9" s="81">
        <v>60</v>
      </c>
      <c r="F9" s="82">
        <v>52.4</v>
      </c>
      <c r="G9" s="34" t="s">
        <v>49</v>
      </c>
      <c r="H9" s="83">
        <v>1981</v>
      </c>
      <c r="I9" s="29">
        <v>3353</v>
      </c>
      <c r="J9" s="84">
        <v>13</v>
      </c>
      <c r="K9" s="85">
        <f t="shared" si="0"/>
        <v>86.349809000000008</v>
      </c>
      <c r="L9" s="86" t="s">
        <v>919</v>
      </c>
    </row>
    <row r="10" spans="1:12" s="27" customFormat="1" ht="19.5" customHeight="1" x14ac:dyDescent="0.3">
      <c r="A10" s="28"/>
      <c r="B10" s="16"/>
      <c r="C10" s="17">
        <v>24</v>
      </c>
      <c r="D10" s="18" t="s">
        <v>17</v>
      </c>
      <c r="E10" s="81">
        <v>90</v>
      </c>
      <c r="F10" s="82">
        <v>114.8</v>
      </c>
      <c r="G10" s="34" t="s">
        <v>18</v>
      </c>
      <c r="H10" s="35">
        <v>2590</v>
      </c>
      <c r="I10" s="36">
        <v>3353</v>
      </c>
      <c r="J10" s="37">
        <v>15</v>
      </c>
      <c r="K10" s="38">
        <f t="shared" si="0"/>
        <v>130.26404999999997</v>
      </c>
      <c r="L10" s="39"/>
    </row>
    <row r="11" spans="1:12" s="27" customFormat="1" ht="19.5" customHeight="1" x14ac:dyDescent="0.3">
      <c r="A11" s="28"/>
      <c r="B11" s="16"/>
      <c r="C11" s="17">
        <v>22</v>
      </c>
      <c r="D11" s="18" t="s">
        <v>45</v>
      </c>
      <c r="E11" s="81">
        <v>20</v>
      </c>
      <c r="F11" s="82">
        <v>23</v>
      </c>
      <c r="G11" s="34" t="s">
        <v>19</v>
      </c>
      <c r="H11" s="35">
        <v>1981</v>
      </c>
      <c r="I11" s="36">
        <v>3353</v>
      </c>
      <c r="J11" s="37">
        <v>31</v>
      </c>
      <c r="K11" s="38">
        <f t="shared" si="0"/>
        <v>205.91108300000002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81"/>
      <c r="F12" s="8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1068</v>
      </c>
      <c r="B13" s="16" t="s">
        <v>1069</v>
      </c>
      <c r="C13" s="17">
        <v>24</v>
      </c>
      <c r="D13" s="18" t="s">
        <v>1070</v>
      </c>
      <c r="E13" s="81">
        <v>136</v>
      </c>
      <c r="F13" s="82">
        <v>57.4</v>
      </c>
      <c r="G13" s="34" t="s">
        <v>1071</v>
      </c>
      <c r="H13" s="35">
        <v>2438</v>
      </c>
      <c r="I13" s="36">
        <v>3353</v>
      </c>
      <c r="J13" s="37">
        <v>7</v>
      </c>
      <c r="K13" s="38">
        <f t="shared" si="0"/>
        <v>57.222298000000002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81"/>
      <c r="F14" s="82"/>
      <c r="G14" s="34" t="s">
        <v>1072</v>
      </c>
      <c r="H14" s="35">
        <v>2438</v>
      </c>
      <c r="I14" s="36">
        <v>3353</v>
      </c>
      <c r="J14" s="37">
        <v>7</v>
      </c>
      <c r="K14" s="38">
        <f t="shared" si="0"/>
        <v>57.222298000000002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81"/>
      <c r="F15" s="8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1073</v>
      </c>
      <c r="B16" s="16" t="s">
        <v>1074</v>
      </c>
      <c r="C16" s="17">
        <v>24</v>
      </c>
      <c r="D16" s="18" t="s">
        <v>1075</v>
      </c>
      <c r="E16" s="81">
        <v>26</v>
      </c>
      <c r="F16" s="82">
        <v>32.299999999999997</v>
      </c>
      <c r="G16" s="34" t="s">
        <v>1076</v>
      </c>
      <c r="H16" s="35">
        <v>1829</v>
      </c>
      <c r="I16" s="36">
        <v>3353</v>
      </c>
      <c r="J16" s="37">
        <v>6</v>
      </c>
      <c r="K16" s="38">
        <f t="shared" si="0"/>
        <v>36.795822000000001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81"/>
      <c r="F17" s="82"/>
      <c r="G17" s="34" t="s">
        <v>19</v>
      </c>
      <c r="H17" s="35">
        <v>1981</v>
      </c>
      <c r="I17" s="36">
        <v>3353</v>
      </c>
      <c r="J17" s="37">
        <v>6</v>
      </c>
      <c r="K17" s="38">
        <f t="shared" si="0"/>
        <v>39.853757999999999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81"/>
      <c r="F18" s="8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 t="s">
        <v>1077</v>
      </c>
      <c r="B19" s="16" t="s">
        <v>1078</v>
      </c>
      <c r="C19" s="17">
        <v>22</v>
      </c>
      <c r="D19" s="18" t="s">
        <v>1079</v>
      </c>
      <c r="E19" s="41">
        <v>6</v>
      </c>
      <c r="F19" s="42">
        <v>7.5</v>
      </c>
      <c r="G19" s="34" t="s">
        <v>1076</v>
      </c>
      <c r="H19" s="35">
        <v>1981</v>
      </c>
      <c r="I19" s="36">
        <v>3353</v>
      </c>
      <c r="J19" s="37">
        <v>1</v>
      </c>
      <c r="K19" s="38">
        <f t="shared" si="0"/>
        <v>6.6422930000000004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 t="s">
        <v>1072</v>
      </c>
      <c r="H20" s="35">
        <v>1981</v>
      </c>
      <c r="I20" s="36">
        <v>3353</v>
      </c>
      <c r="J20" s="37">
        <v>1</v>
      </c>
      <c r="K20" s="38">
        <f t="shared" si="0"/>
        <v>6.6422930000000004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 t="s">
        <v>1080</v>
      </c>
      <c r="B22" s="16" t="s">
        <v>1081</v>
      </c>
      <c r="C22" s="17">
        <v>22</v>
      </c>
      <c r="D22" s="18" t="s">
        <v>1082</v>
      </c>
      <c r="E22" s="41">
        <v>3</v>
      </c>
      <c r="F22" s="42">
        <v>2.96</v>
      </c>
      <c r="G22" s="34" t="s">
        <v>1072</v>
      </c>
      <c r="H22" s="35">
        <v>1981</v>
      </c>
      <c r="I22" s="36">
        <v>3353</v>
      </c>
      <c r="J22" s="37">
        <v>1</v>
      </c>
      <c r="K22" s="38">
        <f t="shared" si="0"/>
        <v>6.6422930000000004</v>
      </c>
      <c r="L22" s="39"/>
    </row>
    <row r="23" spans="1:12" s="27" customFormat="1" ht="19.5" customHeight="1" x14ac:dyDescent="0.3">
      <c r="A23" s="28"/>
      <c r="B23" s="16"/>
      <c r="C23" s="17">
        <v>22</v>
      </c>
      <c r="D23" s="18" t="s">
        <v>1083</v>
      </c>
      <c r="E23" s="41">
        <v>2</v>
      </c>
      <c r="F23" s="42">
        <v>4.42</v>
      </c>
      <c r="G23" s="34" t="s">
        <v>1084</v>
      </c>
      <c r="H23" s="35">
        <v>1981</v>
      </c>
      <c r="I23" s="36">
        <v>3353</v>
      </c>
      <c r="J23" s="37">
        <v>1</v>
      </c>
      <c r="K23" s="38">
        <f t="shared" si="0"/>
        <v>6.6422930000000004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1085</v>
      </c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ref="K25:K41" si="1">(H25/1000*I25/1000)*J25</f>
        <v>0</v>
      </c>
      <c r="L25" s="39"/>
    </row>
    <row r="26" spans="1:12" s="27" customFormat="1" ht="19.5" customHeight="1" x14ac:dyDescent="0.3">
      <c r="A26" s="28" t="s">
        <v>1092</v>
      </c>
      <c r="B26" s="16" t="s">
        <v>145</v>
      </c>
      <c r="C26" s="17">
        <v>24</v>
      </c>
      <c r="D26" s="18" t="s">
        <v>45</v>
      </c>
      <c r="E26" s="41">
        <v>90</v>
      </c>
      <c r="F26" s="42">
        <v>64.099999999999994</v>
      </c>
      <c r="G26" s="34" t="s">
        <v>49</v>
      </c>
      <c r="H26" s="35">
        <v>1981</v>
      </c>
      <c r="I26" s="36">
        <v>3353</v>
      </c>
      <c r="J26" s="37">
        <v>12</v>
      </c>
      <c r="K26" s="38">
        <f t="shared" si="1"/>
        <v>79.707515999999998</v>
      </c>
      <c r="L26" s="39"/>
    </row>
    <row r="27" spans="1:12" s="27" customFormat="1" ht="19.5" customHeight="1" x14ac:dyDescent="0.3">
      <c r="A27" s="28"/>
      <c r="B27" s="16"/>
      <c r="C27" s="17">
        <v>24</v>
      </c>
      <c r="D27" s="18" t="s">
        <v>17</v>
      </c>
      <c r="E27" s="41">
        <v>100</v>
      </c>
      <c r="F27" s="42">
        <v>95.5</v>
      </c>
      <c r="G27" s="34" t="s">
        <v>18</v>
      </c>
      <c r="H27" s="35">
        <v>1981</v>
      </c>
      <c r="I27" s="36">
        <v>3353</v>
      </c>
      <c r="J27" s="37">
        <v>12</v>
      </c>
      <c r="K27" s="38">
        <f t="shared" si="1"/>
        <v>79.707515999999998</v>
      </c>
      <c r="L27" s="39"/>
    </row>
    <row r="28" spans="1:12" s="27" customFormat="1" ht="19.5" customHeight="1" x14ac:dyDescent="0.3">
      <c r="A28" s="28"/>
      <c r="B28" s="16"/>
      <c r="C28" s="17">
        <v>22</v>
      </c>
      <c r="D28" s="18" t="s">
        <v>45</v>
      </c>
      <c r="E28" s="41">
        <v>10</v>
      </c>
      <c r="F28" s="42">
        <v>11.7</v>
      </c>
      <c r="G28" s="34" t="s">
        <v>19</v>
      </c>
      <c r="H28" s="35">
        <v>1981</v>
      </c>
      <c r="I28" s="36">
        <v>3353</v>
      </c>
      <c r="J28" s="37">
        <v>27</v>
      </c>
      <c r="K28" s="38">
        <f t="shared" si="1"/>
        <v>179.34191100000001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1"/>
        <v>0</v>
      </c>
      <c r="L29" s="39"/>
    </row>
    <row r="30" spans="1:12" s="27" customFormat="1" ht="19.5" customHeight="1" x14ac:dyDescent="0.3">
      <c r="A30" s="28" t="s">
        <v>1093</v>
      </c>
      <c r="B30" s="16" t="s">
        <v>1094</v>
      </c>
      <c r="C30" s="17">
        <v>22</v>
      </c>
      <c r="D30" s="18" t="s">
        <v>17</v>
      </c>
      <c r="E30" s="41">
        <v>180</v>
      </c>
      <c r="F30" s="42">
        <v>207.1</v>
      </c>
      <c r="G30" s="34" t="s">
        <v>19</v>
      </c>
      <c r="H30" s="35">
        <v>1981</v>
      </c>
      <c r="I30" s="36">
        <v>3353</v>
      </c>
      <c r="J30" s="37">
        <v>34</v>
      </c>
      <c r="K30" s="38">
        <f t="shared" si="1"/>
        <v>225.837962</v>
      </c>
      <c r="L30" s="39" t="s">
        <v>1095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1"/>
        <v>0</v>
      </c>
      <c r="L31" s="39"/>
    </row>
    <row r="32" spans="1:12" s="27" customFormat="1" ht="19.5" customHeight="1" x14ac:dyDescent="0.3">
      <c r="A32" s="28" t="s">
        <v>1093</v>
      </c>
      <c r="B32" s="16" t="s">
        <v>1094</v>
      </c>
      <c r="C32" s="17">
        <v>22</v>
      </c>
      <c r="D32" s="18" t="s">
        <v>17</v>
      </c>
      <c r="E32" s="41">
        <v>35</v>
      </c>
      <c r="F32" s="42">
        <v>69.05</v>
      </c>
      <c r="G32" s="34" t="s">
        <v>18</v>
      </c>
      <c r="H32" s="35">
        <v>2590</v>
      </c>
      <c r="I32" s="36">
        <v>3048</v>
      </c>
      <c r="J32" s="37">
        <v>9</v>
      </c>
      <c r="K32" s="38">
        <f t="shared" si="1"/>
        <v>71.048879999999997</v>
      </c>
      <c r="L32" s="39" t="s">
        <v>1096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1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1"/>
        <v>0</v>
      </c>
      <c r="L34" s="39"/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1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1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1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si="1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38">
        <f t="shared" si="1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38">
        <f t="shared" si="1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38">
        <f t="shared" si="1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38">
        <f t="shared" si="0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38">
        <f t="shared" si="0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38">
        <f t="shared" si="0"/>
        <v>0</v>
      </c>
      <c r="L44" s="39"/>
    </row>
    <row r="45" spans="1:12" s="27" customFormat="1" ht="19.5" customHeight="1" x14ac:dyDescent="0.3">
      <c r="A45" s="28"/>
      <c r="B45" s="29"/>
      <c r="C45" s="30"/>
      <c r="D45" s="31"/>
      <c r="E45" s="41"/>
      <c r="F45" s="42"/>
      <c r="G45" s="43"/>
      <c r="H45" s="35"/>
      <c r="I45" s="36"/>
      <c r="J45" s="37"/>
      <c r="K45" s="38">
        <f t="shared" si="0"/>
        <v>0</v>
      </c>
      <c r="L45" s="39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1086</v>
      </c>
      <c r="B47" s="76" t="s">
        <v>1087</v>
      </c>
      <c r="C47" s="77">
        <v>24</v>
      </c>
      <c r="D47" s="47" t="s">
        <v>1070</v>
      </c>
      <c r="E47" s="48">
        <v>2</v>
      </c>
      <c r="F47" s="49">
        <v>0.8</v>
      </c>
      <c r="G47" s="50"/>
      <c r="H47" s="51"/>
      <c r="I47" s="45"/>
      <c r="J47" s="52"/>
      <c r="K47" s="53">
        <f t="shared" si="0"/>
        <v>0</v>
      </c>
      <c r="L47" s="54" t="s">
        <v>1088</v>
      </c>
    </row>
    <row r="48" spans="1:12" s="55" customFormat="1" ht="19.5" customHeight="1" x14ac:dyDescent="0.3">
      <c r="A48" s="44"/>
      <c r="B48" s="76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1053</v>
      </c>
      <c r="B49" s="76" t="s">
        <v>21</v>
      </c>
      <c r="C49" s="77">
        <v>22</v>
      </c>
      <c r="D49" s="47" t="s">
        <v>17</v>
      </c>
      <c r="E49" s="48">
        <v>460</v>
      </c>
      <c r="F49" s="49">
        <v>390.04</v>
      </c>
      <c r="G49" s="50" t="s">
        <v>1072</v>
      </c>
      <c r="H49" s="51">
        <v>2590</v>
      </c>
      <c r="I49" s="45">
        <v>3048</v>
      </c>
      <c r="J49" s="52">
        <v>53</v>
      </c>
      <c r="K49" s="53">
        <f t="shared" si="0"/>
        <v>418.39895999999999</v>
      </c>
      <c r="L49" s="54" t="s">
        <v>1089</v>
      </c>
    </row>
    <row r="50" spans="1:12" s="55" customFormat="1" ht="19.5" customHeight="1" x14ac:dyDescent="0.3">
      <c r="A50" s="44"/>
      <c r="B50" s="76"/>
      <c r="C50" s="77"/>
      <c r="D50" s="47"/>
      <c r="E50" s="48"/>
      <c r="F50" s="49"/>
      <c r="G50" s="50" t="s">
        <v>1072</v>
      </c>
      <c r="H50" s="51">
        <v>1981</v>
      </c>
      <c r="I50" s="45">
        <v>3353</v>
      </c>
      <c r="J50" s="52">
        <v>1</v>
      </c>
      <c r="K50" s="53">
        <f t="shared" si="0"/>
        <v>6.6422930000000004</v>
      </c>
      <c r="L50" s="54"/>
    </row>
    <row r="51" spans="1:12" s="55" customFormat="1" ht="19.5" customHeight="1" x14ac:dyDescent="0.3">
      <c r="A51" s="44"/>
      <c r="B51" s="76"/>
      <c r="C51" s="77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1016</v>
      </c>
      <c r="B52" s="76" t="s">
        <v>204</v>
      </c>
      <c r="C52" s="77">
        <v>28</v>
      </c>
      <c r="D52" s="47" t="s">
        <v>205</v>
      </c>
      <c r="E52" s="48">
        <v>70</v>
      </c>
      <c r="F52" s="49">
        <v>278.44</v>
      </c>
      <c r="G52" s="50" t="s">
        <v>1090</v>
      </c>
      <c r="H52" s="51">
        <v>2134</v>
      </c>
      <c r="I52" s="45">
        <v>3353</v>
      </c>
      <c r="J52" s="52">
        <v>46</v>
      </c>
      <c r="K52" s="53">
        <f t="shared" si="0"/>
        <v>329.14389199999999</v>
      </c>
      <c r="L52" s="54" t="s">
        <v>1091</v>
      </c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1085</v>
      </c>
      <c r="B54" s="76"/>
      <c r="C54" s="77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1097</v>
      </c>
      <c r="B55" s="76" t="s">
        <v>204</v>
      </c>
      <c r="C55" s="77">
        <v>28</v>
      </c>
      <c r="D55" s="47" t="s">
        <v>205</v>
      </c>
      <c r="E55" s="48">
        <v>32</v>
      </c>
      <c r="F55" s="49">
        <v>60</v>
      </c>
      <c r="G55" s="50" t="s">
        <v>189</v>
      </c>
      <c r="H55" s="51">
        <v>1981</v>
      </c>
      <c r="I55" s="45">
        <v>3353</v>
      </c>
      <c r="J55" s="52">
        <v>6</v>
      </c>
      <c r="K55" s="53">
        <f t="shared" si="0"/>
        <v>39.853757999999999</v>
      </c>
      <c r="L55" s="54"/>
    </row>
    <row r="56" spans="1:12" s="55" customFormat="1" ht="19.5" customHeight="1" x14ac:dyDescent="0.3">
      <c r="A56" s="44"/>
      <c r="B56" s="76"/>
      <c r="C56" s="77">
        <v>28</v>
      </c>
      <c r="D56" s="47" t="s">
        <v>1098</v>
      </c>
      <c r="E56" s="48">
        <v>9</v>
      </c>
      <c r="F56" s="49">
        <v>8.73</v>
      </c>
      <c r="G56" s="50" t="s">
        <v>189</v>
      </c>
      <c r="H56" s="51">
        <v>2134</v>
      </c>
      <c r="I56" s="45">
        <v>3353</v>
      </c>
      <c r="J56" s="52">
        <v>6</v>
      </c>
      <c r="K56" s="53">
        <f t="shared" si="0"/>
        <v>42.931812000000001</v>
      </c>
      <c r="L56" s="54"/>
    </row>
    <row r="57" spans="1:12" s="55" customFormat="1" ht="19.5" customHeight="1" x14ac:dyDescent="0.3">
      <c r="A57" s="44"/>
      <c r="B57" s="76"/>
      <c r="C57" s="77"/>
      <c r="D57" s="47"/>
      <c r="E57" s="48"/>
      <c r="F57" s="49"/>
      <c r="G57" s="50" t="s">
        <v>206</v>
      </c>
      <c r="H57" s="51">
        <v>2134</v>
      </c>
      <c r="I57" s="45">
        <v>3353</v>
      </c>
      <c r="J57" s="52">
        <v>12</v>
      </c>
      <c r="K57" s="53">
        <f t="shared" si="0"/>
        <v>85.863624000000002</v>
      </c>
      <c r="L57" s="54"/>
    </row>
    <row r="58" spans="1:12" s="55" customFormat="1" ht="19.5" customHeight="1" x14ac:dyDescent="0.3">
      <c r="A58" s="44"/>
      <c r="B58" s="76"/>
      <c r="C58" s="77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1099</v>
      </c>
      <c r="B59" s="76" t="s">
        <v>1100</v>
      </c>
      <c r="C59" s="77">
        <v>24</v>
      </c>
      <c r="D59" s="47" t="s">
        <v>55</v>
      </c>
      <c r="E59" s="48">
        <v>56</v>
      </c>
      <c r="F59" s="49">
        <v>49.56</v>
      </c>
      <c r="G59" s="50" t="s">
        <v>1101</v>
      </c>
      <c r="H59" s="51">
        <v>1981</v>
      </c>
      <c r="I59" s="45">
        <v>3353</v>
      </c>
      <c r="J59" s="52">
        <v>8</v>
      </c>
      <c r="K59" s="53">
        <f t="shared" si="0"/>
        <v>53.138344000000004</v>
      </c>
      <c r="L59" s="54" t="s">
        <v>1095</v>
      </c>
    </row>
    <row r="60" spans="1:12" s="55" customFormat="1" ht="19.5" customHeight="1" x14ac:dyDescent="0.3">
      <c r="A60" s="44"/>
      <c r="B60" s="76"/>
      <c r="C60" s="77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1102</v>
      </c>
      <c r="B61" s="76" t="s">
        <v>1100</v>
      </c>
      <c r="C61" s="77">
        <v>24</v>
      </c>
      <c r="D61" s="47" t="s">
        <v>55</v>
      </c>
      <c r="E61" s="48">
        <v>46</v>
      </c>
      <c r="F61" s="49">
        <v>38.479999999999997</v>
      </c>
      <c r="G61" s="50" t="s">
        <v>1101</v>
      </c>
      <c r="H61" s="51">
        <v>1981</v>
      </c>
      <c r="I61" s="45">
        <v>3353</v>
      </c>
      <c r="J61" s="52">
        <v>6</v>
      </c>
      <c r="K61" s="53">
        <f t="shared" si="0"/>
        <v>39.853757999999999</v>
      </c>
      <c r="L61" s="54" t="s">
        <v>1095</v>
      </c>
    </row>
    <row r="62" spans="1:12" s="55" customFormat="1" ht="19.5" customHeight="1" x14ac:dyDescent="0.3">
      <c r="A62" s="44"/>
      <c r="B62" s="76"/>
      <c r="C62" s="77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1103</v>
      </c>
      <c r="B63" s="76" t="s">
        <v>1100</v>
      </c>
      <c r="C63" s="77">
        <v>24</v>
      </c>
      <c r="D63" s="47" t="s">
        <v>55</v>
      </c>
      <c r="E63" s="48">
        <v>36</v>
      </c>
      <c r="F63" s="49">
        <v>30.22</v>
      </c>
      <c r="G63" s="50" t="s">
        <v>1101</v>
      </c>
      <c r="H63" s="51">
        <v>1981</v>
      </c>
      <c r="I63" s="45">
        <v>3353</v>
      </c>
      <c r="J63" s="52">
        <v>5</v>
      </c>
      <c r="K63" s="53">
        <f t="shared" si="0"/>
        <v>33.211465000000004</v>
      </c>
      <c r="L63" s="54" t="s">
        <v>1095</v>
      </c>
    </row>
    <row r="64" spans="1:12" s="55" customFormat="1" ht="19.5" customHeight="1" x14ac:dyDescent="0.3">
      <c r="A64" s="44"/>
      <c r="B64" s="76"/>
      <c r="C64" s="77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1104</v>
      </c>
      <c r="B65" s="76" t="s">
        <v>1100</v>
      </c>
      <c r="C65" s="77">
        <v>24</v>
      </c>
      <c r="D65" s="47" t="s">
        <v>55</v>
      </c>
      <c r="E65" s="48">
        <v>10</v>
      </c>
      <c r="F65" s="49">
        <v>8.1999999999999993</v>
      </c>
      <c r="G65" s="50" t="s">
        <v>1101</v>
      </c>
      <c r="H65" s="51">
        <v>1981</v>
      </c>
      <c r="I65" s="45">
        <v>3353</v>
      </c>
      <c r="J65" s="52">
        <v>1</v>
      </c>
      <c r="K65" s="53">
        <f t="shared" si="0"/>
        <v>6.6422930000000004</v>
      </c>
      <c r="L65" s="54" t="s">
        <v>1095</v>
      </c>
    </row>
    <row r="66" spans="1:12" s="55" customFormat="1" ht="19.5" customHeight="1" x14ac:dyDescent="0.3">
      <c r="A66" s="44"/>
      <c r="B66" s="76"/>
      <c r="C66" s="77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76"/>
      <c r="C67" s="77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76"/>
      <c r="C68" s="77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76"/>
      <c r="C69" s="77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77"/>
      <c r="D70" s="78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45"/>
      <c r="C71" s="77"/>
      <c r="D71" s="78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9" customFormat="1" ht="20.100000000000001" customHeight="1" x14ac:dyDescent="0.3">
      <c r="A74" s="44"/>
      <c r="B74" s="45"/>
      <c r="C74" s="46"/>
      <c r="D74" s="47"/>
      <c r="E74" s="56"/>
      <c r="F74" s="57"/>
      <c r="G74" s="50"/>
      <c r="H74" s="51"/>
      <c r="I74" s="45"/>
      <c r="J74" s="52"/>
      <c r="K74" s="53">
        <f t="shared" si="0"/>
        <v>0</v>
      </c>
      <c r="L74" s="58">
        <f>SUM(J46:J75)</f>
        <v>144</v>
      </c>
    </row>
    <row r="75" spans="1:12" s="59" customFormat="1" ht="20.100000000000001" customHeight="1" x14ac:dyDescent="0.3">
      <c r="A75" s="44"/>
      <c r="B75" s="45"/>
      <c r="C75" s="46"/>
      <c r="D75" s="47"/>
      <c r="E75" s="60"/>
      <c r="F75" s="61"/>
      <c r="G75" s="62"/>
      <c r="H75" s="51"/>
      <c r="I75" s="45"/>
      <c r="J75" s="63"/>
      <c r="K75" s="53">
        <f t="shared" si="0"/>
        <v>0</v>
      </c>
      <c r="L75" s="64">
        <f>SUM(K46:K75)</f>
        <v>1055.6801989999999</v>
      </c>
    </row>
    <row r="76" spans="1:12" s="59" customFormat="1" ht="20.100000000000001" customHeight="1" thickBot="1" x14ac:dyDescent="0.35">
      <c r="A76" s="114"/>
      <c r="B76" s="115"/>
      <c r="C76" s="115"/>
      <c r="D76" s="115"/>
      <c r="E76" s="115"/>
      <c r="F76" s="115"/>
      <c r="G76" s="115"/>
      <c r="H76" s="115"/>
      <c r="I76" s="115"/>
      <c r="J76" s="65">
        <f>SUM(J7:J75)</f>
        <v>327</v>
      </c>
      <c r="K76" s="66">
        <f>SUM(K7:K75)</f>
        <v>2331.5122740000002</v>
      </c>
      <c r="L76" s="67"/>
    </row>
    <row r="77" spans="1:12" s="59" customFormat="1" ht="20.100000000000001" customHeight="1" thickTop="1" thickBot="1" x14ac:dyDescent="0.35">
      <c r="A77" s="116" t="s">
        <v>52</v>
      </c>
      <c r="B77" s="117"/>
      <c r="C77" s="68"/>
      <c r="D77" s="118">
        <f>J76</f>
        <v>327</v>
      </c>
      <c r="E77" s="119"/>
      <c r="F77" s="119"/>
      <c r="G77" s="120"/>
      <c r="H77" s="121"/>
      <c r="I77" s="121"/>
      <c r="J77" s="122"/>
      <c r="K77" s="119"/>
      <c r="L77" s="123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71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72"/>
      <c r="F83" s="5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5"/>
      <c r="G84" s="73"/>
      <c r="H84" s="5"/>
      <c r="I84" s="74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5"/>
      <c r="F88" s="70"/>
      <c r="G88" s="5"/>
      <c r="H88" s="72"/>
      <c r="I88" s="72"/>
      <c r="J88" s="5"/>
      <c r="K88" s="5"/>
      <c r="L88" s="5"/>
    </row>
    <row r="89" spans="1:12" ht="20.100000000000001" customHeight="1" x14ac:dyDescent="0.3">
      <c r="A89" s="113"/>
      <c r="B89" s="113"/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A92" s="113"/>
      <c r="B92" s="113"/>
      <c r="H92" s="72"/>
      <c r="I92" s="72"/>
    </row>
    <row r="93" spans="1:12" ht="20.100000000000001" customHeight="1" x14ac:dyDescent="0.3">
      <c r="A93" s="113"/>
      <c r="B93" s="113"/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H95" s="72"/>
      <c r="I95" s="72"/>
    </row>
    <row r="96" spans="1:12" ht="20.100000000000001" customHeight="1" x14ac:dyDescent="0.3">
      <c r="H96" s="72"/>
      <c r="I96" s="72"/>
    </row>
    <row r="97" spans="1:12" s="72" customFormat="1" ht="20.100000000000001" customHeight="1" x14ac:dyDescent="0.3">
      <c r="A97" s="69"/>
      <c r="B97" s="5"/>
      <c r="C97" s="5"/>
      <c r="D97" s="5"/>
      <c r="E97" s="5"/>
      <c r="F97" s="70"/>
      <c r="G97" s="5"/>
      <c r="J97" s="5"/>
      <c r="K97" s="5"/>
      <c r="L97" s="5"/>
    </row>
    <row r="98" spans="1:12" s="72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5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5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5" customFormat="1" ht="19.5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2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ht="19.5" customHeight="1" x14ac:dyDescent="0.3"/>
    <row r="105" spans="1:12" ht="19.5" customHeight="1" x14ac:dyDescent="0.3"/>
    <row r="106" spans="1:12" ht="19.5" customHeight="1" x14ac:dyDescent="0.3"/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>
        <v>2</v>
      </c>
      <c r="C167" s="5"/>
      <c r="D167" s="5"/>
      <c r="E167" s="5"/>
      <c r="F167" s="70"/>
      <c r="G167" s="5"/>
      <c r="H167" s="5"/>
      <c r="I167" s="5"/>
      <c r="J167" s="5"/>
      <c r="K167" s="5"/>
      <c r="L167" s="5"/>
    </row>
  </sheetData>
  <mergeCells count="30">
    <mergeCell ref="A92:B92"/>
    <mergeCell ref="A93:B93"/>
    <mergeCell ref="A83:B83"/>
    <mergeCell ref="A84:B84"/>
    <mergeCell ref="A85:B85"/>
    <mergeCell ref="A87:B87"/>
    <mergeCell ref="A88:B88"/>
    <mergeCell ref="A89:B89"/>
    <mergeCell ref="A82:B82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6:I76"/>
    <mergeCell ref="A77:B77"/>
    <mergeCell ref="D77:G77"/>
    <mergeCell ref="H77:J77"/>
    <mergeCell ref="K77:L77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L151"/>
  <sheetViews>
    <sheetView view="pageBreakPreview" topLeftCell="A33" zoomScale="85" zoomScaleSheetLayoutView="85" workbookViewId="0">
      <selection activeCell="G31" sqref="G31:J46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46055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9" si="0">(H7/1000*I7/1000)*J7</f>
        <v>0</v>
      </c>
      <c r="L7" s="26">
        <f>SUM(J7:J29)</f>
        <v>173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SUM(K7:K29)</f>
        <v>1163.467529</v>
      </c>
    </row>
    <row r="9" spans="1:12" s="27" customFormat="1" ht="19.5" customHeight="1" x14ac:dyDescent="0.3">
      <c r="A9" s="28" t="s">
        <v>1059</v>
      </c>
      <c r="B9" s="16" t="s">
        <v>353</v>
      </c>
      <c r="C9" s="17">
        <v>22</v>
      </c>
      <c r="D9" s="18" t="s">
        <v>307</v>
      </c>
      <c r="E9" s="41">
        <v>128</v>
      </c>
      <c r="F9" s="42">
        <v>97.44</v>
      </c>
      <c r="G9" s="34" t="s">
        <v>49</v>
      </c>
      <c r="H9" s="35">
        <v>1829</v>
      </c>
      <c r="I9" s="36">
        <v>3353</v>
      </c>
      <c r="J9" s="37">
        <v>17</v>
      </c>
      <c r="K9" s="38">
        <f t="shared" si="0"/>
        <v>104.254829</v>
      </c>
      <c r="L9" s="39" t="s">
        <v>321</v>
      </c>
    </row>
    <row r="10" spans="1:12" s="27" customFormat="1" ht="19.5" customHeight="1" x14ac:dyDescent="0.3">
      <c r="A10" s="28"/>
      <c r="B10" s="16"/>
      <c r="C10" s="17">
        <v>22</v>
      </c>
      <c r="D10" s="18" t="s">
        <v>320</v>
      </c>
      <c r="E10" s="81">
        <v>128</v>
      </c>
      <c r="F10" s="82">
        <v>97.44</v>
      </c>
      <c r="G10" s="34" t="s">
        <v>18</v>
      </c>
      <c r="H10" s="35">
        <v>1829</v>
      </c>
      <c r="I10" s="36">
        <v>3353</v>
      </c>
      <c r="J10" s="37">
        <v>17</v>
      </c>
      <c r="K10" s="38">
        <f t="shared" si="0"/>
        <v>104.254829</v>
      </c>
      <c r="L10" s="39" t="s">
        <v>321</v>
      </c>
    </row>
    <row r="11" spans="1:12" s="27" customFormat="1" ht="19.5" customHeight="1" x14ac:dyDescent="0.3">
      <c r="A11" s="28"/>
      <c r="B11" s="16"/>
      <c r="C11" s="17"/>
      <c r="D11" s="18"/>
      <c r="E11" s="81"/>
      <c r="F11" s="82"/>
      <c r="G11" s="34" t="s">
        <v>39</v>
      </c>
      <c r="H11" s="35">
        <v>1829</v>
      </c>
      <c r="I11" s="36">
        <v>3353</v>
      </c>
      <c r="J11" s="37">
        <v>34</v>
      </c>
      <c r="K11" s="38">
        <f t="shared" si="0"/>
        <v>208.509658</v>
      </c>
      <c r="L11" s="39" t="s">
        <v>321</v>
      </c>
    </row>
    <row r="12" spans="1:12" s="27" customFormat="1" ht="19.5" customHeight="1" x14ac:dyDescent="0.3">
      <c r="A12" s="28"/>
      <c r="B12" s="16"/>
      <c r="C12" s="17"/>
      <c r="D12" s="18"/>
      <c r="E12" s="81"/>
      <c r="F12" s="8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1060</v>
      </c>
      <c r="B13" s="16" t="s">
        <v>1061</v>
      </c>
      <c r="C13" s="17">
        <v>24</v>
      </c>
      <c r="D13" s="18" t="s">
        <v>1062</v>
      </c>
      <c r="E13" s="81">
        <v>153</v>
      </c>
      <c r="F13" s="82">
        <v>135.9</v>
      </c>
      <c r="G13" s="34" t="s">
        <v>1064</v>
      </c>
      <c r="H13" s="35">
        <v>1981</v>
      </c>
      <c r="I13" s="36">
        <v>3353</v>
      </c>
      <c r="J13" s="37">
        <v>25</v>
      </c>
      <c r="K13" s="38">
        <f t="shared" si="0"/>
        <v>166.05732500000002</v>
      </c>
      <c r="L13" s="39"/>
    </row>
    <row r="14" spans="1:12" s="27" customFormat="1" ht="19.5" customHeight="1" x14ac:dyDescent="0.3">
      <c r="A14" s="28"/>
      <c r="B14" s="16"/>
      <c r="C14" s="17">
        <v>24</v>
      </c>
      <c r="D14" s="18" t="s">
        <v>1063</v>
      </c>
      <c r="E14" s="81">
        <v>172</v>
      </c>
      <c r="F14" s="82">
        <v>195.56</v>
      </c>
      <c r="G14" s="34" t="s">
        <v>18</v>
      </c>
      <c r="H14" s="35">
        <v>2590</v>
      </c>
      <c r="I14" s="36">
        <v>3353</v>
      </c>
      <c r="J14" s="37">
        <v>24</v>
      </c>
      <c r="K14" s="38">
        <f t="shared" si="0"/>
        <v>208.42247999999995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18" t="s">
        <v>1062</v>
      </c>
      <c r="E15" s="81">
        <v>18</v>
      </c>
      <c r="F15" s="82">
        <v>21.06</v>
      </c>
      <c r="G15" s="34" t="s">
        <v>19</v>
      </c>
      <c r="H15" s="35">
        <v>1981</v>
      </c>
      <c r="I15" s="36">
        <v>3353</v>
      </c>
      <c r="J15" s="37">
        <v>56</v>
      </c>
      <c r="K15" s="38">
        <f t="shared" si="0"/>
        <v>371.96840800000001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81"/>
      <c r="F17" s="8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81"/>
      <c r="F18" s="8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31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29"/>
      <c r="C29" s="30"/>
      <c r="D29" s="31"/>
      <c r="E29" s="41"/>
      <c r="F29" s="42"/>
      <c r="G29" s="43"/>
      <c r="H29" s="35"/>
      <c r="I29" s="36"/>
      <c r="J29" s="37"/>
      <c r="K29" s="38">
        <f t="shared" si="0"/>
        <v>0</v>
      </c>
      <c r="L29" s="39"/>
    </row>
    <row r="30" spans="1:12" s="55" customFormat="1" ht="19.5" customHeight="1" x14ac:dyDescent="0.3">
      <c r="A30" s="44"/>
      <c r="B30" s="45"/>
      <c r="C30" s="46"/>
      <c r="D30" s="47"/>
      <c r="E30" s="48"/>
      <c r="F30" s="49"/>
      <c r="G30" s="50"/>
      <c r="H30" s="51"/>
      <c r="I30" s="45"/>
      <c r="J30" s="52"/>
      <c r="K30" s="53">
        <f t="shared" si="0"/>
        <v>0</v>
      </c>
      <c r="L30" s="54"/>
    </row>
    <row r="31" spans="1:12" s="55" customFormat="1" ht="19.5" customHeight="1" x14ac:dyDescent="0.3">
      <c r="A31" s="44" t="s">
        <v>944</v>
      </c>
      <c r="B31" s="76" t="s">
        <v>951</v>
      </c>
      <c r="C31" s="77">
        <v>24</v>
      </c>
      <c r="D31" s="47" t="s">
        <v>55</v>
      </c>
      <c r="E31" s="48">
        <v>276</v>
      </c>
      <c r="F31" s="49">
        <v>224.94</v>
      </c>
      <c r="G31" s="50" t="s">
        <v>18</v>
      </c>
      <c r="H31" s="51">
        <v>2590</v>
      </c>
      <c r="I31" s="45">
        <v>3353</v>
      </c>
      <c r="J31" s="52">
        <v>24</v>
      </c>
      <c r="K31" s="53">
        <f t="shared" si="0"/>
        <v>208.42247999999995</v>
      </c>
      <c r="L31" s="54" t="s">
        <v>1045</v>
      </c>
    </row>
    <row r="32" spans="1:12" s="55" customFormat="1" ht="19.5" customHeight="1" x14ac:dyDescent="0.3">
      <c r="A32" s="44" t="s">
        <v>945</v>
      </c>
      <c r="B32" s="76" t="s">
        <v>951</v>
      </c>
      <c r="C32" s="77">
        <v>24</v>
      </c>
      <c r="D32" s="47" t="s">
        <v>55</v>
      </c>
      <c r="E32" s="48">
        <v>90</v>
      </c>
      <c r="F32" s="49">
        <v>105.2</v>
      </c>
      <c r="G32" s="50" t="s">
        <v>18</v>
      </c>
      <c r="H32" s="51">
        <v>2590</v>
      </c>
      <c r="I32" s="45">
        <v>3048</v>
      </c>
      <c r="J32" s="52">
        <v>19</v>
      </c>
      <c r="K32" s="53">
        <f t="shared" si="0"/>
        <v>149.99207999999999</v>
      </c>
      <c r="L32" s="54" t="s">
        <v>1045</v>
      </c>
    </row>
    <row r="33" spans="1:12" s="55" customFormat="1" ht="19.5" customHeight="1" x14ac:dyDescent="0.3">
      <c r="A33" s="44"/>
      <c r="B33" s="76"/>
      <c r="C33" s="77"/>
      <c r="D33" s="47"/>
      <c r="E33" s="48"/>
      <c r="F33" s="49"/>
      <c r="G33" s="50" t="s">
        <v>18</v>
      </c>
      <c r="H33" s="51">
        <v>1981</v>
      </c>
      <c r="I33" s="45">
        <v>3353</v>
      </c>
      <c r="J33" s="52">
        <v>1</v>
      </c>
      <c r="K33" s="53">
        <f t="shared" si="0"/>
        <v>6.6422930000000004</v>
      </c>
      <c r="L33" s="54"/>
    </row>
    <row r="34" spans="1:12" s="55" customFormat="1" ht="19.5" customHeight="1" x14ac:dyDescent="0.3">
      <c r="A34" s="44"/>
      <c r="B34" s="76"/>
      <c r="C34" s="77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950</v>
      </c>
      <c r="B35" s="76" t="s">
        <v>951</v>
      </c>
      <c r="C35" s="77">
        <v>24</v>
      </c>
      <c r="D35" s="47" t="s">
        <v>55</v>
      </c>
      <c r="E35" s="48">
        <v>85</v>
      </c>
      <c r="F35" s="49">
        <v>100.23</v>
      </c>
      <c r="G35" s="50" t="s">
        <v>18</v>
      </c>
      <c r="H35" s="51">
        <v>2590</v>
      </c>
      <c r="I35" s="45">
        <v>3353</v>
      </c>
      <c r="J35" s="52">
        <v>33</v>
      </c>
      <c r="K35" s="53">
        <f t="shared" si="0"/>
        <v>286.5809099999999</v>
      </c>
      <c r="L35" s="54" t="s">
        <v>1044</v>
      </c>
    </row>
    <row r="36" spans="1:12" s="55" customFormat="1" ht="19.5" customHeight="1" x14ac:dyDescent="0.3">
      <c r="A36" s="44" t="s">
        <v>952</v>
      </c>
      <c r="B36" s="76" t="s">
        <v>951</v>
      </c>
      <c r="C36" s="77">
        <v>24</v>
      </c>
      <c r="D36" s="47" t="s">
        <v>55</v>
      </c>
      <c r="E36" s="48">
        <v>209</v>
      </c>
      <c r="F36" s="49">
        <v>164.69</v>
      </c>
      <c r="G36" s="50"/>
      <c r="H36" s="51"/>
      <c r="I36" s="45"/>
      <c r="J36" s="52"/>
      <c r="K36" s="53">
        <f t="shared" si="0"/>
        <v>0</v>
      </c>
      <c r="L36" s="54" t="s">
        <v>1044</v>
      </c>
    </row>
    <row r="37" spans="1:12" s="55" customFormat="1" ht="19.5" customHeight="1" x14ac:dyDescent="0.3">
      <c r="A37" s="44"/>
      <c r="B37" s="76"/>
      <c r="C37" s="77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1046</v>
      </c>
      <c r="B38" s="76" t="s">
        <v>1047</v>
      </c>
      <c r="C38" s="77">
        <v>24</v>
      </c>
      <c r="D38" s="47" t="s">
        <v>1048</v>
      </c>
      <c r="E38" s="48">
        <v>2</v>
      </c>
      <c r="F38" s="49">
        <v>1.32</v>
      </c>
      <c r="G38" s="50" t="s">
        <v>1049</v>
      </c>
      <c r="H38" s="51">
        <v>1981</v>
      </c>
      <c r="I38" s="45">
        <v>3353</v>
      </c>
      <c r="J38" s="52">
        <v>1</v>
      </c>
      <c r="K38" s="53">
        <f t="shared" si="0"/>
        <v>6.6422930000000004</v>
      </c>
      <c r="L38" s="54" t="s">
        <v>1052</v>
      </c>
    </row>
    <row r="39" spans="1:12" s="55" customFormat="1" ht="19.5" customHeight="1" x14ac:dyDescent="0.3">
      <c r="A39" s="44" t="s">
        <v>1050</v>
      </c>
      <c r="B39" s="76" t="s">
        <v>1047</v>
      </c>
      <c r="C39" s="77">
        <v>24</v>
      </c>
      <c r="D39" s="47" t="s">
        <v>1048</v>
      </c>
      <c r="E39" s="48">
        <v>1</v>
      </c>
      <c r="F39" s="49">
        <v>0.93</v>
      </c>
      <c r="G39" s="50"/>
      <c r="H39" s="51"/>
      <c r="I39" s="45"/>
      <c r="J39" s="52"/>
      <c r="K39" s="53">
        <f t="shared" si="0"/>
        <v>0</v>
      </c>
      <c r="L39" s="54" t="s">
        <v>1052</v>
      </c>
    </row>
    <row r="40" spans="1:12" s="55" customFormat="1" ht="19.5" customHeight="1" x14ac:dyDescent="0.3">
      <c r="A40" s="44" t="s">
        <v>1051</v>
      </c>
      <c r="B40" s="76" t="s">
        <v>1047</v>
      </c>
      <c r="C40" s="77">
        <v>24</v>
      </c>
      <c r="D40" s="47" t="s">
        <v>1048</v>
      </c>
      <c r="E40" s="48">
        <v>2</v>
      </c>
      <c r="F40" s="49">
        <v>1.27</v>
      </c>
      <c r="G40" s="50"/>
      <c r="H40" s="51"/>
      <c r="I40" s="45"/>
      <c r="J40" s="52"/>
      <c r="K40" s="53">
        <f t="shared" si="0"/>
        <v>0</v>
      </c>
      <c r="L40" s="54" t="s">
        <v>1052</v>
      </c>
    </row>
    <row r="41" spans="1:12" s="55" customFormat="1" ht="19.5" customHeight="1" x14ac:dyDescent="0.3">
      <c r="A41" s="44"/>
      <c r="B41" s="76"/>
      <c r="C41" s="77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1053</v>
      </c>
      <c r="B42" s="76" t="s">
        <v>1054</v>
      </c>
      <c r="C42" s="77">
        <v>22</v>
      </c>
      <c r="D42" s="47" t="s">
        <v>1055</v>
      </c>
      <c r="E42" s="48">
        <v>52</v>
      </c>
      <c r="F42" s="49">
        <v>63.68</v>
      </c>
      <c r="G42" s="50" t="s">
        <v>1056</v>
      </c>
      <c r="H42" s="51">
        <v>2590</v>
      </c>
      <c r="I42" s="45">
        <v>3048</v>
      </c>
      <c r="J42" s="52">
        <v>10</v>
      </c>
      <c r="K42" s="53">
        <f t="shared" si="0"/>
        <v>78.94319999999999</v>
      </c>
      <c r="L42" s="54"/>
    </row>
    <row r="43" spans="1:12" s="55" customFormat="1" ht="19.5" customHeight="1" x14ac:dyDescent="0.3">
      <c r="A43" s="44"/>
      <c r="B43" s="76"/>
      <c r="C43" s="77"/>
      <c r="D43" s="47"/>
      <c r="E43" s="48"/>
      <c r="F43" s="49"/>
      <c r="G43" s="50" t="s">
        <v>1057</v>
      </c>
      <c r="H43" s="51">
        <v>1981</v>
      </c>
      <c r="I43" s="45">
        <v>3353</v>
      </c>
      <c r="J43" s="52">
        <v>12</v>
      </c>
      <c r="K43" s="53">
        <f t="shared" si="0"/>
        <v>79.707515999999998</v>
      </c>
      <c r="L43" s="54"/>
    </row>
    <row r="44" spans="1:12" s="55" customFormat="1" ht="19.5" customHeight="1" x14ac:dyDescent="0.3">
      <c r="A44" s="44"/>
      <c r="B44" s="76"/>
      <c r="C44" s="77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1058</v>
      </c>
      <c r="B45" s="76"/>
      <c r="C45" s="77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1053</v>
      </c>
      <c r="B46" s="76" t="s">
        <v>21</v>
      </c>
      <c r="C46" s="77">
        <v>22</v>
      </c>
      <c r="D46" s="47" t="s">
        <v>1065</v>
      </c>
      <c r="E46" s="48">
        <v>460</v>
      </c>
      <c r="F46" s="49">
        <v>390.04</v>
      </c>
      <c r="G46" s="50" t="s">
        <v>19</v>
      </c>
      <c r="H46" s="51">
        <v>1981</v>
      </c>
      <c r="I46" s="45">
        <v>3353</v>
      </c>
      <c r="J46" s="52">
        <v>64</v>
      </c>
      <c r="K46" s="53">
        <f t="shared" si="0"/>
        <v>425.10675200000003</v>
      </c>
      <c r="L46" s="54" t="s">
        <v>106</v>
      </c>
    </row>
    <row r="47" spans="1:12" s="55" customFormat="1" ht="19.5" customHeight="1" x14ac:dyDescent="0.3">
      <c r="A47" s="44"/>
      <c r="B47" s="76"/>
      <c r="C47" s="77"/>
      <c r="D47" s="47"/>
      <c r="E47" s="48"/>
      <c r="F47" s="49"/>
      <c r="G47" s="50"/>
      <c r="H47" s="51"/>
      <c r="I47" s="45"/>
      <c r="J47" s="52"/>
      <c r="K47" s="53">
        <f t="shared" ref="K47:K51" si="1">(H47/1000*I47/1000)*J47</f>
        <v>0</v>
      </c>
      <c r="L47" s="54"/>
    </row>
    <row r="48" spans="1:12" s="55" customFormat="1" ht="19.5" customHeight="1" x14ac:dyDescent="0.3">
      <c r="A48" s="44"/>
      <c r="B48" s="76"/>
      <c r="C48" s="77"/>
      <c r="D48" s="47"/>
      <c r="E48" s="48"/>
      <c r="F48" s="49"/>
      <c r="G48" s="50"/>
      <c r="H48" s="51"/>
      <c r="I48" s="45"/>
      <c r="J48" s="52"/>
      <c r="K48" s="53">
        <f t="shared" si="1"/>
        <v>0</v>
      </c>
      <c r="L48" s="54"/>
    </row>
    <row r="49" spans="1:12" s="55" customFormat="1" ht="19.5" customHeight="1" x14ac:dyDescent="0.3">
      <c r="A49" s="44"/>
      <c r="B49" s="76"/>
      <c r="C49" s="77"/>
      <c r="D49" s="47"/>
      <c r="E49" s="48"/>
      <c r="F49" s="49"/>
      <c r="G49" s="50"/>
      <c r="H49" s="51"/>
      <c r="I49" s="45"/>
      <c r="J49" s="52"/>
      <c r="K49" s="53">
        <f t="shared" si="1"/>
        <v>0</v>
      </c>
      <c r="L49" s="54"/>
    </row>
    <row r="50" spans="1:12" s="55" customFormat="1" ht="19.5" customHeight="1" x14ac:dyDescent="0.3">
      <c r="A50" s="44"/>
      <c r="B50" s="76"/>
      <c r="C50" s="77"/>
      <c r="D50" s="47"/>
      <c r="E50" s="48"/>
      <c r="F50" s="49"/>
      <c r="G50" s="50"/>
      <c r="H50" s="51"/>
      <c r="I50" s="45"/>
      <c r="J50" s="52"/>
      <c r="K50" s="53">
        <f t="shared" si="1"/>
        <v>0</v>
      </c>
      <c r="L50" s="54"/>
    </row>
    <row r="51" spans="1:12" s="55" customFormat="1" ht="19.5" customHeight="1" x14ac:dyDescent="0.3">
      <c r="A51" s="44"/>
      <c r="B51" s="76"/>
      <c r="C51" s="77"/>
      <c r="D51" s="47"/>
      <c r="E51" s="48"/>
      <c r="F51" s="49"/>
      <c r="G51" s="50"/>
      <c r="H51" s="51"/>
      <c r="I51" s="45"/>
      <c r="J51" s="52"/>
      <c r="K51" s="53">
        <f t="shared" si="1"/>
        <v>0</v>
      </c>
      <c r="L51" s="54"/>
    </row>
    <row r="52" spans="1:12" s="55" customFormat="1" ht="19.5" customHeight="1" x14ac:dyDescent="0.3">
      <c r="A52" s="44"/>
      <c r="B52" s="76"/>
      <c r="C52" s="77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77"/>
      <c r="D54" s="78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77"/>
      <c r="D55" s="78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9" customFormat="1" ht="20.100000000000001" customHeight="1" x14ac:dyDescent="0.3">
      <c r="A58" s="44"/>
      <c r="B58" s="45"/>
      <c r="C58" s="46"/>
      <c r="D58" s="47"/>
      <c r="E58" s="56"/>
      <c r="F58" s="57"/>
      <c r="G58" s="50"/>
      <c r="H58" s="51"/>
      <c r="I58" s="45"/>
      <c r="J58" s="52"/>
      <c r="K58" s="53">
        <f t="shared" si="0"/>
        <v>0</v>
      </c>
      <c r="L58" s="58">
        <f>SUM(J30:J59)</f>
        <v>164</v>
      </c>
    </row>
    <row r="59" spans="1:12" s="59" customFormat="1" ht="20.100000000000001" customHeight="1" x14ac:dyDescent="0.3">
      <c r="A59" s="44"/>
      <c r="B59" s="45"/>
      <c r="C59" s="46"/>
      <c r="D59" s="47"/>
      <c r="E59" s="60"/>
      <c r="F59" s="61"/>
      <c r="G59" s="62"/>
      <c r="H59" s="51"/>
      <c r="I59" s="45"/>
      <c r="J59" s="63"/>
      <c r="K59" s="53">
        <f t="shared" si="0"/>
        <v>0</v>
      </c>
      <c r="L59" s="64">
        <f>SUM(K30:K59)</f>
        <v>1242.0375239999998</v>
      </c>
    </row>
    <row r="60" spans="1:12" s="59" customFormat="1" ht="20.100000000000001" customHeight="1" thickBot="1" x14ac:dyDescent="0.35">
      <c r="A60" s="114"/>
      <c r="B60" s="115"/>
      <c r="C60" s="115"/>
      <c r="D60" s="115"/>
      <c r="E60" s="115"/>
      <c r="F60" s="115"/>
      <c r="G60" s="115"/>
      <c r="H60" s="115"/>
      <c r="I60" s="115"/>
      <c r="J60" s="65">
        <f>SUM(J7:J59)</f>
        <v>337</v>
      </c>
      <c r="K60" s="66">
        <f>SUM(K7:K59)</f>
        <v>2405.5050529999999</v>
      </c>
      <c r="L60" s="67"/>
    </row>
    <row r="61" spans="1:12" s="59" customFormat="1" ht="20.100000000000001" customHeight="1" thickTop="1" thickBot="1" x14ac:dyDescent="0.35">
      <c r="A61" s="116" t="s">
        <v>52</v>
      </c>
      <c r="B61" s="117"/>
      <c r="C61" s="68"/>
      <c r="D61" s="118">
        <f>J60</f>
        <v>337</v>
      </c>
      <c r="E61" s="119"/>
      <c r="F61" s="119"/>
      <c r="G61" s="120"/>
      <c r="H61" s="121"/>
      <c r="I61" s="121"/>
      <c r="J61" s="122"/>
      <c r="K61" s="119"/>
      <c r="L61" s="123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71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72"/>
      <c r="F67" s="5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5"/>
      <c r="G68" s="73"/>
      <c r="H68" s="5"/>
      <c r="I68" s="74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72"/>
      <c r="I72" s="72"/>
      <c r="J72" s="5"/>
      <c r="K72" s="5"/>
      <c r="L72" s="5"/>
    </row>
    <row r="73" spans="1:12" ht="20.100000000000001" customHeight="1" x14ac:dyDescent="0.3">
      <c r="A73" s="113"/>
      <c r="B73" s="113"/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H75" s="72"/>
      <c r="I75" s="72"/>
    </row>
    <row r="76" spans="1:12" ht="20.100000000000001" customHeight="1" x14ac:dyDescent="0.3">
      <c r="A76" s="113"/>
      <c r="B76" s="113"/>
      <c r="H76" s="72"/>
      <c r="I76" s="72"/>
    </row>
    <row r="77" spans="1:12" ht="20.100000000000001" customHeight="1" x14ac:dyDescent="0.3">
      <c r="A77" s="113"/>
      <c r="B77" s="113"/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s="72" customFormat="1" ht="20.100000000000001" customHeight="1" x14ac:dyDescent="0.3">
      <c r="A81" s="69"/>
      <c r="B81" s="5"/>
      <c r="C81" s="5"/>
      <c r="D81" s="5"/>
      <c r="E81" s="5"/>
      <c r="F81" s="70"/>
      <c r="G81" s="5"/>
      <c r="J81" s="5"/>
      <c r="K81" s="5"/>
      <c r="L81" s="5"/>
    </row>
    <row r="82" spans="1:12" s="72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5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5" customFormat="1" ht="19.5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ht="19.5" customHeight="1" x14ac:dyDescent="0.3"/>
    <row r="89" spans="1:12" ht="19.5" customHeight="1" x14ac:dyDescent="0.3"/>
    <row r="90" spans="1:12" ht="19.5" customHeight="1" x14ac:dyDescent="0.3"/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>
        <v>2</v>
      </c>
      <c r="C151" s="5"/>
      <c r="D151" s="5"/>
      <c r="E151" s="5"/>
      <c r="F151" s="70"/>
      <c r="G151" s="5"/>
      <c r="H151" s="5"/>
      <c r="I151" s="5"/>
      <c r="J151" s="5"/>
      <c r="K151" s="5"/>
      <c r="L151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6:B6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0:I60"/>
    <mergeCell ref="A61:B61"/>
    <mergeCell ref="D61:G61"/>
    <mergeCell ref="H61:J61"/>
    <mergeCell ref="K61:L61"/>
    <mergeCell ref="A76:B76"/>
    <mergeCell ref="A77:B77"/>
    <mergeCell ref="A67:B67"/>
    <mergeCell ref="A68:B68"/>
    <mergeCell ref="A69:B69"/>
    <mergeCell ref="A71:B71"/>
    <mergeCell ref="A72:B72"/>
    <mergeCell ref="A73:B73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L147"/>
  <sheetViews>
    <sheetView view="pageBreakPreview" topLeftCell="A22" zoomScale="85" zoomScaleSheetLayoutView="85" workbookViewId="0">
      <selection activeCell="A47" sqref="A4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46053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5" si="0">(H7/1000*I7/1000)*J7</f>
        <v>0</v>
      </c>
      <c r="L7" s="26">
        <f>SUM(J7:J29)</f>
        <v>152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SUM(K7:K29)</f>
        <v>932.16082399999993</v>
      </c>
    </row>
    <row r="9" spans="1:12" s="27" customFormat="1" ht="19.5" customHeight="1" x14ac:dyDescent="0.3">
      <c r="A9" s="28" t="s">
        <v>1001</v>
      </c>
      <c r="B9" s="16" t="s">
        <v>353</v>
      </c>
      <c r="C9" s="17">
        <v>22</v>
      </c>
      <c r="D9" s="18" t="s">
        <v>307</v>
      </c>
      <c r="E9" s="41">
        <f>164-124</f>
        <v>40</v>
      </c>
      <c r="F9" s="42">
        <f>141.72-129.56</f>
        <v>12.159999999999997</v>
      </c>
      <c r="G9" s="34" t="s">
        <v>49</v>
      </c>
      <c r="H9" s="35">
        <v>1829</v>
      </c>
      <c r="I9" s="36">
        <v>3353</v>
      </c>
      <c r="J9" s="37">
        <v>3</v>
      </c>
      <c r="K9" s="38">
        <f t="shared" si="0"/>
        <v>18.397911000000001</v>
      </c>
      <c r="L9" s="39" t="s">
        <v>1003</v>
      </c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1001</v>
      </c>
      <c r="B11" s="16" t="s">
        <v>353</v>
      </c>
      <c r="C11" s="17">
        <v>22</v>
      </c>
      <c r="D11" s="18" t="s">
        <v>307</v>
      </c>
      <c r="E11" s="81">
        <v>164</v>
      </c>
      <c r="F11" s="82">
        <v>141.72</v>
      </c>
      <c r="G11" s="34" t="s">
        <v>1004</v>
      </c>
      <c r="H11" s="35">
        <v>1829</v>
      </c>
      <c r="I11" s="36">
        <v>3353</v>
      </c>
      <c r="J11" s="37">
        <v>25</v>
      </c>
      <c r="K11" s="38">
        <f t="shared" si="0"/>
        <v>153.31592499999999</v>
      </c>
      <c r="L11" s="39" t="s">
        <v>1005</v>
      </c>
    </row>
    <row r="12" spans="1:12" s="27" customFormat="1" ht="19.5" customHeight="1" x14ac:dyDescent="0.3">
      <c r="A12" s="28"/>
      <c r="B12" s="16"/>
      <c r="C12" s="17"/>
      <c r="D12" s="18"/>
      <c r="E12" s="81"/>
      <c r="F12" s="8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1001</v>
      </c>
      <c r="B13" s="16" t="s">
        <v>353</v>
      </c>
      <c r="C13" s="17">
        <v>22</v>
      </c>
      <c r="D13" s="18" t="s">
        <v>320</v>
      </c>
      <c r="E13" s="81">
        <v>164</v>
      </c>
      <c r="F13" s="82">
        <v>141.72</v>
      </c>
      <c r="G13" s="34" t="s">
        <v>18</v>
      </c>
      <c r="H13" s="35">
        <v>1829</v>
      </c>
      <c r="I13" s="36">
        <v>3353</v>
      </c>
      <c r="J13" s="37">
        <v>24</v>
      </c>
      <c r="K13" s="38">
        <f t="shared" si="0"/>
        <v>147.183288</v>
      </c>
      <c r="L13" s="39" t="s">
        <v>1006</v>
      </c>
    </row>
    <row r="14" spans="1:12" s="27" customFormat="1" ht="19.5" customHeight="1" x14ac:dyDescent="0.3">
      <c r="A14" s="28"/>
      <c r="B14" s="16"/>
      <c r="C14" s="17"/>
      <c r="D14" s="18"/>
      <c r="E14" s="81"/>
      <c r="F14" s="82"/>
      <c r="G14" s="34" t="s">
        <v>39</v>
      </c>
      <c r="H14" s="35">
        <v>1829</v>
      </c>
      <c r="I14" s="36">
        <v>3353</v>
      </c>
      <c r="J14" s="37">
        <v>24</v>
      </c>
      <c r="K14" s="38">
        <f t="shared" si="0"/>
        <v>147.183288</v>
      </c>
      <c r="L14" s="39" t="s">
        <v>1006</v>
      </c>
    </row>
    <row r="15" spans="1:12" s="27" customFormat="1" ht="19.5" customHeight="1" x14ac:dyDescent="0.3">
      <c r="A15" s="28"/>
      <c r="B15" s="16"/>
      <c r="C15" s="17"/>
      <c r="D15" s="18"/>
      <c r="E15" s="81"/>
      <c r="F15" s="8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1020</v>
      </c>
      <c r="B16" s="16" t="s">
        <v>353</v>
      </c>
      <c r="C16" s="17">
        <v>22</v>
      </c>
      <c r="D16" s="18" t="s">
        <v>307</v>
      </c>
      <c r="E16" s="81">
        <v>144</v>
      </c>
      <c r="F16" s="82">
        <v>112.64</v>
      </c>
      <c r="G16" s="34" t="s">
        <v>49</v>
      </c>
      <c r="H16" s="35">
        <v>1829</v>
      </c>
      <c r="I16" s="36">
        <v>3353</v>
      </c>
      <c r="J16" s="37">
        <v>19</v>
      </c>
      <c r="K16" s="38">
        <f t="shared" si="0"/>
        <v>116.52010299999999</v>
      </c>
      <c r="L16" s="39" t="s">
        <v>1006</v>
      </c>
    </row>
    <row r="17" spans="1:12" s="27" customFormat="1" ht="19.5" customHeight="1" x14ac:dyDescent="0.3">
      <c r="A17" s="28"/>
      <c r="B17" s="16"/>
      <c r="C17" s="17">
        <v>22</v>
      </c>
      <c r="D17" s="18" t="s">
        <v>320</v>
      </c>
      <c r="E17" s="81">
        <v>144</v>
      </c>
      <c r="F17" s="82">
        <v>112.64</v>
      </c>
      <c r="G17" s="34" t="s">
        <v>18</v>
      </c>
      <c r="H17" s="35">
        <v>1829</v>
      </c>
      <c r="I17" s="36">
        <v>3353</v>
      </c>
      <c r="J17" s="37">
        <v>19</v>
      </c>
      <c r="K17" s="38">
        <f t="shared" si="0"/>
        <v>116.52010299999999</v>
      </c>
      <c r="L17" s="39" t="s">
        <v>1006</v>
      </c>
    </row>
    <row r="18" spans="1:12" s="27" customFormat="1" ht="19.5" customHeight="1" x14ac:dyDescent="0.3">
      <c r="A18" s="28"/>
      <c r="B18" s="16"/>
      <c r="C18" s="17"/>
      <c r="D18" s="18"/>
      <c r="E18" s="81"/>
      <c r="F18" s="82"/>
      <c r="G18" s="34" t="s">
        <v>39</v>
      </c>
      <c r="H18" s="35">
        <v>1829</v>
      </c>
      <c r="I18" s="36">
        <v>3353</v>
      </c>
      <c r="J18" s="37">
        <v>38</v>
      </c>
      <c r="K18" s="38">
        <f t="shared" si="0"/>
        <v>233.04020599999998</v>
      </c>
      <c r="L18" s="39" t="s">
        <v>1006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31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29"/>
      <c r="C29" s="30"/>
      <c r="D29" s="31"/>
      <c r="E29" s="41"/>
      <c r="F29" s="42"/>
      <c r="G29" s="43"/>
      <c r="H29" s="35"/>
      <c r="I29" s="36"/>
      <c r="J29" s="37"/>
      <c r="K29" s="38">
        <f t="shared" si="0"/>
        <v>0</v>
      </c>
      <c r="L29" s="39"/>
    </row>
    <row r="30" spans="1:12" s="55" customFormat="1" ht="19.5" customHeight="1" x14ac:dyDescent="0.3">
      <c r="A30" s="44"/>
      <c r="B30" s="45"/>
      <c r="C30" s="46"/>
      <c r="D30" s="47"/>
      <c r="E30" s="48"/>
      <c r="F30" s="49"/>
      <c r="G30" s="50"/>
      <c r="H30" s="51"/>
      <c r="I30" s="45"/>
      <c r="J30" s="52"/>
      <c r="K30" s="53">
        <f t="shared" si="0"/>
        <v>0</v>
      </c>
      <c r="L30" s="54"/>
    </row>
    <row r="31" spans="1:12" s="55" customFormat="1" ht="19.5" customHeight="1" x14ac:dyDescent="0.3">
      <c r="A31" s="44" t="s">
        <v>1021</v>
      </c>
      <c r="B31" s="76" t="s">
        <v>1022</v>
      </c>
      <c r="C31" s="77">
        <v>24</v>
      </c>
      <c r="D31" s="47" t="s">
        <v>1023</v>
      </c>
      <c r="E31" s="48">
        <v>10</v>
      </c>
      <c r="F31" s="49">
        <v>33.299999999999997</v>
      </c>
      <c r="G31" s="50" t="s">
        <v>1025</v>
      </c>
      <c r="H31" s="51">
        <v>1981</v>
      </c>
      <c r="I31" s="45">
        <v>3353</v>
      </c>
      <c r="J31" s="52">
        <v>10</v>
      </c>
      <c r="K31" s="53">
        <f t="shared" si="0"/>
        <v>66.422930000000008</v>
      </c>
      <c r="L31" s="54"/>
    </row>
    <row r="32" spans="1:12" s="55" customFormat="1" ht="19.5" customHeight="1" x14ac:dyDescent="0.3">
      <c r="A32" s="44"/>
      <c r="B32" s="76"/>
      <c r="C32" s="77">
        <v>24</v>
      </c>
      <c r="D32" s="47" t="s">
        <v>1024</v>
      </c>
      <c r="E32" s="48">
        <v>20</v>
      </c>
      <c r="F32" s="49">
        <v>29.1</v>
      </c>
      <c r="G32" s="50" t="s">
        <v>1026</v>
      </c>
      <c r="H32" s="51">
        <v>1981</v>
      </c>
      <c r="I32" s="45">
        <v>3353</v>
      </c>
      <c r="J32" s="52">
        <v>10</v>
      </c>
      <c r="K32" s="53">
        <f t="shared" si="0"/>
        <v>66.422930000000008</v>
      </c>
      <c r="L32" s="54" t="s">
        <v>1027</v>
      </c>
    </row>
    <row r="33" spans="1:12" s="55" customFormat="1" ht="19.5" customHeight="1" x14ac:dyDescent="0.3">
      <c r="A33" s="44"/>
      <c r="B33" s="76"/>
      <c r="C33" s="77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1028</v>
      </c>
      <c r="B34" s="76" t="s">
        <v>1029</v>
      </c>
      <c r="C34" s="77">
        <v>43</v>
      </c>
      <c r="D34" s="47" t="s">
        <v>791</v>
      </c>
      <c r="E34" s="48">
        <v>4</v>
      </c>
      <c r="F34" s="49">
        <v>4.3</v>
      </c>
      <c r="G34" s="50" t="s">
        <v>1030</v>
      </c>
      <c r="H34" s="51">
        <v>2134</v>
      </c>
      <c r="I34" s="45">
        <v>3048</v>
      </c>
      <c r="J34" s="52">
        <v>2</v>
      </c>
      <c r="K34" s="53">
        <f t="shared" si="0"/>
        <v>13.008863999999999</v>
      </c>
      <c r="L34" s="54"/>
    </row>
    <row r="35" spans="1:12" s="55" customFormat="1" ht="19.5" customHeight="1" x14ac:dyDescent="0.3">
      <c r="A35" s="44"/>
      <c r="B35" s="76"/>
      <c r="C35" s="77"/>
      <c r="D35" s="47"/>
      <c r="E35" s="48"/>
      <c r="F35" s="49"/>
      <c r="G35" s="50" t="s">
        <v>1025</v>
      </c>
      <c r="H35" s="51">
        <v>1829</v>
      </c>
      <c r="I35" s="45">
        <v>3353</v>
      </c>
      <c r="J35" s="52">
        <v>1</v>
      </c>
      <c r="K35" s="53">
        <f t="shared" si="0"/>
        <v>6.1326369999999999</v>
      </c>
      <c r="L35" s="54"/>
    </row>
    <row r="36" spans="1:12" s="55" customFormat="1" ht="19.5" customHeight="1" x14ac:dyDescent="0.3">
      <c r="A36" s="44"/>
      <c r="B36" s="76"/>
      <c r="C36" s="77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1031</v>
      </c>
      <c r="B37" s="76" t="s">
        <v>1032</v>
      </c>
      <c r="C37" s="77">
        <v>24</v>
      </c>
      <c r="D37" s="47" t="s">
        <v>1033</v>
      </c>
      <c r="E37" s="48">
        <v>8</v>
      </c>
      <c r="F37" s="49">
        <v>17.559999999999999</v>
      </c>
      <c r="G37" s="50" t="s">
        <v>1035</v>
      </c>
      <c r="H37" s="51">
        <v>3048</v>
      </c>
      <c r="I37" s="45">
        <v>3658</v>
      </c>
      <c r="J37" s="52">
        <v>2</v>
      </c>
      <c r="K37" s="53">
        <f t="shared" si="0"/>
        <v>22.299168000000002</v>
      </c>
      <c r="L37" s="54"/>
    </row>
    <row r="38" spans="1:12" s="55" customFormat="1" ht="19.5" customHeight="1" x14ac:dyDescent="0.3">
      <c r="A38" s="44"/>
      <c r="B38" s="76"/>
      <c r="C38" s="77">
        <v>28</v>
      </c>
      <c r="D38" s="47" t="s">
        <v>1034</v>
      </c>
      <c r="E38" s="48">
        <v>3</v>
      </c>
      <c r="F38" s="49">
        <v>1.17</v>
      </c>
      <c r="G38" s="50" t="s">
        <v>997</v>
      </c>
      <c r="H38" s="51">
        <v>2438</v>
      </c>
      <c r="I38" s="45">
        <v>3048</v>
      </c>
      <c r="J38" s="52">
        <v>3</v>
      </c>
      <c r="K38" s="53">
        <f t="shared" si="0"/>
        <v>22.293072000000002</v>
      </c>
      <c r="L38" s="54" t="s">
        <v>1015</v>
      </c>
    </row>
    <row r="39" spans="1:12" s="55" customFormat="1" ht="19.5" customHeight="1" x14ac:dyDescent="0.3">
      <c r="A39" s="44"/>
      <c r="B39" s="76"/>
      <c r="C39" s="77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1036</v>
      </c>
      <c r="B40" s="76" t="s">
        <v>1022</v>
      </c>
      <c r="C40" s="77">
        <v>24</v>
      </c>
      <c r="D40" s="47" t="s">
        <v>1023</v>
      </c>
      <c r="E40" s="48">
        <v>19</v>
      </c>
      <c r="F40" s="49">
        <v>59.66</v>
      </c>
      <c r="G40" s="50" t="s">
        <v>1025</v>
      </c>
      <c r="H40" s="51">
        <v>1981</v>
      </c>
      <c r="I40" s="45">
        <v>3353</v>
      </c>
      <c r="J40" s="52">
        <v>50</v>
      </c>
      <c r="K40" s="53">
        <f t="shared" si="0"/>
        <v>332.11465000000004</v>
      </c>
      <c r="L40" s="54" t="s">
        <v>1043</v>
      </c>
    </row>
    <row r="41" spans="1:12" s="55" customFormat="1" ht="19.5" customHeight="1" x14ac:dyDescent="0.3">
      <c r="A41" s="44" t="s">
        <v>1037</v>
      </c>
      <c r="B41" s="76" t="s">
        <v>1022</v>
      </c>
      <c r="C41" s="77">
        <v>24</v>
      </c>
      <c r="D41" s="47" t="s">
        <v>1023</v>
      </c>
      <c r="E41" s="48">
        <v>29</v>
      </c>
      <c r="F41" s="49">
        <v>91.06</v>
      </c>
      <c r="G41" s="50" t="s">
        <v>1026</v>
      </c>
      <c r="H41" s="51">
        <v>1981</v>
      </c>
      <c r="I41" s="45">
        <v>3353</v>
      </c>
      <c r="J41" s="52">
        <v>50</v>
      </c>
      <c r="K41" s="53">
        <f t="shared" si="0"/>
        <v>332.11465000000004</v>
      </c>
      <c r="L41" s="54" t="s">
        <v>1043</v>
      </c>
    </row>
    <row r="42" spans="1:12" s="55" customFormat="1" ht="19.5" customHeight="1" x14ac:dyDescent="0.3">
      <c r="A42" s="44" t="s">
        <v>1038</v>
      </c>
      <c r="B42" s="76" t="s">
        <v>1022</v>
      </c>
      <c r="C42" s="77">
        <v>24</v>
      </c>
      <c r="D42" s="47" t="s">
        <v>1023</v>
      </c>
      <c r="E42" s="48">
        <v>10</v>
      </c>
      <c r="F42" s="49">
        <v>31.4</v>
      </c>
      <c r="G42" s="50"/>
      <c r="H42" s="51"/>
      <c r="I42" s="45"/>
      <c r="J42" s="52"/>
      <c r="K42" s="53">
        <f t="shared" si="0"/>
        <v>0</v>
      </c>
      <c r="L42" s="54" t="s">
        <v>1043</v>
      </c>
    </row>
    <row r="43" spans="1:12" s="55" customFormat="1" ht="19.5" customHeight="1" x14ac:dyDescent="0.3">
      <c r="A43" s="44" t="s">
        <v>1039</v>
      </c>
      <c r="B43" s="76" t="s">
        <v>1022</v>
      </c>
      <c r="C43" s="77">
        <v>24</v>
      </c>
      <c r="D43" s="47" t="s">
        <v>1023</v>
      </c>
      <c r="E43" s="48">
        <v>10</v>
      </c>
      <c r="F43" s="49">
        <v>31.4</v>
      </c>
      <c r="G43" s="50"/>
      <c r="H43" s="51"/>
      <c r="I43" s="45"/>
      <c r="J43" s="52"/>
      <c r="K43" s="53">
        <f t="shared" si="0"/>
        <v>0</v>
      </c>
      <c r="L43" s="54" t="s">
        <v>1043</v>
      </c>
    </row>
    <row r="44" spans="1:12" s="55" customFormat="1" ht="19.5" customHeight="1" x14ac:dyDescent="0.3">
      <c r="A44" s="44" t="s">
        <v>1040</v>
      </c>
      <c r="B44" s="76" t="s">
        <v>1022</v>
      </c>
      <c r="C44" s="77">
        <v>24</v>
      </c>
      <c r="D44" s="47" t="s">
        <v>1023</v>
      </c>
      <c r="E44" s="48">
        <v>12</v>
      </c>
      <c r="F44" s="49">
        <v>37.68</v>
      </c>
      <c r="G44" s="50"/>
      <c r="H44" s="51"/>
      <c r="I44" s="45"/>
      <c r="J44" s="52"/>
      <c r="K44" s="53">
        <f t="shared" si="0"/>
        <v>0</v>
      </c>
      <c r="L44" s="54" t="s">
        <v>1043</v>
      </c>
    </row>
    <row r="45" spans="1:12" s="55" customFormat="1" ht="19.5" customHeight="1" x14ac:dyDescent="0.3">
      <c r="A45" s="44" t="s">
        <v>2023</v>
      </c>
      <c r="B45" s="76" t="s">
        <v>1022</v>
      </c>
      <c r="C45" s="77">
        <v>24</v>
      </c>
      <c r="D45" s="47" t="s">
        <v>1023</v>
      </c>
      <c r="E45" s="48">
        <v>10</v>
      </c>
      <c r="F45" s="49">
        <v>31.4</v>
      </c>
      <c r="G45" s="50"/>
      <c r="H45" s="51"/>
      <c r="I45" s="45"/>
      <c r="J45" s="52"/>
      <c r="K45" s="53">
        <f t="shared" si="0"/>
        <v>0</v>
      </c>
      <c r="L45" s="54" t="s">
        <v>1043</v>
      </c>
    </row>
    <row r="46" spans="1:12" s="55" customFormat="1" ht="19.5" customHeight="1" x14ac:dyDescent="0.3">
      <c r="A46" s="44" t="s">
        <v>2062</v>
      </c>
      <c r="B46" s="76" t="s">
        <v>1022</v>
      </c>
      <c r="C46" s="77">
        <v>24</v>
      </c>
      <c r="D46" s="47" t="s">
        <v>1023</v>
      </c>
      <c r="E46" s="48">
        <v>10</v>
      </c>
      <c r="F46" s="49">
        <v>31.4</v>
      </c>
      <c r="G46" s="50"/>
      <c r="H46" s="51"/>
      <c r="I46" s="45"/>
      <c r="J46" s="52"/>
      <c r="K46" s="53">
        <f t="shared" si="0"/>
        <v>0</v>
      </c>
      <c r="L46" s="54" t="s">
        <v>1043</v>
      </c>
    </row>
    <row r="47" spans="1:12" s="55" customFormat="1" ht="19.5" customHeight="1" x14ac:dyDescent="0.3">
      <c r="A47" s="44"/>
      <c r="B47" s="76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76"/>
      <c r="C48" s="77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76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45"/>
      <c r="C50" s="77"/>
      <c r="D50" s="78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77"/>
      <c r="D51" s="78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9" customFormat="1" ht="20.100000000000001" customHeight="1" x14ac:dyDescent="0.3">
      <c r="A54" s="44"/>
      <c r="B54" s="45"/>
      <c r="C54" s="46"/>
      <c r="D54" s="47"/>
      <c r="E54" s="56"/>
      <c r="F54" s="57"/>
      <c r="G54" s="50"/>
      <c r="H54" s="51"/>
      <c r="I54" s="45"/>
      <c r="J54" s="52"/>
      <c r="K54" s="53">
        <f t="shared" si="0"/>
        <v>0</v>
      </c>
      <c r="L54" s="58">
        <f>SUM(J30:J55)</f>
        <v>128</v>
      </c>
    </row>
    <row r="55" spans="1:12" s="59" customFormat="1" ht="20.100000000000001" customHeight="1" x14ac:dyDescent="0.3">
      <c r="A55" s="44"/>
      <c r="B55" s="45"/>
      <c r="C55" s="46"/>
      <c r="D55" s="47"/>
      <c r="E55" s="60"/>
      <c r="F55" s="61"/>
      <c r="G55" s="62"/>
      <c r="H55" s="51"/>
      <c r="I55" s="45"/>
      <c r="J55" s="63"/>
      <c r="K55" s="53">
        <f t="shared" si="0"/>
        <v>0</v>
      </c>
      <c r="L55" s="64">
        <f>SUM(K30:K55)</f>
        <v>860.80890100000011</v>
      </c>
    </row>
    <row r="56" spans="1:12" s="59" customFormat="1" ht="20.100000000000001" customHeight="1" thickBot="1" x14ac:dyDescent="0.35">
      <c r="A56" s="114"/>
      <c r="B56" s="115"/>
      <c r="C56" s="115"/>
      <c r="D56" s="115"/>
      <c r="E56" s="115"/>
      <c r="F56" s="115"/>
      <c r="G56" s="115"/>
      <c r="H56" s="115"/>
      <c r="I56" s="115"/>
      <c r="J56" s="65">
        <f>SUM(J7:J55)</f>
        <v>280</v>
      </c>
      <c r="K56" s="66">
        <f>SUM(K7:K55)</f>
        <v>1792.9697249999997</v>
      </c>
      <c r="L56" s="67"/>
    </row>
    <row r="57" spans="1:12" s="59" customFormat="1" ht="20.100000000000001" customHeight="1" thickTop="1" thickBot="1" x14ac:dyDescent="0.35">
      <c r="A57" s="116" t="s">
        <v>52</v>
      </c>
      <c r="B57" s="117"/>
      <c r="C57" s="68"/>
      <c r="D57" s="118">
        <f>J56</f>
        <v>280</v>
      </c>
      <c r="E57" s="119"/>
      <c r="F57" s="119"/>
      <c r="G57" s="120"/>
      <c r="H57" s="121"/>
      <c r="I57" s="121"/>
      <c r="J57" s="122"/>
      <c r="K57" s="119"/>
      <c r="L57" s="123"/>
    </row>
    <row r="58" spans="1:12" s="59" customFormat="1" ht="20.100000000000001" customHeight="1" x14ac:dyDescent="0.3">
      <c r="A58" s="69"/>
      <c r="B58" s="5"/>
      <c r="C58" s="5"/>
      <c r="D58" s="5"/>
      <c r="E58" s="5"/>
      <c r="F58" s="70"/>
      <c r="G58" s="5"/>
      <c r="H58" s="5"/>
      <c r="I58" s="5"/>
      <c r="J58" s="5"/>
      <c r="K58" s="5"/>
      <c r="L58" s="71"/>
    </row>
    <row r="59" spans="1:12" s="59" customFormat="1" ht="20.100000000000001" customHeight="1" x14ac:dyDescent="0.3">
      <c r="A59" s="69"/>
      <c r="B59" s="5"/>
      <c r="C59" s="5"/>
      <c r="D59" s="5"/>
      <c r="E59" s="5"/>
      <c r="F59" s="70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113"/>
      <c r="B62" s="113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72"/>
      <c r="F63" s="5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5"/>
      <c r="G64" s="73"/>
      <c r="H64" s="5"/>
      <c r="I64" s="74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70"/>
      <c r="G68" s="5"/>
      <c r="H68" s="72"/>
      <c r="I68" s="72"/>
      <c r="J68" s="5"/>
      <c r="K68" s="5"/>
      <c r="L68" s="5"/>
    </row>
    <row r="69" spans="1:12" ht="20.100000000000001" customHeight="1" x14ac:dyDescent="0.3">
      <c r="A69" s="113"/>
      <c r="B69" s="113"/>
      <c r="H69" s="72"/>
      <c r="I69" s="72"/>
    </row>
    <row r="70" spans="1:12" ht="20.100000000000001" customHeight="1" x14ac:dyDescent="0.3">
      <c r="H70" s="72"/>
      <c r="I70" s="72"/>
    </row>
    <row r="71" spans="1:12" ht="20.100000000000001" customHeight="1" x14ac:dyDescent="0.3">
      <c r="H71" s="72"/>
      <c r="I71" s="72"/>
    </row>
    <row r="72" spans="1:12" ht="20.100000000000001" customHeight="1" x14ac:dyDescent="0.3">
      <c r="A72" s="113"/>
      <c r="B72" s="113"/>
      <c r="H72" s="72"/>
      <c r="I72" s="72"/>
    </row>
    <row r="73" spans="1:12" ht="20.100000000000001" customHeight="1" x14ac:dyDescent="0.3">
      <c r="A73" s="113"/>
      <c r="B73" s="113"/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H75" s="72"/>
      <c r="I75" s="72"/>
    </row>
    <row r="76" spans="1:12" ht="20.100000000000001" customHeight="1" x14ac:dyDescent="0.3">
      <c r="H76" s="72"/>
      <c r="I76" s="72"/>
    </row>
    <row r="77" spans="1:12" s="72" customFormat="1" ht="20.100000000000001" customHeight="1" x14ac:dyDescent="0.3">
      <c r="A77" s="69"/>
      <c r="B77" s="5"/>
      <c r="C77" s="5"/>
      <c r="D77" s="5"/>
      <c r="E77" s="5"/>
      <c r="F77" s="70"/>
      <c r="G77" s="5"/>
      <c r="J77" s="5"/>
      <c r="K77" s="5"/>
      <c r="L77" s="5"/>
    </row>
    <row r="78" spans="1:12" s="72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75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75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5" customFormat="1" ht="19.5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2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2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ht="19.5" customHeight="1" x14ac:dyDescent="0.3"/>
    <row r="85" spans="1:12" ht="19.5" customHeight="1" x14ac:dyDescent="0.3"/>
    <row r="86" spans="1:12" ht="19.5" customHeight="1" x14ac:dyDescent="0.3"/>
    <row r="87" spans="1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>
        <v>2</v>
      </c>
      <c r="C147" s="5"/>
      <c r="D147" s="5"/>
      <c r="E147" s="5"/>
      <c r="F147" s="70"/>
      <c r="G147" s="5"/>
      <c r="H147" s="5"/>
      <c r="I147" s="5"/>
      <c r="J147" s="5"/>
      <c r="K147" s="5"/>
      <c r="L147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2:B62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6:I56"/>
    <mergeCell ref="A57:B57"/>
    <mergeCell ref="D57:G57"/>
    <mergeCell ref="H57:J57"/>
    <mergeCell ref="K57:L57"/>
    <mergeCell ref="A72:B72"/>
    <mergeCell ref="A73:B73"/>
    <mergeCell ref="A63:B63"/>
    <mergeCell ref="A64:B64"/>
    <mergeCell ref="A65:B65"/>
    <mergeCell ref="A67:B67"/>
    <mergeCell ref="A68:B68"/>
    <mergeCell ref="A69:B69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L171"/>
  <sheetViews>
    <sheetView view="pageBreakPreview" topLeftCell="A44" zoomScale="85" zoomScaleSheetLayoutView="85" workbookViewId="0">
      <selection activeCell="D63" sqref="D6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46052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9" si="0">(H7/1000*I7/1000)*J7</f>
        <v>0</v>
      </c>
      <c r="L7" s="26">
        <f>SUM(J7:J41)</f>
        <v>218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SUM(K7:K41)</f>
        <v>1337.424522</v>
      </c>
    </row>
    <row r="9" spans="1:12" s="27" customFormat="1" ht="19.5" customHeight="1" x14ac:dyDescent="0.3">
      <c r="A9" s="28" t="s">
        <v>980</v>
      </c>
      <c r="B9" s="16" t="s">
        <v>981</v>
      </c>
      <c r="C9" s="17">
        <v>22</v>
      </c>
      <c r="D9" s="18" t="s">
        <v>17</v>
      </c>
      <c r="E9" s="81">
        <v>1</v>
      </c>
      <c r="F9" s="82">
        <v>1.47</v>
      </c>
      <c r="G9" s="34" t="s">
        <v>70</v>
      </c>
      <c r="H9" s="35">
        <v>1829</v>
      </c>
      <c r="I9" s="36">
        <v>3353</v>
      </c>
      <c r="J9" s="37">
        <v>1</v>
      </c>
      <c r="K9" s="38">
        <f t="shared" si="0"/>
        <v>6.1326369999999999</v>
      </c>
      <c r="L9" s="39" t="s">
        <v>166</v>
      </c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ref="K10:K25" si="1">(H10/1000*I10/1000)*J10</f>
        <v>0</v>
      </c>
      <c r="L10" s="39"/>
    </row>
    <row r="11" spans="1:12" s="27" customFormat="1" ht="19.5" customHeight="1" x14ac:dyDescent="0.3">
      <c r="A11" s="28" t="s">
        <v>982</v>
      </c>
      <c r="B11" s="16" t="s">
        <v>353</v>
      </c>
      <c r="C11" s="17">
        <v>22</v>
      </c>
      <c r="D11" s="18" t="s">
        <v>307</v>
      </c>
      <c r="E11" s="81">
        <v>90</v>
      </c>
      <c r="F11" s="82">
        <v>71.040000000000006</v>
      </c>
      <c r="G11" s="34" t="s">
        <v>49</v>
      </c>
      <c r="H11" s="35">
        <v>1829</v>
      </c>
      <c r="I11" s="36">
        <v>3353</v>
      </c>
      <c r="J11" s="37">
        <v>12</v>
      </c>
      <c r="K11" s="38">
        <f t="shared" si="1"/>
        <v>73.591644000000002</v>
      </c>
      <c r="L11" s="39" t="s">
        <v>961</v>
      </c>
    </row>
    <row r="12" spans="1:12" s="27" customFormat="1" ht="19.5" customHeight="1" x14ac:dyDescent="0.3">
      <c r="A12" s="28"/>
      <c r="B12" s="16"/>
      <c r="C12" s="17">
        <v>22</v>
      </c>
      <c r="D12" s="18" t="s">
        <v>320</v>
      </c>
      <c r="E12" s="81">
        <v>90</v>
      </c>
      <c r="F12" s="82">
        <v>71.040000000000006</v>
      </c>
      <c r="G12" s="34" t="s">
        <v>18</v>
      </c>
      <c r="H12" s="35">
        <v>1829</v>
      </c>
      <c r="I12" s="36">
        <v>3353</v>
      </c>
      <c r="J12" s="37">
        <v>12</v>
      </c>
      <c r="K12" s="38">
        <f t="shared" si="1"/>
        <v>73.591644000000002</v>
      </c>
      <c r="L12" s="39" t="s">
        <v>961</v>
      </c>
    </row>
    <row r="13" spans="1:12" s="27" customFormat="1" ht="19.5" customHeight="1" x14ac:dyDescent="0.3">
      <c r="A13" s="28"/>
      <c r="B13" s="16"/>
      <c r="C13" s="17"/>
      <c r="D13" s="18"/>
      <c r="E13" s="81"/>
      <c r="F13" s="82"/>
      <c r="G13" s="34" t="s">
        <v>39</v>
      </c>
      <c r="H13" s="35">
        <v>1829</v>
      </c>
      <c r="I13" s="36">
        <v>3353</v>
      </c>
      <c r="J13" s="37">
        <v>25</v>
      </c>
      <c r="K13" s="38">
        <f t="shared" si="1"/>
        <v>153.31592499999999</v>
      </c>
      <c r="L13" s="39" t="s">
        <v>961</v>
      </c>
    </row>
    <row r="14" spans="1:12" s="27" customFormat="1" ht="19.5" customHeight="1" x14ac:dyDescent="0.3">
      <c r="A14" s="28"/>
      <c r="B14" s="16"/>
      <c r="C14" s="17"/>
      <c r="D14" s="18"/>
      <c r="E14" s="81"/>
      <c r="F14" s="82"/>
      <c r="G14" s="34"/>
      <c r="H14" s="35"/>
      <c r="I14" s="36"/>
      <c r="J14" s="37"/>
      <c r="K14" s="38">
        <f t="shared" si="1"/>
        <v>0</v>
      </c>
      <c r="L14" s="39"/>
    </row>
    <row r="15" spans="1:12" s="27" customFormat="1" ht="19.5" customHeight="1" x14ac:dyDescent="0.3">
      <c r="A15" s="28" t="s">
        <v>983</v>
      </c>
      <c r="B15" s="16" t="s">
        <v>353</v>
      </c>
      <c r="C15" s="17">
        <v>22</v>
      </c>
      <c r="D15" s="18" t="s">
        <v>307</v>
      </c>
      <c r="E15" s="81">
        <v>96</v>
      </c>
      <c r="F15" s="82">
        <v>73.08</v>
      </c>
      <c r="G15" s="34" t="s">
        <v>49</v>
      </c>
      <c r="H15" s="35">
        <v>1829</v>
      </c>
      <c r="I15" s="36">
        <v>3353</v>
      </c>
      <c r="J15" s="37">
        <v>12</v>
      </c>
      <c r="K15" s="38">
        <f t="shared" si="1"/>
        <v>73.591644000000002</v>
      </c>
      <c r="L15" s="39" t="s">
        <v>961</v>
      </c>
    </row>
    <row r="16" spans="1:12" s="27" customFormat="1" ht="19.5" customHeight="1" x14ac:dyDescent="0.3">
      <c r="A16" s="28"/>
      <c r="B16" s="16"/>
      <c r="C16" s="17">
        <v>22</v>
      </c>
      <c r="D16" s="18" t="s">
        <v>320</v>
      </c>
      <c r="E16" s="81">
        <v>96</v>
      </c>
      <c r="F16" s="82">
        <v>73.08</v>
      </c>
      <c r="G16" s="34" t="s">
        <v>18</v>
      </c>
      <c r="H16" s="35">
        <v>1829</v>
      </c>
      <c r="I16" s="36">
        <v>3353</v>
      </c>
      <c r="J16" s="37">
        <v>12</v>
      </c>
      <c r="K16" s="38">
        <f t="shared" si="1"/>
        <v>73.591644000000002</v>
      </c>
      <c r="L16" s="39" t="s">
        <v>961</v>
      </c>
    </row>
    <row r="17" spans="1:12" s="27" customFormat="1" ht="19.5" customHeight="1" x14ac:dyDescent="0.3">
      <c r="A17" s="28"/>
      <c r="B17" s="16"/>
      <c r="C17" s="17"/>
      <c r="D17" s="18"/>
      <c r="E17" s="81"/>
      <c r="F17" s="82"/>
      <c r="G17" s="34" t="s">
        <v>39</v>
      </c>
      <c r="H17" s="35">
        <v>1829</v>
      </c>
      <c r="I17" s="36">
        <v>3353</v>
      </c>
      <c r="J17" s="37">
        <v>25</v>
      </c>
      <c r="K17" s="38">
        <f t="shared" si="1"/>
        <v>153.31592499999999</v>
      </c>
      <c r="L17" s="39" t="s">
        <v>961</v>
      </c>
    </row>
    <row r="18" spans="1:12" s="27" customFormat="1" ht="19.5" customHeight="1" x14ac:dyDescent="0.3">
      <c r="A18" s="28"/>
      <c r="B18" s="16"/>
      <c r="C18" s="17"/>
      <c r="D18" s="18"/>
      <c r="E18" s="81"/>
      <c r="F18" s="82"/>
      <c r="G18" s="34"/>
      <c r="H18" s="35"/>
      <c r="I18" s="36"/>
      <c r="J18" s="37"/>
      <c r="K18" s="38">
        <f t="shared" si="1"/>
        <v>0</v>
      </c>
      <c r="L18" s="39"/>
    </row>
    <row r="19" spans="1:12" s="27" customFormat="1" ht="19.5" customHeight="1" x14ac:dyDescent="0.3">
      <c r="A19" s="28" t="s">
        <v>974</v>
      </c>
      <c r="B19" s="16" t="s">
        <v>353</v>
      </c>
      <c r="C19" s="17">
        <v>22</v>
      </c>
      <c r="D19" s="18" t="s">
        <v>320</v>
      </c>
      <c r="E19" s="41">
        <v>80</v>
      </c>
      <c r="F19" s="42">
        <v>44.64</v>
      </c>
      <c r="G19" s="34" t="s">
        <v>39</v>
      </c>
      <c r="H19" s="35">
        <v>1829</v>
      </c>
      <c r="I19" s="36">
        <v>3353</v>
      </c>
      <c r="J19" s="37">
        <v>7</v>
      </c>
      <c r="K19" s="38">
        <f t="shared" si="1"/>
        <v>42.928458999999997</v>
      </c>
      <c r="L19" s="39" t="s">
        <v>984</v>
      </c>
    </row>
    <row r="20" spans="1:12" s="27" customFormat="1" ht="19.5" customHeight="1" x14ac:dyDescent="0.3">
      <c r="A20" s="28"/>
      <c r="B20" s="16"/>
      <c r="C20" s="17"/>
      <c r="D20" s="18"/>
      <c r="E20" s="81"/>
      <c r="F20" s="82"/>
      <c r="G20" s="34"/>
      <c r="H20" s="35"/>
      <c r="I20" s="36"/>
      <c r="J20" s="37"/>
      <c r="K20" s="38">
        <f t="shared" si="1"/>
        <v>0</v>
      </c>
      <c r="L20" s="39"/>
    </row>
    <row r="21" spans="1:12" s="27" customFormat="1" ht="19.5" customHeight="1" x14ac:dyDescent="0.3">
      <c r="A21" s="28" t="s">
        <v>974</v>
      </c>
      <c r="B21" s="16" t="s">
        <v>353</v>
      </c>
      <c r="C21" s="17">
        <v>22</v>
      </c>
      <c r="D21" s="18" t="s">
        <v>320</v>
      </c>
      <c r="E21" s="81">
        <v>164</v>
      </c>
      <c r="F21" s="82">
        <v>141.72</v>
      </c>
      <c r="G21" s="34" t="s">
        <v>18</v>
      </c>
      <c r="H21" s="35">
        <v>1829</v>
      </c>
      <c r="I21" s="36">
        <v>3353</v>
      </c>
      <c r="J21" s="37">
        <v>25</v>
      </c>
      <c r="K21" s="38">
        <f t="shared" si="1"/>
        <v>153.31592499999999</v>
      </c>
      <c r="L21" s="39" t="s">
        <v>100</v>
      </c>
    </row>
    <row r="22" spans="1:12" s="27" customFormat="1" ht="19.5" customHeight="1" x14ac:dyDescent="0.3">
      <c r="A22" s="28"/>
      <c r="B22" s="16"/>
      <c r="C22" s="17"/>
      <c r="D22" s="18"/>
      <c r="E22" s="81"/>
      <c r="F22" s="82"/>
      <c r="G22" s="34"/>
      <c r="H22" s="35"/>
      <c r="I22" s="36"/>
      <c r="J22" s="37"/>
      <c r="K22" s="38">
        <f t="shared" si="1"/>
        <v>0</v>
      </c>
      <c r="L22" s="39"/>
    </row>
    <row r="23" spans="1:12" s="27" customFormat="1" ht="19.5" customHeight="1" x14ac:dyDescent="0.3">
      <c r="A23" s="28" t="s">
        <v>57</v>
      </c>
      <c r="B23" s="16"/>
      <c r="C23" s="17"/>
      <c r="D23" s="18"/>
      <c r="E23" s="81"/>
      <c r="F23" s="82"/>
      <c r="G23" s="34"/>
      <c r="H23" s="35"/>
      <c r="I23" s="36"/>
      <c r="J23" s="37"/>
      <c r="K23" s="38">
        <f t="shared" si="1"/>
        <v>0</v>
      </c>
      <c r="L23" s="39"/>
    </row>
    <row r="24" spans="1:12" s="27" customFormat="1" ht="19.5" customHeight="1" x14ac:dyDescent="0.3">
      <c r="A24" s="28" t="s">
        <v>991</v>
      </c>
      <c r="B24" s="16" t="s">
        <v>992</v>
      </c>
      <c r="C24" s="17">
        <v>5</v>
      </c>
      <c r="D24" s="18" t="s">
        <v>993</v>
      </c>
      <c r="E24" s="81">
        <v>1</v>
      </c>
      <c r="F24" s="82">
        <v>1.25</v>
      </c>
      <c r="G24" s="34" t="s">
        <v>997</v>
      </c>
      <c r="H24" s="35">
        <v>1981</v>
      </c>
      <c r="I24" s="36">
        <v>3353</v>
      </c>
      <c r="J24" s="37">
        <v>1</v>
      </c>
      <c r="K24" s="38">
        <f t="shared" si="1"/>
        <v>6.6422930000000004</v>
      </c>
      <c r="L24" s="39" t="s">
        <v>998</v>
      </c>
    </row>
    <row r="25" spans="1:12" s="27" customFormat="1" ht="19.5" customHeight="1" x14ac:dyDescent="0.3">
      <c r="A25" s="28" t="s">
        <v>994</v>
      </c>
      <c r="B25" s="16" t="s">
        <v>995</v>
      </c>
      <c r="C25" s="17">
        <v>22</v>
      </c>
      <c r="D25" s="18" t="s">
        <v>996</v>
      </c>
      <c r="E25" s="81">
        <v>1</v>
      </c>
      <c r="F25" s="82">
        <v>1.32</v>
      </c>
      <c r="G25" s="34"/>
      <c r="H25" s="35"/>
      <c r="I25" s="36"/>
      <c r="J25" s="37"/>
      <c r="K25" s="38">
        <f t="shared" si="1"/>
        <v>0</v>
      </c>
      <c r="L25" s="39" t="s">
        <v>999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 t="s">
        <v>1000</v>
      </c>
      <c r="B27" s="16" t="s">
        <v>353</v>
      </c>
      <c r="C27" s="17">
        <v>22</v>
      </c>
      <c r="D27" s="18" t="s">
        <v>307</v>
      </c>
      <c r="E27" s="41">
        <v>112</v>
      </c>
      <c r="F27" s="42">
        <v>92</v>
      </c>
      <c r="G27" s="34" t="s">
        <v>49</v>
      </c>
      <c r="H27" s="35">
        <v>1829</v>
      </c>
      <c r="I27" s="36">
        <v>3353</v>
      </c>
      <c r="J27" s="37">
        <v>16</v>
      </c>
      <c r="K27" s="38">
        <f t="shared" si="0"/>
        <v>98.122191999999998</v>
      </c>
      <c r="L27" s="39" t="s">
        <v>961</v>
      </c>
    </row>
    <row r="28" spans="1:12" s="27" customFormat="1" ht="19.5" customHeight="1" x14ac:dyDescent="0.3">
      <c r="A28" s="28"/>
      <c r="B28" s="16"/>
      <c r="C28" s="17">
        <v>22</v>
      </c>
      <c r="D28" s="18" t="s">
        <v>320</v>
      </c>
      <c r="E28" s="41">
        <v>112</v>
      </c>
      <c r="F28" s="42">
        <v>92</v>
      </c>
      <c r="G28" s="34" t="s">
        <v>18</v>
      </c>
      <c r="H28" s="35">
        <v>1829</v>
      </c>
      <c r="I28" s="36">
        <v>3353</v>
      </c>
      <c r="J28" s="37">
        <v>16</v>
      </c>
      <c r="K28" s="38">
        <f t="shared" si="0"/>
        <v>98.122191999999998</v>
      </c>
      <c r="L28" s="39" t="s">
        <v>961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 t="s">
        <v>39</v>
      </c>
      <c r="H29" s="35">
        <v>1829</v>
      </c>
      <c r="I29" s="36">
        <v>3353</v>
      </c>
      <c r="J29" s="37">
        <v>32</v>
      </c>
      <c r="K29" s="38">
        <f t="shared" si="0"/>
        <v>196.244384</v>
      </c>
      <c r="L29" s="39" t="s">
        <v>961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 t="s">
        <v>1001</v>
      </c>
      <c r="B31" s="16" t="s">
        <v>353</v>
      </c>
      <c r="C31" s="17">
        <v>22</v>
      </c>
      <c r="D31" s="18" t="s">
        <v>307</v>
      </c>
      <c r="E31" s="41">
        <v>124</v>
      </c>
      <c r="F31" s="42">
        <v>129.56</v>
      </c>
      <c r="G31" s="34" t="s">
        <v>49</v>
      </c>
      <c r="H31" s="35">
        <v>1829</v>
      </c>
      <c r="I31" s="36">
        <v>3353</v>
      </c>
      <c r="J31" s="37">
        <v>22</v>
      </c>
      <c r="K31" s="38">
        <f t="shared" si="0"/>
        <v>134.918014</v>
      </c>
      <c r="L31" s="39" t="s">
        <v>1002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31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38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38">
        <f t="shared" si="0"/>
        <v>0</v>
      </c>
      <c r="L40" s="39"/>
    </row>
    <row r="41" spans="1:12" s="27" customFormat="1" ht="19.5" customHeight="1" x14ac:dyDescent="0.3">
      <c r="A41" s="28"/>
      <c r="B41" s="29"/>
      <c r="C41" s="30"/>
      <c r="D41" s="31"/>
      <c r="E41" s="41"/>
      <c r="F41" s="42"/>
      <c r="G41" s="43"/>
      <c r="H41" s="35"/>
      <c r="I41" s="36"/>
      <c r="J41" s="37"/>
      <c r="K41" s="38">
        <f t="shared" si="0"/>
        <v>0</v>
      </c>
      <c r="L41" s="39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976</v>
      </c>
      <c r="B43" s="76" t="s">
        <v>110</v>
      </c>
      <c r="C43" s="77">
        <v>24</v>
      </c>
      <c r="D43" s="47" t="s">
        <v>55</v>
      </c>
      <c r="E43" s="48">
        <v>155</v>
      </c>
      <c r="F43" s="49">
        <v>148.1</v>
      </c>
      <c r="G43" s="50" t="s">
        <v>18</v>
      </c>
      <c r="H43" s="51">
        <v>1829</v>
      </c>
      <c r="I43" s="45">
        <v>3353</v>
      </c>
      <c r="J43" s="52">
        <v>8</v>
      </c>
      <c r="K43" s="53">
        <f t="shared" si="0"/>
        <v>49.061095999999999</v>
      </c>
      <c r="L43" s="54" t="s">
        <v>100</v>
      </c>
    </row>
    <row r="44" spans="1:12" s="55" customFormat="1" ht="19.5" customHeight="1" x14ac:dyDescent="0.3">
      <c r="A44" s="44"/>
      <c r="B44" s="76"/>
      <c r="C44" s="77"/>
      <c r="D44" s="47"/>
      <c r="E44" s="48"/>
      <c r="F44" s="49"/>
      <c r="G44" s="50" t="s">
        <v>18</v>
      </c>
      <c r="H44" s="51">
        <v>1981</v>
      </c>
      <c r="I44" s="45">
        <v>3353</v>
      </c>
      <c r="J44" s="52">
        <v>16</v>
      </c>
      <c r="K44" s="53">
        <f t="shared" ref="K44:K55" si="2">(H44/1000*I44/1000)*J44</f>
        <v>106.27668800000001</v>
      </c>
      <c r="L44" s="54"/>
    </row>
    <row r="45" spans="1:12" s="55" customFormat="1" ht="19.5" customHeight="1" x14ac:dyDescent="0.3">
      <c r="A45" s="44"/>
      <c r="B45" s="76"/>
      <c r="C45" s="77"/>
      <c r="D45" s="47"/>
      <c r="E45" s="48"/>
      <c r="F45" s="49"/>
      <c r="G45" s="50"/>
      <c r="H45" s="51"/>
      <c r="I45" s="45"/>
      <c r="J45" s="52"/>
      <c r="K45" s="53">
        <f t="shared" si="2"/>
        <v>0</v>
      </c>
      <c r="L45" s="54"/>
    </row>
    <row r="46" spans="1:12" s="55" customFormat="1" ht="19.5" customHeight="1" x14ac:dyDescent="0.3">
      <c r="A46" s="44" t="s">
        <v>977</v>
      </c>
      <c r="B46" s="76" t="s">
        <v>110</v>
      </c>
      <c r="C46" s="77">
        <v>24</v>
      </c>
      <c r="D46" s="47" t="s">
        <v>55</v>
      </c>
      <c r="E46" s="48">
        <v>102</v>
      </c>
      <c r="F46" s="49">
        <v>85.46</v>
      </c>
      <c r="G46" s="50" t="s">
        <v>18</v>
      </c>
      <c r="H46" s="51">
        <v>1981</v>
      </c>
      <c r="I46" s="45">
        <v>3353</v>
      </c>
      <c r="J46" s="52">
        <v>14</v>
      </c>
      <c r="K46" s="53">
        <f t="shared" si="2"/>
        <v>92.992102000000003</v>
      </c>
      <c r="L46" s="54" t="s">
        <v>100</v>
      </c>
    </row>
    <row r="47" spans="1:12" s="55" customFormat="1" ht="19.5" customHeight="1" x14ac:dyDescent="0.3">
      <c r="A47" s="44"/>
      <c r="B47" s="76"/>
      <c r="C47" s="77"/>
      <c r="D47" s="47"/>
      <c r="E47" s="48"/>
      <c r="F47" s="49"/>
      <c r="G47" s="50"/>
      <c r="H47" s="51"/>
      <c r="I47" s="45"/>
      <c r="J47" s="52"/>
      <c r="K47" s="53">
        <f t="shared" si="2"/>
        <v>0</v>
      </c>
      <c r="L47" s="54"/>
    </row>
    <row r="48" spans="1:12" s="55" customFormat="1" ht="19.5" customHeight="1" x14ac:dyDescent="0.3">
      <c r="A48" s="44" t="s">
        <v>972</v>
      </c>
      <c r="B48" s="76" t="s">
        <v>110</v>
      </c>
      <c r="C48" s="77">
        <v>24</v>
      </c>
      <c r="D48" s="47" t="s">
        <v>55</v>
      </c>
      <c r="E48" s="48">
        <v>135</v>
      </c>
      <c r="F48" s="49">
        <v>176.79</v>
      </c>
      <c r="G48" s="50" t="s">
        <v>18</v>
      </c>
      <c r="H48" s="51">
        <v>1981</v>
      </c>
      <c r="I48" s="45">
        <v>3048</v>
      </c>
      <c r="J48" s="52">
        <v>27</v>
      </c>
      <c r="K48" s="53">
        <f t="shared" si="2"/>
        <v>163.02837600000004</v>
      </c>
      <c r="L48" s="54" t="s">
        <v>100</v>
      </c>
    </row>
    <row r="49" spans="1:12" s="55" customFormat="1" ht="19.5" customHeight="1" x14ac:dyDescent="0.3">
      <c r="A49" s="44"/>
      <c r="B49" s="76"/>
      <c r="C49" s="77"/>
      <c r="D49" s="47"/>
      <c r="E49" s="48"/>
      <c r="F49" s="49"/>
      <c r="G49" s="50" t="s">
        <v>18</v>
      </c>
      <c r="H49" s="51">
        <v>1981</v>
      </c>
      <c r="I49" s="45">
        <v>3353</v>
      </c>
      <c r="J49" s="52">
        <v>4</v>
      </c>
      <c r="K49" s="53">
        <f t="shared" si="2"/>
        <v>26.569172000000002</v>
      </c>
      <c r="L49" s="54"/>
    </row>
    <row r="50" spans="1:12" s="55" customFormat="1" ht="19.5" customHeight="1" x14ac:dyDescent="0.3">
      <c r="A50" s="44"/>
      <c r="B50" s="76"/>
      <c r="C50" s="77"/>
      <c r="D50" s="47"/>
      <c r="E50" s="48"/>
      <c r="F50" s="49"/>
      <c r="G50" s="50"/>
      <c r="H50" s="51"/>
      <c r="I50" s="45"/>
      <c r="J50" s="52"/>
      <c r="K50" s="53">
        <f t="shared" si="2"/>
        <v>0</v>
      </c>
      <c r="L50" s="54"/>
    </row>
    <row r="51" spans="1:12" s="55" customFormat="1" ht="19.5" customHeight="1" x14ac:dyDescent="0.3">
      <c r="A51" s="44" t="s">
        <v>985</v>
      </c>
      <c r="B51" s="76" t="s">
        <v>694</v>
      </c>
      <c r="C51" s="77">
        <v>26</v>
      </c>
      <c r="D51" s="47" t="s">
        <v>55</v>
      </c>
      <c r="E51" s="48">
        <v>47</v>
      </c>
      <c r="F51" s="49">
        <v>59.94</v>
      </c>
      <c r="G51" s="50" t="s">
        <v>56</v>
      </c>
      <c r="H51" s="51">
        <v>2438</v>
      </c>
      <c r="I51" s="45">
        <v>3353</v>
      </c>
      <c r="J51" s="52">
        <v>8</v>
      </c>
      <c r="K51" s="53">
        <f t="shared" si="2"/>
        <v>65.396912</v>
      </c>
      <c r="L51" s="54"/>
    </row>
    <row r="52" spans="1:12" s="55" customFormat="1" ht="19.5" customHeight="1" x14ac:dyDescent="0.3">
      <c r="A52" s="44"/>
      <c r="B52" s="76"/>
      <c r="C52" s="77"/>
      <c r="D52" s="47"/>
      <c r="E52" s="48"/>
      <c r="F52" s="49"/>
      <c r="G52" s="50" t="s">
        <v>56</v>
      </c>
      <c r="H52" s="51">
        <v>1981</v>
      </c>
      <c r="I52" s="45">
        <v>3353</v>
      </c>
      <c r="J52" s="52">
        <v>1</v>
      </c>
      <c r="K52" s="53">
        <f t="shared" si="2"/>
        <v>6.6422930000000004</v>
      </c>
      <c r="L52" s="54"/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 t="s">
        <v>18</v>
      </c>
      <c r="H53" s="51">
        <v>2438</v>
      </c>
      <c r="I53" s="45">
        <v>3353</v>
      </c>
      <c r="J53" s="52">
        <v>8</v>
      </c>
      <c r="K53" s="53">
        <f t="shared" si="2"/>
        <v>65.396912</v>
      </c>
      <c r="L53" s="54"/>
    </row>
    <row r="54" spans="1:12" s="55" customFormat="1" ht="19.5" customHeight="1" x14ac:dyDescent="0.3">
      <c r="A54" s="44"/>
      <c r="B54" s="76"/>
      <c r="C54" s="77"/>
      <c r="D54" s="47"/>
      <c r="E54" s="48"/>
      <c r="F54" s="49"/>
      <c r="G54" s="50"/>
      <c r="H54" s="51"/>
      <c r="I54" s="45"/>
      <c r="J54" s="52"/>
      <c r="K54" s="53">
        <f t="shared" si="2"/>
        <v>0</v>
      </c>
      <c r="L54" s="54"/>
    </row>
    <row r="55" spans="1:12" s="55" customFormat="1" ht="19.5" customHeight="1" x14ac:dyDescent="0.3">
      <c r="A55" s="44" t="s">
        <v>986</v>
      </c>
      <c r="B55" s="76" t="s">
        <v>987</v>
      </c>
      <c r="C55" s="77">
        <v>43</v>
      </c>
      <c r="D55" s="47" t="s">
        <v>988</v>
      </c>
      <c r="E55" s="48">
        <v>10</v>
      </c>
      <c r="F55" s="49">
        <v>8.1</v>
      </c>
      <c r="G55" s="50" t="s">
        <v>56</v>
      </c>
      <c r="H55" s="51">
        <v>2438</v>
      </c>
      <c r="I55" s="45">
        <v>3353</v>
      </c>
      <c r="J55" s="52">
        <v>2</v>
      </c>
      <c r="K55" s="53">
        <f t="shared" si="2"/>
        <v>16.349228</v>
      </c>
      <c r="L55" s="54"/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 t="s">
        <v>18</v>
      </c>
      <c r="H56" s="51">
        <v>2438</v>
      </c>
      <c r="I56" s="45">
        <v>3353</v>
      </c>
      <c r="J56" s="52">
        <v>1</v>
      </c>
      <c r="K56" s="53">
        <f t="shared" si="0"/>
        <v>8.174614</v>
      </c>
      <c r="L56" s="54"/>
    </row>
    <row r="57" spans="1:12" s="55" customFormat="1" ht="19.5" customHeight="1" x14ac:dyDescent="0.3">
      <c r="A57" s="44"/>
      <c r="B57" s="76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989</v>
      </c>
      <c r="B58" s="76" t="s">
        <v>110</v>
      </c>
      <c r="C58" s="77">
        <v>24</v>
      </c>
      <c r="D58" s="47" t="s">
        <v>55</v>
      </c>
      <c r="E58" s="48">
        <v>103</v>
      </c>
      <c r="F58" s="49">
        <v>45.41</v>
      </c>
      <c r="G58" s="50" t="s">
        <v>18</v>
      </c>
      <c r="H58" s="51">
        <v>1981</v>
      </c>
      <c r="I58" s="45">
        <v>3353</v>
      </c>
      <c r="J58" s="52">
        <v>8</v>
      </c>
      <c r="K58" s="53">
        <f t="shared" si="0"/>
        <v>53.138344000000004</v>
      </c>
      <c r="L58" s="54" t="s">
        <v>100</v>
      </c>
    </row>
    <row r="59" spans="1:12" s="55" customFormat="1" ht="19.5" customHeight="1" x14ac:dyDescent="0.3">
      <c r="A59" s="44"/>
      <c r="B59" s="76"/>
      <c r="C59" s="77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966</v>
      </c>
      <c r="B60" s="76" t="s">
        <v>110</v>
      </c>
      <c r="C60" s="77">
        <v>24</v>
      </c>
      <c r="D60" s="47" t="s">
        <v>55</v>
      </c>
      <c r="E60" s="48">
        <v>129</v>
      </c>
      <c r="F60" s="49">
        <v>159.13</v>
      </c>
      <c r="G60" s="50" t="s">
        <v>18</v>
      </c>
      <c r="H60" s="51">
        <v>1981</v>
      </c>
      <c r="I60" s="45">
        <v>3048</v>
      </c>
      <c r="J60" s="52">
        <v>43</v>
      </c>
      <c r="K60" s="53">
        <f t="shared" si="0"/>
        <v>259.63778400000007</v>
      </c>
      <c r="L60" s="54" t="s">
        <v>990</v>
      </c>
    </row>
    <row r="61" spans="1:12" s="55" customFormat="1" ht="19.5" customHeight="1" x14ac:dyDescent="0.3">
      <c r="A61" s="44" t="s">
        <v>968</v>
      </c>
      <c r="B61" s="76" t="s">
        <v>110</v>
      </c>
      <c r="C61" s="77">
        <v>24</v>
      </c>
      <c r="D61" s="47" t="s">
        <v>55</v>
      </c>
      <c r="E61" s="48">
        <v>57</v>
      </c>
      <c r="F61" s="49">
        <v>82.91</v>
      </c>
      <c r="G61" s="50"/>
      <c r="H61" s="51"/>
      <c r="I61" s="45"/>
      <c r="J61" s="52"/>
      <c r="K61" s="53">
        <f t="shared" si="0"/>
        <v>0</v>
      </c>
      <c r="L61" s="54" t="s">
        <v>990</v>
      </c>
    </row>
    <row r="62" spans="1:12" s="55" customFormat="1" ht="19.5" customHeight="1" x14ac:dyDescent="0.3">
      <c r="A62" s="44"/>
      <c r="B62" s="76"/>
      <c r="C62" s="77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57</v>
      </c>
      <c r="B63" s="76"/>
      <c r="C63" s="77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1007</v>
      </c>
      <c r="B64" s="76" t="s">
        <v>1008</v>
      </c>
      <c r="C64" s="46">
        <v>28</v>
      </c>
      <c r="D64" s="47" t="s">
        <v>1009</v>
      </c>
      <c r="E64" s="48">
        <v>50</v>
      </c>
      <c r="F64" s="49">
        <v>46.66</v>
      </c>
      <c r="G64" s="50" t="s">
        <v>1012</v>
      </c>
      <c r="H64" s="51">
        <v>2134</v>
      </c>
      <c r="I64" s="45">
        <v>3353</v>
      </c>
      <c r="J64" s="52">
        <v>8</v>
      </c>
      <c r="K64" s="53">
        <f t="shared" si="0"/>
        <v>57.242415999999999</v>
      </c>
      <c r="L64" s="54"/>
    </row>
    <row r="65" spans="1:12" s="55" customFormat="1" ht="19.5" customHeight="1" x14ac:dyDescent="0.3">
      <c r="A65" s="44"/>
      <c r="B65" s="76"/>
      <c r="C65" s="77">
        <v>30.76</v>
      </c>
      <c r="D65" s="47" t="s">
        <v>1010</v>
      </c>
      <c r="E65" s="48">
        <v>2</v>
      </c>
      <c r="F65" s="49">
        <v>0.9</v>
      </c>
      <c r="G65" s="50" t="s">
        <v>1013</v>
      </c>
      <c r="H65" s="51">
        <v>2134</v>
      </c>
      <c r="I65" s="45">
        <v>3353</v>
      </c>
      <c r="J65" s="52">
        <v>7</v>
      </c>
      <c r="K65" s="53">
        <f t="shared" ref="K65:K70" si="3">(H65/1000*I65/1000)*J65</f>
        <v>50.087114</v>
      </c>
      <c r="L65" s="54"/>
    </row>
    <row r="66" spans="1:12" s="55" customFormat="1" ht="19.5" customHeight="1" x14ac:dyDescent="0.3">
      <c r="A66" s="44"/>
      <c r="B66" s="76"/>
      <c r="C66" s="77">
        <v>22</v>
      </c>
      <c r="D66" s="47" t="s">
        <v>1011</v>
      </c>
      <c r="E66" s="48">
        <v>16</v>
      </c>
      <c r="F66" s="49">
        <v>4.4800000000000004</v>
      </c>
      <c r="G66" s="50" t="s">
        <v>997</v>
      </c>
      <c r="H66" s="51">
        <v>2590</v>
      </c>
      <c r="I66" s="45">
        <v>3353</v>
      </c>
      <c r="J66" s="52">
        <v>1</v>
      </c>
      <c r="K66" s="53">
        <f t="shared" si="3"/>
        <v>8.6842699999999979</v>
      </c>
      <c r="L66" s="54"/>
    </row>
    <row r="67" spans="1:12" s="55" customFormat="1" ht="19.5" customHeight="1" x14ac:dyDescent="0.3">
      <c r="A67" s="44"/>
      <c r="B67" s="76"/>
      <c r="C67" s="77"/>
      <c r="D67" s="47"/>
      <c r="E67" s="48"/>
      <c r="F67" s="49"/>
      <c r="G67" s="50"/>
      <c r="H67" s="51"/>
      <c r="I67" s="45"/>
      <c r="J67" s="52"/>
      <c r="K67" s="53">
        <f t="shared" si="3"/>
        <v>0</v>
      </c>
      <c r="L67" s="54"/>
    </row>
    <row r="68" spans="1:12" s="55" customFormat="1" ht="19.5" customHeight="1" x14ac:dyDescent="0.3">
      <c r="A68" s="44" t="s">
        <v>1014</v>
      </c>
      <c r="B68" s="76" t="s">
        <v>1008</v>
      </c>
      <c r="C68" s="46">
        <v>28</v>
      </c>
      <c r="D68" s="47" t="s">
        <v>1009</v>
      </c>
      <c r="E68" s="48">
        <v>78</v>
      </c>
      <c r="F68" s="49">
        <v>50.92</v>
      </c>
      <c r="G68" s="50" t="s">
        <v>1012</v>
      </c>
      <c r="H68" s="51">
        <v>2134</v>
      </c>
      <c r="I68" s="45">
        <v>3353</v>
      </c>
      <c r="J68" s="52">
        <v>11</v>
      </c>
      <c r="K68" s="53">
        <f t="shared" si="3"/>
        <v>78.708321999999995</v>
      </c>
      <c r="L68" s="54"/>
    </row>
    <row r="69" spans="1:12" s="55" customFormat="1" ht="19.5" customHeight="1" x14ac:dyDescent="0.3">
      <c r="A69" s="44"/>
      <c r="B69" s="76"/>
      <c r="C69" s="77">
        <v>30.76</v>
      </c>
      <c r="D69" s="47" t="s">
        <v>1010</v>
      </c>
      <c r="E69" s="48">
        <v>40</v>
      </c>
      <c r="F69" s="49">
        <v>21.85</v>
      </c>
      <c r="G69" s="50" t="s">
        <v>1013</v>
      </c>
      <c r="H69" s="51">
        <v>2134</v>
      </c>
      <c r="I69" s="45">
        <v>3353</v>
      </c>
      <c r="J69" s="52">
        <v>8</v>
      </c>
      <c r="K69" s="53">
        <f t="shared" si="3"/>
        <v>57.242415999999999</v>
      </c>
      <c r="L69" s="54"/>
    </row>
    <row r="70" spans="1:12" s="55" customFormat="1" ht="19.5" customHeight="1" x14ac:dyDescent="0.3">
      <c r="A70" s="44"/>
      <c r="B70" s="76"/>
      <c r="C70" s="77">
        <v>5</v>
      </c>
      <c r="D70" s="47" t="s">
        <v>993</v>
      </c>
      <c r="E70" s="48">
        <v>2</v>
      </c>
      <c r="F70" s="49">
        <v>0.56000000000000005</v>
      </c>
      <c r="G70" s="50"/>
      <c r="H70" s="51"/>
      <c r="I70" s="45"/>
      <c r="J70" s="52"/>
      <c r="K70" s="53">
        <f t="shared" si="3"/>
        <v>0</v>
      </c>
      <c r="L70" s="54" t="s">
        <v>1015</v>
      </c>
    </row>
    <row r="71" spans="1:12" s="55" customFormat="1" ht="19.5" customHeight="1" x14ac:dyDescent="0.3">
      <c r="A71" s="44"/>
      <c r="B71" s="76"/>
      <c r="C71" s="77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 t="s">
        <v>1016</v>
      </c>
      <c r="B72" s="76" t="s">
        <v>1017</v>
      </c>
      <c r="C72" s="77">
        <v>28</v>
      </c>
      <c r="D72" s="47" t="s">
        <v>1018</v>
      </c>
      <c r="E72" s="48">
        <v>70</v>
      </c>
      <c r="F72" s="49">
        <v>278.44</v>
      </c>
      <c r="G72" s="50" t="s">
        <v>1013</v>
      </c>
      <c r="H72" s="51">
        <v>1981</v>
      </c>
      <c r="I72" s="45">
        <v>3353</v>
      </c>
      <c r="J72" s="52">
        <v>47</v>
      </c>
      <c r="K72" s="53">
        <f t="shared" si="0"/>
        <v>312.187771</v>
      </c>
      <c r="L72" s="54" t="s">
        <v>1019</v>
      </c>
    </row>
    <row r="73" spans="1:12" s="55" customFormat="1" ht="19.5" customHeight="1" x14ac:dyDescent="0.3">
      <c r="A73" s="44"/>
      <c r="B73" s="76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45"/>
      <c r="C74" s="77"/>
      <c r="D74" s="78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77"/>
      <c r="D75" s="78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9" customFormat="1" ht="20.100000000000001" customHeight="1" x14ac:dyDescent="0.3">
      <c r="A78" s="44"/>
      <c r="B78" s="45"/>
      <c r="C78" s="46"/>
      <c r="D78" s="47"/>
      <c r="E78" s="56"/>
      <c r="F78" s="57"/>
      <c r="G78" s="50"/>
      <c r="H78" s="51"/>
      <c r="I78" s="45"/>
      <c r="J78" s="52"/>
      <c r="K78" s="53">
        <f t="shared" si="0"/>
        <v>0</v>
      </c>
      <c r="L78" s="58">
        <f>SUM(J42:J79)</f>
        <v>222</v>
      </c>
    </row>
    <row r="79" spans="1:12" s="59" customFormat="1" ht="20.100000000000001" customHeight="1" x14ac:dyDescent="0.3">
      <c r="A79" s="44"/>
      <c r="B79" s="45"/>
      <c r="C79" s="46"/>
      <c r="D79" s="47"/>
      <c r="E79" s="60"/>
      <c r="F79" s="61"/>
      <c r="G79" s="62"/>
      <c r="H79" s="51"/>
      <c r="I79" s="45"/>
      <c r="J79" s="63"/>
      <c r="K79" s="53">
        <f t="shared" si="0"/>
        <v>0</v>
      </c>
      <c r="L79" s="64">
        <f>SUM(K42:K79)</f>
        <v>1476.8158300000005</v>
      </c>
    </row>
    <row r="80" spans="1:12" s="59" customFormat="1" ht="20.100000000000001" customHeight="1" thickBot="1" x14ac:dyDescent="0.35">
      <c r="A80" s="114"/>
      <c r="B80" s="115"/>
      <c r="C80" s="115"/>
      <c r="D80" s="115"/>
      <c r="E80" s="115"/>
      <c r="F80" s="115"/>
      <c r="G80" s="115"/>
      <c r="H80" s="115"/>
      <c r="I80" s="115"/>
      <c r="J80" s="65">
        <f>SUM(J7:J79)</f>
        <v>440</v>
      </c>
      <c r="K80" s="66">
        <f>SUM(K7:K79)</f>
        <v>2814.2403519999998</v>
      </c>
      <c r="L80" s="67"/>
    </row>
    <row r="81" spans="1:12" s="59" customFormat="1" ht="20.100000000000001" customHeight="1" thickTop="1" thickBot="1" x14ac:dyDescent="0.35">
      <c r="A81" s="116" t="s">
        <v>52</v>
      </c>
      <c r="B81" s="117"/>
      <c r="C81" s="68"/>
      <c r="D81" s="118">
        <f>J80</f>
        <v>440</v>
      </c>
      <c r="E81" s="119"/>
      <c r="F81" s="119"/>
      <c r="G81" s="120"/>
      <c r="H81" s="121"/>
      <c r="I81" s="121"/>
      <c r="J81" s="122"/>
      <c r="K81" s="119"/>
      <c r="L81" s="123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71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72"/>
      <c r="F87" s="5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5"/>
      <c r="F88" s="5"/>
      <c r="G88" s="73"/>
      <c r="H88" s="5"/>
      <c r="I88" s="74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70"/>
      <c r="G92" s="5"/>
      <c r="H92" s="72"/>
      <c r="I92" s="72"/>
      <c r="J92" s="5"/>
      <c r="K92" s="5"/>
      <c r="L92" s="5"/>
    </row>
    <row r="93" spans="1:12" ht="20.100000000000001" customHeight="1" x14ac:dyDescent="0.3">
      <c r="A93" s="113"/>
      <c r="B93" s="113"/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H95" s="72"/>
      <c r="I95" s="72"/>
    </row>
    <row r="96" spans="1:12" ht="20.100000000000001" customHeight="1" x14ac:dyDescent="0.3">
      <c r="A96" s="113"/>
      <c r="B96" s="113"/>
      <c r="H96" s="72"/>
      <c r="I96" s="72"/>
    </row>
    <row r="97" spans="1:12" ht="20.100000000000001" customHeight="1" x14ac:dyDescent="0.3">
      <c r="A97" s="113"/>
      <c r="B97" s="113"/>
      <c r="H97" s="72"/>
      <c r="I97" s="72"/>
    </row>
    <row r="98" spans="1:12" ht="20.100000000000001" customHeight="1" x14ac:dyDescent="0.3"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s="72" customFormat="1" ht="20.100000000000001" customHeight="1" x14ac:dyDescent="0.3">
      <c r="A101" s="69"/>
      <c r="B101" s="5"/>
      <c r="C101" s="5"/>
      <c r="D101" s="5"/>
      <c r="E101" s="5"/>
      <c r="F101" s="70"/>
      <c r="G101" s="5"/>
      <c r="J101" s="5"/>
      <c r="K101" s="5"/>
      <c r="L101" s="5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75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5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5" customFormat="1" ht="19.5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ht="19.5" customHeight="1" x14ac:dyDescent="0.3"/>
    <row r="109" spans="1:12" ht="19.5" customHeight="1" x14ac:dyDescent="0.3"/>
    <row r="110" spans="1:12" ht="19.5" customHeight="1" x14ac:dyDescent="0.3"/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>
        <v>2</v>
      </c>
      <c r="C171" s="5"/>
      <c r="D171" s="5"/>
      <c r="E171" s="5"/>
      <c r="F171" s="70"/>
      <c r="G171" s="5"/>
      <c r="H171" s="5"/>
      <c r="I171" s="5"/>
      <c r="J171" s="5"/>
      <c r="K171" s="5"/>
      <c r="L171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6:B8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0:I80"/>
    <mergeCell ref="A81:B81"/>
    <mergeCell ref="D81:G81"/>
    <mergeCell ref="H81:J81"/>
    <mergeCell ref="K81:L81"/>
    <mergeCell ref="A96:B96"/>
    <mergeCell ref="A97:B97"/>
    <mergeCell ref="A87:B87"/>
    <mergeCell ref="A88:B88"/>
    <mergeCell ref="A89:B89"/>
    <mergeCell ref="A91:B91"/>
    <mergeCell ref="A92:B92"/>
    <mergeCell ref="A93:B93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L146"/>
  <sheetViews>
    <sheetView view="pageBreakPreview" topLeftCell="F28" zoomScale="85" zoomScaleSheetLayoutView="85" workbookViewId="0">
      <selection activeCell="K60" sqref="K6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46051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4" si="0">(H7/1000*I7/1000)*J7</f>
        <v>0</v>
      </c>
      <c r="L7" s="26">
        <f>SUM(J7:J32)</f>
        <v>216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SUM(K7:K32)</f>
        <v>1328.7335459999997</v>
      </c>
    </row>
    <row r="9" spans="1:12" s="27" customFormat="1" ht="19.5" customHeight="1" x14ac:dyDescent="0.3">
      <c r="A9" s="28" t="s">
        <v>954</v>
      </c>
      <c r="B9" s="16" t="s">
        <v>955</v>
      </c>
      <c r="C9" s="17">
        <v>5</v>
      </c>
      <c r="D9" s="18" t="s">
        <v>956</v>
      </c>
      <c r="E9" s="81">
        <v>12</v>
      </c>
      <c r="F9" s="82">
        <v>9.1199999999999992</v>
      </c>
      <c r="G9" s="34" t="s">
        <v>957</v>
      </c>
      <c r="H9" s="35">
        <v>2438</v>
      </c>
      <c r="I9" s="36">
        <v>3353</v>
      </c>
      <c r="J9" s="37">
        <v>2</v>
      </c>
      <c r="K9" s="38">
        <f t="shared" si="0"/>
        <v>16.349228</v>
      </c>
      <c r="L9" s="39"/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948</v>
      </c>
      <c r="B11" s="16" t="s">
        <v>353</v>
      </c>
      <c r="C11" s="17">
        <v>22</v>
      </c>
      <c r="D11" s="18" t="s">
        <v>307</v>
      </c>
      <c r="E11" s="41">
        <v>60</v>
      </c>
      <c r="F11" s="42">
        <v>41.2</v>
      </c>
      <c r="G11" s="34" t="s">
        <v>286</v>
      </c>
      <c r="H11" s="35">
        <v>1829</v>
      </c>
      <c r="I11" s="36">
        <v>3353</v>
      </c>
      <c r="J11" s="37">
        <v>8</v>
      </c>
      <c r="K11" s="38">
        <f t="shared" si="0"/>
        <v>49.061095999999999</v>
      </c>
      <c r="L11" s="39" t="s">
        <v>959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948</v>
      </c>
      <c r="B13" s="16" t="s">
        <v>353</v>
      </c>
      <c r="C13" s="17">
        <v>22</v>
      </c>
      <c r="D13" s="18" t="s">
        <v>960</v>
      </c>
      <c r="E13" s="41">
        <v>275</v>
      </c>
      <c r="F13" s="42">
        <v>215.8</v>
      </c>
      <c r="G13" s="34" t="s">
        <v>957</v>
      </c>
      <c r="H13" s="35">
        <v>1829</v>
      </c>
      <c r="I13" s="36">
        <v>3353</v>
      </c>
      <c r="J13" s="37">
        <v>37</v>
      </c>
      <c r="K13" s="38">
        <f t="shared" si="0"/>
        <v>226.907569</v>
      </c>
      <c r="L13" s="39" t="s">
        <v>961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286</v>
      </c>
      <c r="H14" s="35">
        <v>1829</v>
      </c>
      <c r="I14" s="36">
        <v>3353</v>
      </c>
      <c r="J14" s="37">
        <v>37</v>
      </c>
      <c r="K14" s="38">
        <f t="shared" si="0"/>
        <v>226.907569</v>
      </c>
      <c r="L14" s="39" t="s">
        <v>961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962</v>
      </c>
      <c r="B16" s="16" t="s">
        <v>353</v>
      </c>
      <c r="C16" s="17">
        <v>22</v>
      </c>
      <c r="D16" s="18" t="s">
        <v>307</v>
      </c>
      <c r="E16" s="41">
        <v>112</v>
      </c>
      <c r="F16" s="42">
        <v>92</v>
      </c>
      <c r="G16" s="34" t="s">
        <v>49</v>
      </c>
      <c r="H16" s="35">
        <v>1829</v>
      </c>
      <c r="I16" s="36">
        <v>3353</v>
      </c>
      <c r="J16" s="37">
        <v>16</v>
      </c>
      <c r="K16" s="38">
        <f t="shared" si="0"/>
        <v>98.122191999999998</v>
      </c>
      <c r="L16" s="39" t="s">
        <v>961</v>
      </c>
    </row>
    <row r="17" spans="1:12" s="27" customFormat="1" ht="19.5" customHeight="1" x14ac:dyDescent="0.3">
      <c r="A17" s="28"/>
      <c r="B17" s="16"/>
      <c r="C17" s="17">
        <v>22</v>
      </c>
      <c r="D17" s="18" t="s">
        <v>960</v>
      </c>
      <c r="E17" s="41">
        <v>112</v>
      </c>
      <c r="F17" s="42">
        <v>92</v>
      </c>
      <c r="G17" s="34" t="s">
        <v>18</v>
      </c>
      <c r="H17" s="35">
        <v>1829</v>
      </c>
      <c r="I17" s="36">
        <v>3353</v>
      </c>
      <c r="J17" s="37">
        <v>16</v>
      </c>
      <c r="K17" s="38">
        <f t="shared" si="0"/>
        <v>98.122191999999998</v>
      </c>
      <c r="L17" s="39" t="s">
        <v>961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39</v>
      </c>
      <c r="H18" s="35">
        <v>1829</v>
      </c>
      <c r="I18" s="36">
        <v>3353</v>
      </c>
      <c r="J18" s="37">
        <v>32</v>
      </c>
      <c r="K18" s="38">
        <f t="shared" si="0"/>
        <v>196.244384</v>
      </c>
      <c r="L18" s="39" t="s">
        <v>961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963</v>
      </c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974</v>
      </c>
      <c r="B21" s="16" t="s">
        <v>353</v>
      </c>
      <c r="C21" s="17">
        <v>22</v>
      </c>
      <c r="D21" s="18" t="s">
        <v>307</v>
      </c>
      <c r="E21" s="41">
        <v>164</v>
      </c>
      <c r="F21" s="42">
        <v>141.72</v>
      </c>
      <c r="G21" s="34" t="s">
        <v>49</v>
      </c>
      <c r="H21" s="35">
        <v>1829</v>
      </c>
      <c r="I21" s="36">
        <v>3353</v>
      </c>
      <c r="J21" s="37">
        <v>25</v>
      </c>
      <c r="K21" s="38">
        <f t="shared" si="0"/>
        <v>153.31592499999999</v>
      </c>
      <c r="L21" s="39" t="s">
        <v>961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 t="s">
        <v>39</v>
      </c>
      <c r="H22" s="35">
        <v>1829</v>
      </c>
      <c r="I22" s="36">
        <v>3353</v>
      </c>
      <c r="J22" s="37">
        <v>25</v>
      </c>
      <c r="K22" s="38">
        <f t="shared" si="0"/>
        <v>153.31592499999999</v>
      </c>
      <c r="L22" s="39" t="s">
        <v>961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 t="s">
        <v>974</v>
      </c>
      <c r="B24" s="16" t="s">
        <v>353</v>
      </c>
      <c r="C24" s="17">
        <v>22</v>
      </c>
      <c r="D24" s="18" t="s">
        <v>320</v>
      </c>
      <c r="E24" s="41">
        <v>84</v>
      </c>
      <c r="F24" s="42">
        <v>97.08</v>
      </c>
      <c r="G24" s="34" t="s">
        <v>39</v>
      </c>
      <c r="H24" s="35">
        <v>1829</v>
      </c>
      <c r="I24" s="36">
        <v>3353</v>
      </c>
      <c r="J24" s="37">
        <v>18</v>
      </c>
      <c r="K24" s="38">
        <f t="shared" si="0"/>
        <v>110.387466</v>
      </c>
      <c r="L24" s="39" t="s">
        <v>975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31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29"/>
      <c r="C32" s="30"/>
      <c r="D32" s="31"/>
      <c r="E32" s="41"/>
      <c r="F32" s="42"/>
      <c r="G32" s="43"/>
      <c r="H32" s="35"/>
      <c r="I32" s="36"/>
      <c r="J32" s="37"/>
      <c r="K32" s="38">
        <f t="shared" si="0"/>
        <v>0</v>
      </c>
      <c r="L32" s="39"/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964</v>
      </c>
      <c r="B34" s="76" t="s">
        <v>790</v>
      </c>
      <c r="C34" s="77">
        <v>43</v>
      </c>
      <c r="D34" s="47" t="s">
        <v>791</v>
      </c>
      <c r="E34" s="48">
        <v>1</v>
      </c>
      <c r="F34" s="49">
        <v>0.81</v>
      </c>
      <c r="G34" s="50"/>
      <c r="H34" s="51"/>
      <c r="I34" s="45"/>
      <c r="J34" s="52"/>
      <c r="K34" s="53">
        <f t="shared" si="0"/>
        <v>0</v>
      </c>
      <c r="L34" s="54" t="s">
        <v>965</v>
      </c>
    </row>
    <row r="35" spans="1:12" s="55" customFormat="1" ht="19.5" customHeight="1" x14ac:dyDescent="0.3">
      <c r="A35" s="44"/>
      <c r="B35" s="76"/>
      <c r="C35" s="77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966</v>
      </c>
      <c r="B36" s="76" t="s">
        <v>967</v>
      </c>
      <c r="C36" s="77">
        <v>24</v>
      </c>
      <c r="D36" s="47" t="s">
        <v>969</v>
      </c>
      <c r="E36" s="48">
        <v>129</v>
      </c>
      <c r="F36" s="49">
        <v>159.13</v>
      </c>
      <c r="G36" s="50" t="s">
        <v>970</v>
      </c>
      <c r="H36" s="51">
        <v>1981</v>
      </c>
      <c r="I36" s="45">
        <v>3048</v>
      </c>
      <c r="J36" s="52">
        <v>43</v>
      </c>
      <c r="K36" s="53">
        <f t="shared" si="0"/>
        <v>259.63778400000007</v>
      </c>
      <c r="L36" s="54" t="s">
        <v>971</v>
      </c>
    </row>
    <row r="37" spans="1:12" s="55" customFormat="1" ht="19.5" customHeight="1" x14ac:dyDescent="0.3">
      <c r="A37" s="44" t="s">
        <v>968</v>
      </c>
      <c r="B37" s="76" t="s">
        <v>967</v>
      </c>
      <c r="C37" s="77">
        <v>24</v>
      </c>
      <c r="D37" s="47" t="s">
        <v>969</v>
      </c>
      <c r="E37" s="48">
        <v>57</v>
      </c>
      <c r="F37" s="49">
        <v>82.91</v>
      </c>
      <c r="G37" s="50"/>
      <c r="H37" s="51"/>
      <c r="I37" s="45"/>
      <c r="J37" s="52"/>
      <c r="K37" s="53">
        <f t="shared" si="0"/>
        <v>0</v>
      </c>
      <c r="L37" s="54" t="s">
        <v>971</v>
      </c>
    </row>
    <row r="38" spans="1:12" s="55" customFormat="1" ht="19.5" customHeight="1" x14ac:dyDescent="0.3">
      <c r="A38" s="44"/>
      <c r="B38" s="76"/>
      <c r="C38" s="77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972</v>
      </c>
      <c r="B39" s="76" t="s">
        <v>967</v>
      </c>
      <c r="C39" s="77">
        <v>24</v>
      </c>
      <c r="D39" s="47" t="s">
        <v>969</v>
      </c>
      <c r="E39" s="48">
        <v>135</v>
      </c>
      <c r="F39" s="49">
        <v>176.79</v>
      </c>
      <c r="G39" s="50" t="s">
        <v>970</v>
      </c>
      <c r="H39" s="51">
        <v>1981</v>
      </c>
      <c r="I39" s="45">
        <v>3048</v>
      </c>
      <c r="J39" s="52">
        <v>27</v>
      </c>
      <c r="K39" s="53">
        <f t="shared" si="0"/>
        <v>163.02837600000004</v>
      </c>
      <c r="L39" s="54" t="s">
        <v>973</v>
      </c>
    </row>
    <row r="40" spans="1:12" s="55" customFormat="1" ht="19.5" customHeight="1" x14ac:dyDescent="0.3">
      <c r="A40" s="44"/>
      <c r="B40" s="76"/>
      <c r="C40" s="77"/>
      <c r="D40" s="47"/>
      <c r="E40" s="48"/>
      <c r="F40" s="49"/>
      <c r="G40" s="50" t="s">
        <v>970</v>
      </c>
      <c r="H40" s="51">
        <v>1981</v>
      </c>
      <c r="I40" s="45">
        <v>3353</v>
      </c>
      <c r="J40" s="52">
        <v>4</v>
      </c>
      <c r="K40" s="53">
        <f t="shared" si="0"/>
        <v>26.569172000000002</v>
      </c>
      <c r="L40" s="54"/>
    </row>
    <row r="41" spans="1:12" s="55" customFormat="1" ht="19.5" customHeight="1" x14ac:dyDescent="0.3">
      <c r="A41" s="44"/>
      <c r="B41" s="76"/>
      <c r="C41" s="77"/>
      <c r="D41" s="47"/>
      <c r="E41" s="48"/>
      <c r="F41" s="49"/>
      <c r="G41" s="50"/>
      <c r="H41" s="51"/>
      <c r="I41" s="45"/>
      <c r="J41" s="52"/>
      <c r="K41" s="53"/>
      <c r="L41" s="54"/>
    </row>
    <row r="42" spans="1:12" s="55" customFormat="1" ht="19.5" customHeight="1" x14ac:dyDescent="0.3">
      <c r="A42" s="44" t="s">
        <v>963</v>
      </c>
      <c r="B42" s="76"/>
      <c r="C42" s="77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976</v>
      </c>
      <c r="B43" s="76" t="s">
        <v>110</v>
      </c>
      <c r="C43" s="77">
        <v>24</v>
      </c>
      <c r="D43" s="47" t="s">
        <v>55</v>
      </c>
      <c r="E43" s="48">
        <v>155</v>
      </c>
      <c r="F43" s="49">
        <v>148.1</v>
      </c>
      <c r="G43" s="50" t="s">
        <v>56</v>
      </c>
      <c r="H43" s="51">
        <v>1981</v>
      </c>
      <c r="I43" s="45">
        <v>3353</v>
      </c>
      <c r="J43" s="52">
        <v>6</v>
      </c>
      <c r="K43" s="53">
        <f t="shared" si="0"/>
        <v>39.853757999999999</v>
      </c>
      <c r="L43" s="54" t="s">
        <v>106</v>
      </c>
    </row>
    <row r="44" spans="1:12" s="55" customFormat="1" ht="19.5" customHeight="1" x14ac:dyDescent="0.3">
      <c r="A44" s="44"/>
      <c r="B44" s="76"/>
      <c r="C44" s="46"/>
      <c r="D44" s="47"/>
      <c r="E44" s="48"/>
      <c r="F44" s="49"/>
      <c r="G44" s="50" t="s">
        <v>56</v>
      </c>
      <c r="H44" s="51">
        <v>1829</v>
      </c>
      <c r="I44" s="45">
        <v>3353</v>
      </c>
      <c r="J44" s="52">
        <v>19</v>
      </c>
      <c r="K44" s="53">
        <f t="shared" si="0"/>
        <v>116.52010299999999</v>
      </c>
      <c r="L44" s="54"/>
    </row>
    <row r="45" spans="1:12" s="55" customFormat="1" ht="19.5" customHeight="1" x14ac:dyDescent="0.3">
      <c r="A45" s="44"/>
      <c r="B45" s="76"/>
      <c r="C45" s="77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977</v>
      </c>
      <c r="B46" s="76" t="s">
        <v>110</v>
      </c>
      <c r="C46" s="77">
        <v>24</v>
      </c>
      <c r="D46" s="47" t="s">
        <v>55</v>
      </c>
      <c r="E46" s="48">
        <v>102</v>
      </c>
      <c r="F46" s="49">
        <v>85.46</v>
      </c>
      <c r="G46" s="50" t="s">
        <v>56</v>
      </c>
      <c r="H46" s="51">
        <v>1981</v>
      </c>
      <c r="I46" s="45">
        <v>3353</v>
      </c>
      <c r="J46" s="52">
        <v>14</v>
      </c>
      <c r="K46" s="53">
        <f t="shared" si="0"/>
        <v>92.992102000000003</v>
      </c>
      <c r="L46" s="54" t="s">
        <v>106</v>
      </c>
    </row>
    <row r="47" spans="1:12" s="55" customFormat="1" ht="19.5" customHeight="1" x14ac:dyDescent="0.3">
      <c r="A47" s="44"/>
      <c r="B47" s="76"/>
      <c r="C47" s="77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76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77"/>
      <c r="D49" s="78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45"/>
      <c r="C50" s="77"/>
      <c r="D50" s="78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9" customFormat="1" ht="20.100000000000001" customHeight="1" x14ac:dyDescent="0.3">
      <c r="A53" s="44"/>
      <c r="B53" s="45"/>
      <c r="C53" s="46"/>
      <c r="D53" s="47"/>
      <c r="E53" s="56"/>
      <c r="F53" s="57"/>
      <c r="G53" s="50"/>
      <c r="H53" s="51"/>
      <c r="I53" s="45"/>
      <c r="J53" s="52"/>
      <c r="K53" s="53">
        <f t="shared" si="0"/>
        <v>0</v>
      </c>
      <c r="L53" s="58">
        <f>SUM(J33:J54)</f>
        <v>113</v>
      </c>
    </row>
    <row r="54" spans="1:12" s="59" customFormat="1" ht="20.100000000000001" customHeight="1" x14ac:dyDescent="0.3">
      <c r="A54" s="44"/>
      <c r="B54" s="45"/>
      <c r="C54" s="46"/>
      <c r="D54" s="47"/>
      <c r="E54" s="60"/>
      <c r="F54" s="61"/>
      <c r="G54" s="62"/>
      <c r="H54" s="51"/>
      <c r="I54" s="45"/>
      <c r="J54" s="63"/>
      <c r="K54" s="53">
        <f t="shared" si="0"/>
        <v>0</v>
      </c>
      <c r="L54" s="64">
        <f>SUM(K33:K54)</f>
        <v>698.60129500000005</v>
      </c>
    </row>
    <row r="55" spans="1:12" s="59" customFormat="1" ht="20.100000000000001" customHeight="1" thickBot="1" x14ac:dyDescent="0.35">
      <c r="A55" s="114"/>
      <c r="B55" s="115"/>
      <c r="C55" s="115"/>
      <c r="D55" s="115"/>
      <c r="E55" s="115"/>
      <c r="F55" s="115"/>
      <c r="G55" s="115"/>
      <c r="H55" s="115"/>
      <c r="I55" s="115"/>
      <c r="J55" s="65">
        <f>SUM(J7:J54)</f>
        <v>329</v>
      </c>
      <c r="K55" s="66">
        <f>SUM(K7:K54)</f>
        <v>2027.3348409999996</v>
      </c>
      <c r="L55" s="67"/>
    </row>
    <row r="56" spans="1:12" s="59" customFormat="1" ht="20.100000000000001" customHeight="1" thickTop="1" thickBot="1" x14ac:dyDescent="0.35">
      <c r="A56" s="116" t="s">
        <v>52</v>
      </c>
      <c r="B56" s="117"/>
      <c r="C56" s="68"/>
      <c r="D56" s="118">
        <f>J55</f>
        <v>329</v>
      </c>
      <c r="E56" s="119"/>
      <c r="F56" s="119"/>
      <c r="G56" s="120"/>
      <c r="H56" s="121"/>
      <c r="I56" s="121"/>
      <c r="J56" s="122"/>
      <c r="K56" s="119"/>
      <c r="L56" s="123"/>
    </row>
    <row r="57" spans="1:12" s="59" customFormat="1" ht="20.100000000000001" customHeight="1" x14ac:dyDescent="0.3">
      <c r="A57" s="69"/>
      <c r="B57" s="5"/>
      <c r="C57" s="5"/>
      <c r="D57" s="5"/>
      <c r="E57" s="5"/>
      <c r="F57" s="70"/>
      <c r="G57" s="5"/>
      <c r="H57" s="5"/>
      <c r="I57" s="5"/>
      <c r="J57" s="5"/>
      <c r="K57" s="5"/>
      <c r="L57" s="71"/>
    </row>
    <row r="58" spans="1:12" s="59" customFormat="1" ht="20.100000000000001" customHeight="1" x14ac:dyDescent="0.3">
      <c r="A58" s="69"/>
      <c r="B58" s="5"/>
      <c r="C58" s="5"/>
      <c r="D58" s="5"/>
      <c r="E58" s="5"/>
      <c r="F58" s="70"/>
      <c r="G58" s="5"/>
      <c r="H58" s="5"/>
      <c r="I58" s="5"/>
      <c r="J58" s="5"/>
      <c r="K58" s="5"/>
      <c r="L58" s="5"/>
    </row>
    <row r="59" spans="1:12" s="59" customFormat="1" ht="20.100000000000001" customHeight="1" x14ac:dyDescent="0.3">
      <c r="A59" s="69"/>
      <c r="B59" s="5"/>
      <c r="C59" s="5"/>
      <c r="D59" s="5"/>
      <c r="E59" s="5"/>
      <c r="F59" s="70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113"/>
      <c r="B62" s="113"/>
      <c r="C62" s="5"/>
      <c r="D62" s="5"/>
      <c r="E62" s="72"/>
      <c r="F62" s="5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5"/>
      <c r="G63" s="73"/>
      <c r="H63" s="5"/>
      <c r="I63" s="74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70"/>
      <c r="G67" s="5"/>
      <c r="H67" s="72"/>
      <c r="I67" s="72"/>
      <c r="J67" s="5"/>
      <c r="K67" s="5"/>
      <c r="L67" s="5"/>
    </row>
    <row r="68" spans="1:12" ht="20.100000000000001" customHeight="1" x14ac:dyDescent="0.3">
      <c r="A68" s="113"/>
      <c r="B68" s="113"/>
      <c r="H68" s="72"/>
      <c r="I68" s="72"/>
    </row>
    <row r="69" spans="1:12" ht="20.100000000000001" customHeight="1" x14ac:dyDescent="0.3">
      <c r="H69" s="72"/>
      <c r="I69" s="72"/>
    </row>
    <row r="70" spans="1:12" ht="20.100000000000001" customHeight="1" x14ac:dyDescent="0.3">
      <c r="H70" s="72"/>
      <c r="I70" s="72"/>
    </row>
    <row r="71" spans="1:12" ht="20.100000000000001" customHeight="1" x14ac:dyDescent="0.3">
      <c r="A71" s="113"/>
      <c r="B71" s="113"/>
      <c r="H71" s="72"/>
      <c r="I71" s="72"/>
    </row>
    <row r="72" spans="1:12" ht="20.100000000000001" customHeight="1" x14ac:dyDescent="0.3">
      <c r="A72" s="113"/>
      <c r="B72" s="113"/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H75" s="72"/>
      <c r="I75" s="72"/>
    </row>
    <row r="76" spans="1:12" s="72" customFormat="1" ht="20.100000000000001" customHeight="1" x14ac:dyDescent="0.3">
      <c r="A76" s="69"/>
      <c r="B76" s="5"/>
      <c r="C76" s="5"/>
      <c r="D76" s="5"/>
      <c r="E76" s="5"/>
      <c r="F76" s="70"/>
      <c r="G76" s="5"/>
      <c r="J76" s="5"/>
      <c r="K76" s="5"/>
      <c r="L76" s="5"/>
    </row>
    <row r="77" spans="1:12" s="72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75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75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75" customFormat="1" ht="19.5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2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2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ht="19.5" customHeight="1" x14ac:dyDescent="0.3"/>
    <row r="84" spans="1:12" ht="19.5" customHeight="1" x14ac:dyDescent="0.3"/>
    <row r="85" spans="1:12" ht="19.5" customHeight="1" x14ac:dyDescent="0.3"/>
    <row r="86" spans="1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>
        <v>2</v>
      </c>
      <c r="C146" s="5"/>
      <c r="D146" s="5"/>
      <c r="E146" s="5"/>
      <c r="F146" s="70"/>
      <c r="G146" s="5"/>
      <c r="H146" s="5"/>
      <c r="I146" s="5"/>
      <c r="J146" s="5"/>
      <c r="K146" s="5"/>
      <c r="L146" s="5"/>
    </row>
  </sheetData>
  <mergeCells count="30">
    <mergeCell ref="A71:B71"/>
    <mergeCell ref="A72:B72"/>
    <mergeCell ref="A62:B62"/>
    <mergeCell ref="A63:B63"/>
    <mergeCell ref="A64:B64"/>
    <mergeCell ref="A66:B66"/>
    <mergeCell ref="A67:B67"/>
    <mergeCell ref="A68:B68"/>
    <mergeCell ref="A61:B6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5:I55"/>
    <mergeCell ref="A56:B56"/>
    <mergeCell ref="D56:G56"/>
    <mergeCell ref="H56:J56"/>
    <mergeCell ref="K56:L56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L177"/>
  <sheetViews>
    <sheetView view="pageBreakPreview" topLeftCell="A24" zoomScale="85" zoomScaleSheetLayoutView="85" workbookViewId="0">
      <selection activeCell="A9" sqref="A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46050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5" si="0">(H7/1000*I7/1000)*J7</f>
        <v>0</v>
      </c>
      <c r="L7" s="26">
        <f>SUM(J7:J49)</f>
        <v>196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SUM(K7:K49)</f>
        <v>1240.6517050000002</v>
      </c>
    </row>
    <row r="9" spans="1:12" s="27" customFormat="1" ht="19.5" customHeight="1" x14ac:dyDescent="0.3">
      <c r="A9" s="28" t="s">
        <v>745</v>
      </c>
      <c r="B9" s="16" t="s">
        <v>281</v>
      </c>
      <c r="C9" s="17">
        <v>10</v>
      </c>
      <c r="D9" s="18" t="s">
        <v>926</v>
      </c>
      <c r="E9" s="81">
        <v>16</v>
      </c>
      <c r="F9" s="82">
        <v>31.25</v>
      </c>
      <c r="G9" s="34" t="s">
        <v>927</v>
      </c>
      <c r="H9" s="35">
        <v>2438</v>
      </c>
      <c r="I9" s="36">
        <v>3048</v>
      </c>
      <c r="J9" s="37">
        <v>4</v>
      </c>
      <c r="K9" s="38">
        <f t="shared" si="0"/>
        <v>29.724096000000003</v>
      </c>
      <c r="L9" s="39"/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 t="s">
        <v>927</v>
      </c>
      <c r="H10" s="35">
        <v>2134</v>
      </c>
      <c r="I10" s="36">
        <v>3048</v>
      </c>
      <c r="J10" s="37">
        <v>1</v>
      </c>
      <c r="K10" s="38">
        <f t="shared" si="0"/>
        <v>6.5044319999999995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924</v>
      </c>
      <c r="B12" s="16" t="s">
        <v>353</v>
      </c>
      <c r="C12" s="17">
        <v>22</v>
      </c>
      <c r="D12" s="18" t="s">
        <v>320</v>
      </c>
      <c r="E12" s="41">
        <v>235</v>
      </c>
      <c r="F12" s="42">
        <v>176.8</v>
      </c>
      <c r="G12" s="34" t="s">
        <v>39</v>
      </c>
      <c r="H12" s="35">
        <v>1829</v>
      </c>
      <c r="I12" s="36">
        <v>3353</v>
      </c>
      <c r="J12" s="37">
        <v>30</v>
      </c>
      <c r="K12" s="38">
        <f t="shared" ref="K12" si="1">(H12/1000*I12/1000)*J12</f>
        <v>183.97910999999999</v>
      </c>
      <c r="L12" s="39" t="s">
        <v>928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924</v>
      </c>
      <c r="B14" s="16" t="s">
        <v>353</v>
      </c>
      <c r="C14" s="17">
        <v>22</v>
      </c>
      <c r="D14" s="18" t="s">
        <v>320</v>
      </c>
      <c r="E14" s="41">
        <v>255</v>
      </c>
      <c r="F14" s="42">
        <v>209</v>
      </c>
      <c r="G14" s="34" t="s">
        <v>18</v>
      </c>
      <c r="H14" s="35">
        <v>1829</v>
      </c>
      <c r="I14" s="36">
        <v>3353</v>
      </c>
      <c r="J14" s="37">
        <v>36</v>
      </c>
      <c r="K14" s="38">
        <f t="shared" si="0"/>
        <v>220.77493200000001</v>
      </c>
      <c r="L14" s="39" t="s">
        <v>100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929</v>
      </c>
      <c r="B16" s="16" t="s">
        <v>930</v>
      </c>
      <c r="C16" s="17">
        <v>25.76</v>
      </c>
      <c r="D16" s="18" t="s">
        <v>227</v>
      </c>
      <c r="E16" s="41">
        <v>1</v>
      </c>
      <c r="F16" s="42">
        <v>3</v>
      </c>
      <c r="G16" s="34" t="s">
        <v>62</v>
      </c>
      <c r="H16" s="35">
        <v>1829</v>
      </c>
      <c r="I16" s="36">
        <v>3048</v>
      </c>
      <c r="J16" s="37">
        <v>1</v>
      </c>
      <c r="K16" s="38">
        <f t="shared" si="0"/>
        <v>5.5747919999999995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931</v>
      </c>
      <c r="B18" s="16" t="s">
        <v>932</v>
      </c>
      <c r="C18" s="17">
        <v>8</v>
      </c>
      <c r="D18" s="18" t="s">
        <v>276</v>
      </c>
      <c r="E18" s="41">
        <v>8</v>
      </c>
      <c r="F18" s="42">
        <v>6.5</v>
      </c>
      <c r="G18" s="34" t="s">
        <v>935</v>
      </c>
      <c r="H18" s="35">
        <v>2438</v>
      </c>
      <c r="I18" s="36">
        <v>3353</v>
      </c>
      <c r="J18" s="37">
        <v>2</v>
      </c>
      <c r="K18" s="38">
        <f t="shared" si="0"/>
        <v>16.349228</v>
      </c>
      <c r="L18" s="39" t="s">
        <v>936</v>
      </c>
    </row>
    <row r="19" spans="1:12" s="27" customFormat="1" ht="19.5" customHeight="1" x14ac:dyDescent="0.3">
      <c r="A19" s="28" t="s">
        <v>933</v>
      </c>
      <c r="B19" s="16" t="s">
        <v>934</v>
      </c>
      <c r="C19" s="17">
        <v>8</v>
      </c>
      <c r="D19" s="18" t="s">
        <v>276</v>
      </c>
      <c r="E19" s="41">
        <v>2</v>
      </c>
      <c r="F19" s="42">
        <v>3.42</v>
      </c>
      <c r="G19" s="34"/>
      <c r="H19" s="35"/>
      <c r="I19" s="36"/>
      <c r="J19" s="37"/>
      <c r="K19" s="38">
        <f t="shared" si="0"/>
        <v>0</v>
      </c>
      <c r="L19" s="39" t="s">
        <v>936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933</v>
      </c>
      <c r="B21" s="16" t="s">
        <v>934</v>
      </c>
      <c r="C21" s="17">
        <v>5</v>
      </c>
      <c r="D21" s="18" t="s">
        <v>121</v>
      </c>
      <c r="E21" s="41">
        <v>1</v>
      </c>
      <c r="F21" s="42">
        <v>0.71</v>
      </c>
      <c r="G21" s="34" t="s">
        <v>18</v>
      </c>
      <c r="H21" s="35">
        <v>2438</v>
      </c>
      <c r="I21" s="36">
        <v>3353</v>
      </c>
      <c r="J21" s="37">
        <v>1</v>
      </c>
      <c r="K21" s="38">
        <f t="shared" si="0"/>
        <v>8.174614</v>
      </c>
      <c r="L21" s="39"/>
    </row>
    <row r="22" spans="1:12" s="27" customFormat="1" ht="19.5" customHeight="1" x14ac:dyDescent="0.3">
      <c r="A22" s="28"/>
      <c r="B22" s="16"/>
      <c r="C22" s="17">
        <v>22</v>
      </c>
      <c r="D22" s="18" t="s">
        <v>78</v>
      </c>
      <c r="E22" s="41">
        <v>3</v>
      </c>
      <c r="F22" s="42">
        <v>2.2200000000000002</v>
      </c>
      <c r="G22" s="34" t="s">
        <v>19</v>
      </c>
      <c r="H22" s="35">
        <v>1981</v>
      </c>
      <c r="I22" s="36">
        <v>3353</v>
      </c>
      <c r="J22" s="37">
        <v>1</v>
      </c>
      <c r="K22" s="38">
        <f t="shared" si="0"/>
        <v>6.6422930000000004</v>
      </c>
      <c r="L22" s="39"/>
    </row>
    <row r="23" spans="1:12" s="27" customFormat="1" ht="19.5" customHeight="1" x14ac:dyDescent="0.3">
      <c r="A23" s="28"/>
      <c r="B23" s="16"/>
      <c r="C23" s="17">
        <v>22</v>
      </c>
      <c r="D23" s="18" t="s">
        <v>17</v>
      </c>
      <c r="E23" s="41">
        <v>1</v>
      </c>
      <c r="F23" s="42">
        <v>2.2599999999999998</v>
      </c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937</v>
      </c>
      <c r="B25" s="16" t="s">
        <v>363</v>
      </c>
      <c r="C25" s="17">
        <v>24</v>
      </c>
      <c r="D25" s="18" t="s">
        <v>279</v>
      </c>
      <c r="E25" s="41">
        <v>1</v>
      </c>
      <c r="F25" s="42">
        <v>1.2</v>
      </c>
      <c r="G25" s="34" t="s">
        <v>18</v>
      </c>
      <c r="H25" s="35">
        <v>1829</v>
      </c>
      <c r="I25" s="36">
        <v>3353</v>
      </c>
      <c r="J25" s="37">
        <v>1</v>
      </c>
      <c r="K25" s="38">
        <f t="shared" si="0"/>
        <v>6.1326369999999999</v>
      </c>
      <c r="L25" s="39"/>
    </row>
    <row r="26" spans="1:12" s="27" customFormat="1" ht="19.5" customHeight="1" x14ac:dyDescent="0.3">
      <c r="A26" s="28"/>
      <c r="B26" s="16"/>
      <c r="C26" s="17"/>
      <c r="D26" s="31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 t="s">
        <v>938</v>
      </c>
      <c r="B27" s="16" t="s">
        <v>939</v>
      </c>
      <c r="C27" s="17">
        <v>22</v>
      </c>
      <c r="D27" s="31" t="s">
        <v>199</v>
      </c>
      <c r="E27" s="41">
        <v>10</v>
      </c>
      <c r="F27" s="42">
        <v>12.5</v>
      </c>
      <c r="G27" s="34" t="s">
        <v>49</v>
      </c>
      <c r="H27" s="35">
        <v>1981</v>
      </c>
      <c r="I27" s="36">
        <v>3353</v>
      </c>
      <c r="J27" s="37">
        <v>2</v>
      </c>
      <c r="K27" s="38">
        <f t="shared" si="0"/>
        <v>13.284586000000001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 t="s">
        <v>18</v>
      </c>
      <c r="H28" s="35">
        <v>1981</v>
      </c>
      <c r="I28" s="36">
        <v>3353</v>
      </c>
      <c r="J28" s="37">
        <v>2</v>
      </c>
      <c r="K28" s="38">
        <f t="shared" si="0"/>
        <v>13.284586000000001</v>
      </c>
      <c r="L28" s="39"/>
    </row>
    <row r="29" spans="1:12" s="27" customFormat="1" ht="19.5" customHeight="1" x14ac:dyDescent="0.3">
      <c r="A29" s="28"/>
      <c r="B29" s="16"/>
      <c r="C29" s="17"/>
      <c r="D29" s="31"/>
      <c r="E29" s="81"/>
      <c r="F29" s="8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 t="s">
        <v>784</v>
      </c>
      <c r="B30" s="16" t="s">
        <v>353</v>
      </c>
      <c r="C30" s="17">
        <v>22</v>
      </c>
      <c r="D30" s="18" t="s">
        <v>307</v>
      </c>
      <c r="E30" s="41">
        <v>88</v>
      </c>
      <c r="F30" s="42">
        <v>70.12</v>
      </c>
      <c r="G30" s="34" t="s">
        <v>286</v>
      </c>
      <c r="H30" s="35">
        <v>1981</v>
      </c>
      <c r="I30" s="36">
        <v>3353</v>
      </c>
      <c r="J30" s="37">
        <v>4</v>
      </c>
      <c r="K30" s="38">
        <f t="shared" si="0"/>
        <v>26.569172000000002</v>
      </c>
      <c r="L30" s="39" t="s">
        <v>940</v>
      </c>
    </row>
    <row r="31" spans="1:12" s="27" customFormat="1" ht="19.5" customHeight="1" x14ac:dyDescent="0.3">
      <c r="A31" s="28"/>
      <c r="B31" s="16"/>
      <c r="C31" s="17">
        <v>22</v>
      </c>
      <c r="D31" s="18" t="s">
        <v>320</v>
      </c>
      <c r="E31" s="41">
        <v>112</v>
      </c>
      <c r="F31" s="42">
        <v>94.52</v>
      </c>
      <c r="G31" s="34" t="s">
        <v>18</v>
      </c>
      <c r="H31" s="35">
        <v>1981</v>
      </c>
      <c r="I31" s="36">
        <v>3353</v>
      </c>
      <c r="J31" s="37">
        <v>15</v>
      </c>
      <c r="K31" s="38">
        <f t="shared" si="0"/>
        <v>99.634395000000012</v>
      </c>
      <c r="L31" s="39" t="s">
        <v>953</v>
      </c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 t="s">
        <v>286</v>
      </c>
      <c r="H32" s="35">
        <v>1981</v>
      </c>
      <c r="I32" s="36">
        <v>3353</v>
      </c>
      <c r="J32" s="37">
        <v>15</v>
      </c>
      <c r="K32" s="38">
        <f t="shared" ref="K32:K48" si="2">(H32/1000*I32/1000)*J32</f>
        <v>99.634395000000012</v>
      </c>
      <c r="L32" s="39" t="s">
        <v>949</v>
      </c>
    </row>
    <row r="33" spans="1:12" s="27" customFormat="1" ht="19.5" customHeight="1" x14ac:dyDescent="0.3">
      <c r="A33" s="28"/>
      <c r="B33" s="16"/>
      <c r="C33" s="17"/>
      <c r="D33" s="18"/>
      <c r="E33" s="41"/>
      <c r="F33" s="42"/>
      <c r="G33" s="34"/>
      <c r="H33" s="35"/>
      <c r="I33" s="36"/>
      <c r="J33" s="37"/>
      <c r="K33" s="38">
        <f t="shared" si="2"/>
        <v>0</v>
      </c>
      <c r="L33" s="39"/>
    </row>
    <row r="34" spans="1:12" s="27" customFormat="1" ht="19.5" customHeight="1" x14ac:dyDescent="0.3">
      <c r="A34" s="28" t="s">
        <v>57</v>
      </c>
      <c r="B34" s="16"/>
      <c r="C34" s="17"/>
      <c r="D34" s="18"/>
      <c r="E34" s="41"/>
      <c r="F34" s="42"/>
      <c r="G34" s="34"/>
      <c r="H34" s="35"/>
      <c r="I34" s="36"/>
      <c r="J34" s="37"/>
      <c r="K34" s="38">
        <f t="shared" si="2"/>
        <v>0</v>
      </c>
      <c r="L34" s="39"/>
    </row>
    <row r="35" spans="1:12" s="27" customFormat="1" ht="19.5" customHeight="1" x14ac:dyDescent="0.3">
      <c r="A35" s="28" t="s">
        <v>946</v>
      </c>
      <c r="B35" s="16" t="s">
        <v>353</v>
      </c>
      <c r="C35" s="17">
        <v>22</v>
      </c>
      <c r="D35" s="18" t="s">
        <v>307</v>
      </c>
      <c r="E35" s="41">
        <v>112</v>
      </c>
      <c r="F35" s="42">
        <v>94.52</v>
      </c>
      <c r="G35" s="34" t="s">
        <v>947</v>
      </c>
      <c r="H35" s="35">
        <v>1981</v>
      </c>
      <c r="I35" s="36">
        <v>3353</v>
      </c>
      <c r="J35" s="37">
        <v>15</v>
      </c>
      <c r="K35" s="38">
        <f t="shared" si="2"/>
        <v>99.634395000000012</v>
      </c>
      <c r="L35" s="39" t="s">
        <v>309</v>
      </c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2"/>
        <v>0</v>
      </c>
      <c r="L36" s="39"/>
    </row>
    <row r="37" spans="1:12" s="27" customFormat="1" ht="19.5" customHeight="1" x14ac:dyDescent="0.3">
      <c r="A37" s="28" t="s">
        <v>948</v>
      </c>
      <c r="B37" s="16" t="s">
        <v>353</v>
      </c>
      <c r="C37" s="17">
        <v>22</v>
      </c>
      <c r="D37" s="18" t="s">
        <v>307</v>
      </c>
      <c r="E37" s="41">
        <v>275</v>
      </c>
      <c r="F37" s="42">
        <v>215.8</v>
      </c>
      <c r="G37" s="34" t="s">
        <v>947</v>
      </c>
      <c r="H37" s="35">
        <v>1829</v>
      </c>
      <c r="I37" s="36">
        <v>3353</v>
      </c>
      <c r="J37" s="37">
        <v>37</v>
      </c>
      <c r="K37" s="38">
        <f t="shared" si="2"/>
        <v>226.907569</v>
      </c>
      <c r="L37" s="39" t="s">
        <v>949</v>
      </c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si="2"/>
        <v>0</v>
      </c>
      <c r="L38" s="39"/>
    </row>
    <row r="39" spans="1:12" s="27" customFormat="1" ht="19.5" customHeight="1" x14ac:dyDescent="0.3">
      <c r="A39" s="28" t="s">
        <v>948</v>
      </c>
      <c r="B39" s="16" t="s">
        <v>353</v>
      </c>
      <c r="C39" s="17">
        <v>22</v>
      </c>
      <c r="D39" s="18" t="s">
        <v>307</v>
      </c>
      <c r="E39" s="41">
        <v>215</v>
      </c>
      <c r="F39" s="42">
        <v>174.6</v>
      </c>
      <c r="G39" s="34" t="s">
        <v>286</v>
      </c>
      <c r="H39" s="35">
        <v>1829</v>
      </c>
      <c r="I39" s="36">
        <v>3353</v>
      </c>
      <c r="J39" s="37">
        <v>29</v>
      </c>
      <c r="K39" s="38">
        <f t="shared" si="2"/>
        <v>177.846473</v>
      </c>
      <c r="L39" s="39" t="s">
        <v>958</v>
      </c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34"/>
      <c r="H40" s="35"/>
      <c r="I40" s="36"/>
      <c r="J40" s="37"/>
      <c r="K40" s="38">
        <f t="shared" si="2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38">
        <f t="shared" si="2"/>
        <v>0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38">
        <f t="shared" si="2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38">
        <f t="shared" si="2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38">
        <f t="shared" si="2"/>
        <v>0</v>
      </c>
      <c r="L44" s="39"/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38">
        <f t="shared" si="2"/>
        <v>0</v>
      </c>
      <c r="L45" s="39"/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/>
      <c r="H46" s="35"/>
      <c r="I46" s="36"/>
      <c r="J46" s="37"/>
      <c r="K46" s="38">
        <f t="shared" si="2"/>
        <v>0</v>
      </c>
      <c r="L46" s="39"/>
    </row>
    <row r="47" spans="1:12" s="27" customFormat="1" ht="19.5" customHeight="1" x14ac:dyDescent="0.3">
      <c r="A47" s="28"/>
      <c r="B47" s="16"/>
      <c r="C47" s="17"/>
      <c r="D47" s="18"/>
      <c r="E47" s="41"/>
      <c r="F47" s="42"/>
      <c r="G47" s="34"/>
      <c r="H47" s="35"/>
      <c r="I47" s="36"/>
      <c r="J47" s="37"/>
      <c r="K47" s="38">
        <f t="shared" si="2"/>
        <v>0</v>
      </c>
      <c r="L47" s="39"/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38">
        <f t="shared" si="2"/>
        <v>0</v>
      </c>
      <c r="L48" s="39"/>
    </row>
    <row r="49" spans="1:12" s="27" customFormat="1" ht="19.5" customHeight="1" x14ac:dyDescent="0.3">
      <c r="A49" s="28"/>
      <c r="B49" s="29"/>
      <c r="C49" s="30"/>
      <c r="D49" s="31"/>
      <c r="E49" s="41"/>
      <c r="F49" s="42"/>
      <c r="G49" s="43"/>
      <c r="H49" s="35"/>
      <c r="I49" s="36"/>
      <c r="J49" s="37"/>
      <c r="K49" s="38">
        <f t="shared" si="0"/>
        <v>0</v>
      </c>
      <c r="L49" s="39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931</v>
      </c>
      <c r="B51" s="76" t="s">
        <v>932</v>
      </c>
      <c r="C51" s="77">
        <v>24</v>
      </c>
      <c r="D51" s="47" t="s">
        <v>89</v>
      </c>
      <c r="E51" s="48">
        <v>1</v>
      </c>
      <c r="F51" s="49">
        <v>1.67</v>
      </c>
      <c r="G51" s="50"/>
      <c r="H51" s="51"/>
      <c r="I51" s="45"/>
      <c r="J51" s="52"/>
      <c r="K51" s="53">
        <f t="shared" si="0"/>
        <v>0</v>
      </c>
      <c r="L51" s="54" t="s">
        <v>31</v>
      </c>
    </row>
    <row r="52" spans="1:12" s="55" customFormat="1" ht="19.5" customHeight="1" x14ac:dyDescent="0.3">
      <c r="A52" s="44"/>
      <c r="B52" s="76"/>
      <c r="C52" s="77">
        <v>24</v>
      </c>
      <c r="D52" s="47" t="s">
        <v>941</v>
      </c>
      <c r="E52" s="48">
        <v>3</v>
      </c>
      <c r="F52" s="49">
        <v>1.83</v>
      </c>
      <c r="G52" s="50"/>
      <c r="H52" s="51"/>
      <c r="I52" s="45"/>
      <c r="J52" s="52"/>
      <c r="K52" s="53">
        <f t="shared" si="0"/>
        <v>0</v>
      </c>
      <c r="L52" s="54" t="s">
        <v>31</v>
      </c>
    </row>
    <row r="53" spans="1:12" s="55" customFormat="1" ht="19.5" customHeight="1" x14ac:dyDescent="0.3">
      <c r="A53" s="44"/>
      <c r="B53" s="76"/>
      <c r="C53" s="77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797</v>
      </c>
      <c r="B54" s="76" t="s">
        <v>790</v>
      </c>
      <c r="C54" s="77">
        <v>43</v>
      </c>
      <c r="D54" s="47" t="s">
        <v>791</v>
      </c>
      <c r="E54" s="48">
        <v>4</v>
      </c>
      <c r="F54" s="49">
        <v>2.83</v>
      </c>
      <c r="G54" s="50"/>
      <c r="H54" s="51"/>
      <c r="I54" s="45"/>
      <c r="J54" s="52"/>
      <c r="K54" s="53">
        <f t="shared" si="0"/>
        <v>0</v>
      </c>
      <c r="L54" s="54" t="s">
        <v>892</v>
      </c>
    </row>
    <row r="55" spans="1:12" s="55" customFormat="1" ht="19.5" customHeight="1" x14ac:dyDescent="0.3">
      <c r="A55" s="44"/>
      <c r="B55" s="76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796</v>
      </c>
      <c r="B56" s="76" t="s">
        <v>790</v>
      </c>
      <c r="C56" s="77">
        <v>43</v>
      </c>
      <c r="D56" s="47" t="s">
        <v>791</v>
      </c>
      <c r="E56" s="48">
        <v>1</v>
      </c>
      <c r="F56" s="49">
        <v>1.06</v>
      </c>
      <c r="G56" s="50"/>
      <c r="H56" s="51"/>
      <c r="I56" s="45"/>
      <c r="J56" s="52"/>
      <c r="K56" s="53">
        <f t="shared" si="0"/>
        <v>0</v>
      </c>
      <c r="L56" s="54" t="s">
        <v>892</v>
      </c>
    </row>
    <row r="57" spans="1:12" s="55" customFormat="1" ht="19.5" customHeight="1" x14ac:dyDescent="0.3">
      <c r="A57" s="44"/>
      <c r="B57" s="76"/>
      <c r="C57" s="77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667</v>
      </c>
      <c r="B58" s="76" t="s">
        <v>187</v>
      </c>
      <c r="C58" s="77">
        <v>28</v>
      </c>
      <c r="D58" s="47" t="s">
        <v>188</v>
      </c>
      <c r="E58" s="48">
        <v>2</v>
      </c>
      <c r="F58" s="49">
        <v>1.18</v>
      </c>
      <c r="G58" s="50"/>
      <c r="H58" s="51"/>
      <c r="I58" s="45"/>
      <c r="J58" s="52"/>
      <c r="K58" s="53"/>
      <c r="L58" s="54" t="s">
        <v>346</v>
      </c>
    </row>
    <row r="59" spans="1:12" s="55" customFormat="1" ht="19.5" customHeight="1" x14ac:dyDescent="0.3">
      <c r="A59" s="44"/>
      <c r="B59" s="76"/>
      <c r="C59" s="77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667</v>
      </c>
      <c r="B60" s="76" t="s">
        <v>187</v>
      </c>
      <c r="C60" s="77">
        <v>28</v>
      </c>
      <c r="D60" s="47" t="s">
        <v>188</v>
      </c>
      <c r="E60" s="48">
        <v>2</v>
      </c>
      <c r="F60" s="49">
        <v>1.06</v>
      </c>
      <c r="G60" s="50"/>
      <c r="H60" s="51"/>
      <c r="I60" s="45"/>
      <c r="J60" s="52"/>
      <c r="K60" s="53">
        <f t="shared" si="0"/>
        <v>0</v>
      </c>
      <c r="L60" s="54" t="s">
        <v>345</v>
      </c>
    </row>
    <row r="61" spans="1:12" s="55" customFormat="1" ht="19.5" customHeight="1" x14ac:dyDescent="0.3">
      <c r="A61" s="44"/>
      <c r="B61" s="76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796</v>
      </c>
      <c r="B62" s="76" t="s">
        <v>790</v>
      </c>
      <c r="C62" s="77">
        <v>43</v>
      </c>
      <c r="D62" s="47" t="s">
        <v>791</v>
      </c>
      <c r="E62" s="48">
        <v>1</v>
      </c>
      <c r="F62" s="49">
        <v>0.66</v>
      </c>
      <c r="G62" s="50"/>
      <c r="H62" s="51"/>
      <c r="I62" s="45"/>
      <c r="J62" s="52"/>
      <c r="K62" s="53">
        <f t="shared" si="0"/>
        <v>0</v>
      </c>
      <c r="L62" s="54" t="s">
        <v>892</v>
      </c>
    </row>
    <row r="63" spans="1:12" s="55" customFormat="1" ht="19.5" customHeight="1" x14ac:dyDescent="0.3">
      <c r="A63" s="44"/>
      <c r="B63" s="76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789</v>
      </c>
      <c r="B64" s="76" t="s">
        <v>790</v>
      </c>
      <c r="C64" s="77">
        <v>43</v>
      </c>
      <c r="D64" s="47" t="s">
        <v>791</v>
      </c>
      <c r="E64" s="48">
        <v>1</v>
      </c>
      <c r="F64" s="49">
        <v>0.41</v>
      </c>
      <c r="G64" s="50"/>
      <c r="H64" s="51"/>
      <c r="I64" s="45"/>
      <c r="J64" s="52"/>
      <c r="K64" s="53">
        <f t="shared" si="0"/>
        <v>0</v>
      </c>
      <c r="L64" s="54" t="s">
        <v>892</v>
      </c>
    </row>
    <row r="65" spans="1:12" s="55" customFormat="1" ht="19.5" customHeight="1" x14ac:dyDescent="0.3">
      <c r="A65" s="44"/>
      <c r="B65" s="76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942</v>
      </c>
      <c r="B66" s="76" t="s">
        <v>187</v>
      </c>
      <c r="C66" s="77">
        <v>28</v>
      </c>
      <c r="D66" s="78" t="s">
        <v>245</v>
      </c>
      <c r="E66" s="48">
        <v>54</v>
      </c>
      <c r="F66" s="49">
        <v>112.7</v>
      </c>
      <c r="G66" s="50" t="s">
        <v>560</v>
      </c>
      <c r="H66" s="51">
        <v>3050</v>
      </c>
      <c r="I66" s="45">
        <v>4000</v>
      </c>
      <c r="J66" s="52">
        <v>10</v>
      </c>
      <c r="K66" s="53">
        <f t="shared" si="0"/>
        <v>122</v>
      </c>
      <c r="L66" s="54"/>
    </row>
    <row r="67" spans="1:12" s="55" customFormat="1" ht="19.5" customHeight="1" x14ac:dyDescent="0.3">
      <c r="A67" s="44"/>
      <c r="B67" s="76"/>
      <c r="C67" s="77">
        <v>28</v>
      </c>
      <c r="D67" s="78" t="s">
        <v>943</v>
      </c>
      <c r="E67" s="48">
        <v>4</v>
      </c>
      <c r="F67" s="49">
        <v>3.1</v>
      </c>
      <c r="G67" s="50" t="s">
        <v>922</v>
      </c>
      <c r="H67" s="51">
        <v>3050</v>
      </c>
      <c r="I67" s="45">
        <v>4000</v>
      </c>
      <c r="J67" s="52">
        <v>10</v>
      </c>
      <c r="K67" s="53">
        <f t="shared" si="0"/>
        <v>122</v>
      </c>
      <c r="L67" s="54"/>
    </row>
    <row r="68" spans="1:12" s="55" customFormat="1" ht="19.5" customHeight="1" x14ac:dyDescent="0.3">
      <c r="A68" s="44"/>
      <c r="B68" s="76"/>
      <c r="C68" s="77"/>
      <c r="D68" s="78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923</v>
      </c>
      <c r="B69" s="76" t="s">
        <v>187</v>
      </c>
      <c r="C69" s="77">
        <v>28</v>
      </c>
      <c r="D69" s="78" t="s">
        <v>245</v>
      </c>
      <c r="E69" s="48">
        <v>46</v>
      </c>
      <c r="F69" s="49">
        <v>97.7</v>
      </c>
      <c r="G69" s="50" t="s">
        <v>922</v>
      </c>
      <c r="H69" s="51">
        <v>3050</v>
      </c>
      <c r="I69" s="45">
        <v>4000</v>
      </c>
      <c r="J69" s="52">
        <v>10</v>
      </c>
      <c r="K69" s="53">
        <f t="shared" si="0"/>
        <v>122</v>
      </c>
      <c r="L69" s="54" t="s">
        <v>247</v>
      </c>
    </row>
    <row r="70" spans="1:12" s="55" customFormat="1" ht="19.5" customHeight="1" x14ac:dyDescent="0.3">
      <c r="A70" s="44"/>
      <c r="B70" s="76"/>
      <c r="C70" s="77">
        <v>28</v>
      </c>
      <c r="D70" s="78" t="s">
        <v>943</v>
      </c>
      <c r="E70" s="48">
        <v>4</v>
      </c>
      <c r="F70" s="49">
        <v>13.01</v>
      </c>
      <c r="G70" s="50"/>
      <c r="H70" s="51"/>
      <c r="I70" s="45"/>
      <c r="J70" s="52"/>
      <c r="K70" s="53">
        <f t="shared" si="0"/>
        <v>0</v>
      </c>
      <c r="L70" s="54" t="s">
        <v>247</v>
      </c>
    </row>
    <row r="71" spans="1:12" s="55" customFormat="1" ht="19.5" customHeight="1" x14ac:dyDescent="0.3">
      <c r="A71" s="44"/>
      <c r="B71" s="76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 t="s">
        <v>944</v>
      </c>
      <c r="B72" s="76" t="s">
        <v>951</v>
      </c>
      <c r="C72" s="77">
        <v>24</v>
      </c>
      <c r="D72" s="47" t="s">
        <v>55</v>
      </c>
      <c r="E72" s="48">
        <v>276</v>
      </c>
      <c r="F72" s="49">
        <v>224.94</v>
      </c>
      <c r="G72" s="50" t="s">
        <v>56</v>
      </c>
      <c r="H72" s="51">
        <v>1981</v>
      </c>
      <c r="I72" s="45">
        <v>3353</v>
      </c>
      <c r="J72" s="52">
        <v>59</v>
      </c>
      <c r="K72" s="53">
        <f t="shared" si="0"/>
        <v>391.89528700000005</v>
      </c>
      <c r="L72" s="54" t="s">
        <v>106</v>
      </c>
    </row>
    <row r="73" spans="1:12" s="55" customFormat="1" ht="19.5" customHeight="1" x14ac:dyDescent="0.3">
      <c r="A73" s="44" t="s">
        <v>945</v>
      </c>
      <c r="B73" s="76" t="s">
        <v>951</v>
      </c>
      <c r="C73" s="77">
        <v>24</v>
      </c>
      <c r="D73" s="47" t="s">
        <v>55</v>
      </c>
      <c r="E73" s="48">
        <v>90</v>
      </c>
      <c r="F73" s="49">
        <v>105.2</v>
      </c>
      <c r="G73" s="50"/>
      <c r="H73" s="51"/>
      <c r="I73" s="45"/>
      <c r="J73" s="52"/>
      <c r="K73" s="53">
        <f t="shared" si="0"/>
        <v>0</v>
      </c>
      <c r="L73" s="54" t="s">
        <v>106</v>
      </c>
    </row>
    <row r="74" spans="1:12" s="55" customFormat="1" ht="19.5" customHeight="1" x14ac:dyDescent="0.3">
      <c r="A74" s="44"/>
      <c r="B74" s="76"/>
      <c r="C74" s="77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 t="s">
        <v>57</v>
      </c>
      <c r="B75" s="45"/>
      <c r="C75" s="77"/>
      <c r="D75" s="78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 t="s">
        <v>950</v>
      </c>
      <c r="B76" s="76" t="s">
        <v>951</v>
      </c>
      <c r="C76" s="77">
        <v>24</v>
      </c>
      <c r="D76" s="47" t="s">
        <v>55</v>
      </c>
      <c r="E76" s="48">
        <v>85</v>
      </c>
      <c r="F76" s="49">
        <v>100.23</v>
      </c>
      <c r="G76" s="50" t="s">
        <v>56</v>
      </c>
      <c r="H76" s="51">
        <v>1829</v>
      </c>
      <c r="I76" s="45">
        <v>3353</v>
      </c>
      <c r="J76" s="52">
        <v>49</v>
      </c>
      <c r="K76" s="53">
        <f t="shared" si="0"/>
        <v>300.499213</v>
      </c>
      <c r="L76" s="54" t="s">
        <v>106</v>
      </c>
    </row>
    <row r="77" spans="1:12" s="55" customFormat="1" ht="19.5" customHeight="1" x14ac:dyDescent="0.3">
      <c r="A77" s="44" t="s">
        <v>952</v>
      </c>
      <c r="B77" s="76" t="s">
        <v>951</v>
      </c>
      <c r="C77" s="77">
        <v>24</v>
      </c>
      <c r="D77" s="47" t="s">
        <v>55</v>
      </c>
      <c r="E77" s="48">
        <v>209</v>
      </c>
      <c r="F77" s="49">
        <v>164.69</v>
      </c>
      <c r="G77" s="50"/>
      <c r="H77" s="51"/>
      <c r="I77" s="45"/>
      <c r="J77" s="52"/>
      <c r="K77" s="53">
        <f t="shared" si="0"/>
        <v>0</v>
      </c>
      <c r="L77" s="54" t="s">
        <v>106</v>
      </c>
    </row>
    <row r="78" spans="1:12" s="55" customFormat="1" ht="19.5" customHeight="1" x14ac:dyDescent="0.3">
      <c r="A78" s="44"/>
      <c r="B78" s="76"/>
      <c r="C78" s="77"/>
      <c r="D78" s="78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76"/>
      <c r="C79" s="77"/>
      <c r="D79" s="47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/>
      <c r="B80" s="45"/>
      <c r="C80" s="77"/>
      <c r="D80" s="78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45"/>
      <c r="C81" s="77"/>
      <c r="D81" s="78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5" customFormat="1" ht="19.5" customHeight="1" x14ac:dyDescent="0.3">
      <c r="A83" s="44"/>
      <c r="B83" s="45"/>
      <c r="C83" s="46"/>
      <c r="D83" s="47"/>
      <c r="E83" s="48"/>
      <c r="F83" s="49"/>
      <c r="G83" s="50"/>
      <c r="H83" s="51"/>
      <c r="I83" s="45"/>
      <c r="J83" s="52"/>
      <c r="K83" s="53">
        <f t="shared" si="0"/>
        <v>0</v>
      </c>
      <c r="L83" s="54"/>
    </row>
    <row r="84" spans="1:12" s="59" customFormat="1" ht="20.100000000000001" customHeight="1" x14ac:dyDescent="0.3">
      <c r="A84" s="44"/>
      <c r="B84" s="45"/>
      <c r="C84" s="46"/>
      <c r="D84" s="47"/>
      <c r="E84" s="56"/>
      <c r="F84" s="57"/>
      <c r="G84" s="50"/>
      <c r="H84" s="51"/>
      <c r="I84" s="45"/>
      <c r="J84" s="52"/>
      <c r="K84" s="53">
        <f t="shared" si="0"/>
        <v>0</v>
      </c>
      <c r="L84" s="58">
        <f>SUM(J50:J85)</f>
        <v>138</v>
      </c>
    </row>
    <row r="85" spans="1:12" s="59" customFormat="1" ht="20.100000000000001" customHeight="1" x14ac:dyDescent="0.3">
      <c r="A85" s="44"/>
      <c r="B85" s="45"/>
      <c r="C85" s="46"/>
      <c r="D85" s="47"/>
      <c r="E85" s="60"/>
      <c r="F85" s="61"/>
      <c r="G85" s="62"/>
      <c r="H85" s="51"/>
      <c r="I85" s="45"/>
      <c r="J85" s="63"/>
      <c r="K85" s="53">
        <f t="shared" si="0"/>
        <v>0</v>
      </c>
      <c r="L85" s="64">
        <f>SUM(K50:K85)</f>
        <v>1058.3945000000001</v>
      </c>
    </row>
    <row r="86" spans="1:12" s="59" customFormat="1" ht="20.100000000000001" customHeight="1" thickBot="1" x14ac:dyDescent="0.35">
      <c r="A86" s="114"/>
      <c r="B86" s="115"/>
      <c r="C86" s="115"/>
      <c r="D86" s="115"/>
      <c r="E86" s="115"/>
      <c r="F86" s="115"/>
      <c r="G86" s="115"/>
      <c r="H86" s="115"/>
      <c r="I86" s="115"/>
      <c r="J86" s="65">
        <f>SUM(J7:J85)</f>
        <v>334</v>
      </c>
      <c r="K86" s="66">
        <f>SUM(K7:K85)</f>
        <v>2299.0462050000001</v>
      </c>
      <c r="L86" s="67"/>
    </row>
    <row r="87" spans="1:12" s="59" customFormat="1" ht="20.100000000000001" customHeight="1" thickTop="1" thickBot="1" x14ac:dyDescent="0.35">
      <c r="A87" s="116" t="s">
        <v>52</v>
      </c>
      <c r="B87" s="117"/>
      <c r="C87" s="68"/>
      <c r="D87" s="118">
        <f>J86</f>
        <v>334</v>
      </c>
      <c r="E87" s="119"/>
      <c r="F87" s="119"/>
      <c r="G87" s="120"/>
      <c r="H87" s="121"/>
      <c r="I87" s="121"/>
      <c r="J87" s="122"/>
      <c r="K87" s="119"/>
      <c r="L87" s="123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71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72"/>
      <c r="F93" s="5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5"/>
      <c r="G94" s="73"/>
      <c r="H94" s="5"/>
      <c r="I94" s="74"/>
      <c r="J94" s="5"/>
      <c r="K94" s="5"/>
      <c r="L94" s="5"/>
    </row>
    <row r="95" spans="1:12" s="59" customFormat="1" ht="20.100000000000001" customHeight="1" x14ac:dyDescent="0.3">
      <c r="A95" s="113"/>
      <c r="B95" s="113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113"/>
      <c r="B98" s="113"/>
      <c r="C98" s="5"/>
      <c r="D98" s="5"/>
      <c r="E98" s="5"/>
      <c r="F98" s="70"/>
      <c r="G98" s="5"/>
      <c r="H98" s="72"/>
      <c r="I98" s="72"/>
      <c r="J98" s="5"/>
      <c r="K98" s="5"/>
      <c r="L98" s="5"/>
    </row>
    <row r="99" spans="1:12" ht="20.100000000000001" customHeight="1" x14ac:dyDescent="0.3">
      <c r="A99" s="113"/>
      <c r="B99" s="113"/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H101" s="72"/>
      <c r="I101" s="72"/>
    </row>
    <row r="102" spans="1:12" ht="20.100000000000001" customHeight="1" x14ac:dyDescent="0.3">
      <c r="A102" s="113"/>
      <c r="B102" s="113"/>
      <c r="H102" s="72"/>
      <c r="I102" s="72"/>
    </row>
    <row r="103" spans="1:12" ht="20.100000000000001" customHeight="1" x14ac:dyDescent="0.3">
      <c r="A103" s="113"/>
      <c r="B103" s="113"/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H105" s="72"/>
      <c r="I105" s="72"/>
    </row>
    <row r="106" spans="1:12" ht="20.100000000000001" customHeight="1" x14ac:dyDescent="0.3">
      <c r="H106" s="72"/>
      <c r="I106" s="72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J107" s="5"/>
      <c r="K107" s="5"/>
      <c r="L107" s="5"/>
    </row>
    <row r="108" spans="1:12" s="72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5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5" customFormat="1" ht="20.100000000000001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5" customFormat="1" ht="19.5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72" customFormat="1" ht="20.100000000000001" customHeight="1" x14ac:dyDescent="0.3">
      <c r="A113" s="69"/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ht="19.5" customHeight="1" x14ac:dyDescent="0.3"/>
    <row r="115" spans="1:12" ht="19.5" customHeight="1" x14ac:dyDescent="0.3"/>
    <row r="116" spans="1:12" ht="19.5" customHeight="1" x14ac:dyDescent="0.3"/>
    <row r="117" spans="1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>
        <v>2</v>
      </c>
      <c r="C177" s="5"/>
      <c r="D177" s="5"/>
      <c r="E177" s="5"/>
      <c r="F177" s="70"/>
      <c r="G177" s="5"/>
      <c r="H177" s="5"/>
      <c r="I177" s="5"/>
      <c r="J177" s="5"/>
      <c r="K177" s="5"/>
      <c r="L177" s="5"/>
    </row>
  </sheetData>
  <mergeCells count="30">
    <mergeCell ref="A102:B102"/>
    <mergeCell ref="A103:B103"/>
    <mergeCell ref="A93:B93"/>
    <mergeCell ref="A94:B94"/>
    <mergeCell ref="A95:B95"/>
    <mergeCell ref="A97:B97"/>
    <mergeCell ref="A98:B98"/>
    <mergeCell ref="A99:B99"/>
    <mergeCell ref="A92:B92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6:I86"/>
    <mergeCell ref="A87:B87"/>
    <mergeCell ref="D87:G87"/>
    <mergeCell ref="H87:J87"/>
    <mergeCell ref="K87:L87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L177"/>
  <sheetViews>
    <sheetView view="pageBreakPreview" topLeftCell="C67" zoomScale="85" zoomScaleSheetLayoutView="85" workbookViewId="0">
      <selection activeCell="G35" sqref="G35:J7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46049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5" si="0">(H7/1000*I7/1000)*J7</f>
        <v>0</v>
      </c>
      <c r="L7" s="26">
        <f>SUM(J7:J33)</f>
        <v>190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SUM(K7:K33)</f>
        <v>1226.4603399999999</v>
      </c>
    </row>
    <row r="9" spans="1:12" s="27" customFormat="1" ht="19.5" customHeight="1" x14ac:dyDescent="0.3">
      <c r="A9" s="28" t="s">
        <v>859</v>
      </c>
      <c r="B9" s="16" t="s">
        <v>860</v>
      </c>
      <c r="C9" s="17">
        <v>43</v>
      </c>
      <c r="D9" s="18" t="s">
        <v>861</v>
      </c>
      <c r="E9" s="81">
        <v>1</v>
      </c>
      <c r="F9" s="82">
        <v>2.42</v>
      </c>
      <c r="G9" s="34" t="s">
        <v>862</v>
      </c>
      <c r="H9" s="35">
        <v>1829</v>
      </c>
      <c r="I9" s="36">
        <v>3353</v>
      </c>
      <c r="J9" s="37">
        <v>1</v>
      </c>
      <c r="K9" s="38">
        <f t="shared" si="0"/>
        <v>6.1326369999999999</v>
      </c>
      <c r="L9" s="39"/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 t="s">
        <v>863</v>
      </c>
      <c r="H10" s="35">
        <v>1829</v>
      </c>
      <c r="I10" s="36">
        <v>3353</v>
      </c>
      <c r="J10" s="37">
        <v>1</v>
      </c>
      <c r="K10" s="38">
        <f t="shared" si="0"/>
        <v>6.1326369999999999</v>
      </c>
      <c r="L10" s="39"/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864</v>
      </c>
      <c r="B12" s="16" t="s">
        <v>353</v>
      </c>
      <c r="C12" s="17">
        <v>22</v>
      </c>
      <c r="D12" s="18" t="s">
        <v>307</v>
      </c>
      <c r="E12" s="41">
        <v>140</v>
      </c>
      <c r="F12" s="42">
        <v>115</v>
      </c>
      <c r="G12" s="34" t="s">
        <v>865</v>
      </c>
      <c r="H12" s="35">
        <v>1829</v>
      </c>
      <c r="I12" s="36">
        <v>3353</v>
      </c>
      <c r="J12" s="37">
        <v>20</v>
      </c>
      <c r="K12" s="38">
        <f t="shared" si="0"/>
        <v>122.65273999999999</v>
      </c>
      <c r="L12" s="39" t="s">
        <v>866</v>
      </c>
    </row>
    <row r="13" spans="1:12" s="27" customFormat="1" ht="19.5" customHeight="1" x14ac:dyDescent="0.3">
      <c r="A13" s="28"/>
      <c r="B13" s="16"/>
      <c r="C13" s="17">
        <v>22</v>
      </c>
      <c r="D13" s="31" t="s">
        <v>17</v>
      </c>
      <c r="E13" s="41">
        <v>140</v>
      </c>
      <c r="F13" s="42">
        <v>115</v>
      </c>
      <c r="G13" s="34" t="s">
        <v>863</v>
      </c>
      <c r="H13" s="35">
        <v>1829</v>
      </c>
      <c r="I13" s="36">
        <v>3353</v>
      </c>
      <c r="J13" s="37">
        <v>20</v>
      </c>
      <c r="K13" s="38">
        <f t="shared" si="0"/>
        <v>122.65273999999999</v>
      </c>
      <c r="L13" s="39" t="s">
        <v>866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862</v>
      </c>
      <c r="H14" s="35">
        <v>1829</v>
      </c>
      <c r="I14" s="36">
        <v>3353</v>
      </c>
      <c r="J14" s="37">
        <v>40</v>
      </c>
      <c r="K14" s="38">
        <f t="shared" si="0"/>
        <v>245.30547999999999</v>
      </c>
      <c r="L14" s="39" t="s">
        <v>866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924</v>
      </c>
      <c r="B16" s="16" t="s">
        <v>353</v>
      </c>
      <c r="C16" s="17">
        <v>22</v>
      </c>
      <c r="D16" s="18" t="s">
        <v>307</v>
      </c>
      <c r="E16" s="41">
        <v>255</v>
      </c>
      <c r="F16" s="42">
        <v>209</v>
      </c>
      <c r="G16" s="34" t="s">
        <v>978</v>
      </c>
      <c r="H16" s="35">
        <v>1829</v>
      </c>
      <c r="I16" s="36">
        <v>3353</v>
      </c>
      <c r="J16" s="37">
        <v>36</v>
      </c>
      <c r="K16" s="38">
        <f t="shared" si="0"/>
        <v>220.77493200000001</v>
      </c>
      <c r="L16" s="39" t="s">
        <v>465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867</v>
      </c>
      <c r="B18" s="16" t="s">
        <v>868</v>
      </c>
      <c r="C18" s="17">
        <v>5</v>
      </c>
      <c r="D18" s="18" t="s">
        <v>869</v>
      </c>
      <c r="E18" s="41">
        <v>162</v>
      </c>
      <c r="F18" s="42">
        <v>112.86</v>
      </c>
      <c r="G18" s="34" t="s">
        <v>979</v>
      </c>
      <c r="H18" s="35">
        <v>2438</v>
      </c>
      <c r="I18" s="36">
        <v>3353</v>
      </c>
      <c r="J18" s="37">
        <v>15</v>
      </c>
      <c r="K18" s="38">
        <f t="shared" si="0"/>
        <v>122.61921</v>
      </c>
      <c r="L18" s="39" t="s">
        <v>870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871</v>
      </c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918</v>
      </c>
      <c r="B21" s="16" t="s">
        <v>25</v>
      </c>
      <c r="C21" s="17">
        <v>5</v>
      </c>
      <c r="D21" s="18" t="s">
        <v>219</v>
      </c>
      <c r="E21" s="41">
        <v>162</v>
      </c>
      <c r="F21" s="42">
        <v>112.86</v>
      </c>
      <c r="G21" s="34" t="s">
        <v>18</v>
      </c>
      <c r="H21" s="35">
        <v>2438</v>
      </c>
      <c r="I21" s="36">
        <v>3353</v>
      </c>
      <c r="J21" s="37">
        <v>15</v>
      </c>
      <c r="K21" s="38">
        <f t="shared" ref="K21" si="1">(H21/1000*I21/1000)*J21</f>
        <v>122.61921</v>
      </c>
      <c r="L21" s="39" t="s">
        <v>919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925</v>
      </c>
      <c r="B23" s="16" t="s">
        <v>353</v>
      </c>
      <c r="C23" s="17">
        <v>22</v>
      </c>
      <c r="D23" s="18" t="s">
        <v>307</v>
      </c>
      <c r="E23" s="41">
        <v>255</v>
      </c>
      <c r="F23" s="42">
        <v>209</v>
      </c>
      <c r="G23" s="34" t="s">
        <v>39</v>
      </c>
      <c r="H23" s="35">
        <v>1829</v>
      </c>
      <c r="I23" s="36">
        <v>3353</v>
      </c>
      <c r="J23" s="37">
        <v>36</v>
      </c>
      <c r="K23" s="38">
        <f t="shared" ref="K23" si="2">(H23/1000*I23/1000)*J23</f>
        <v>220.77493200000001</v>
      </c>
      <c r="L23" s="39" t="s">
        <v>425</v>
      </c>
    </row>
    <row r="24" spans="1:12" s="27" customFormat="1" ht="19.5" customHeight="1" x14ac:dyDescent="0.3">
      <c r="A24" s="28"/>
      <c r="B24" s="16"/>
      <c r="C24" s="17">
        <v>22</v>
      </c>
      <c r="D24" s="18" t="s">
        <v>320</v>
      </c>
      <c r="E24" s="41">
        <v>20</v>
      </c>
      <c r="F24" s="42">
        <v>32.200000000000003</v>
      </c>
      <c r="G24" s="34" t="s">
        <v>39</v>
      </c>
      <c r="H24" s="35">
        <v>1829</v>
      </c>
      <c r="I24" s="36">
        <v>3353</v>
      </c>
      <c r="J24" s="37">
        <v>6</v>
      </c>
      <c r="K24" s="38">
        <f t="shared" si="0"/>
        <v>36.795822000000001</v>
      </c>
      <c r="L24" s="39" t="s">
        <v>920</v>
      </c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31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31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31"/>
      <c r="E29" s="81"/>
      <c r="F29" s="8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29"/>
      <c r="C33" s="30"/>
      <c r="D33" s="31"/>
      <c r="E33" s="41"/>
      <c r="F33" s="42"/>
      <c r="G33" s="43"/>
      <c r="H33" s="35"/>
      <c r="I33" s="36"/>
      <c r="J33" s="37"/>
      <c r="K33" s="38">
        <f t="shared" si="0"/>
        <v>0</v>
      </c>
      <c r="L33" s="39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873</v>
      </c>
      <c r="B35" s="76" t="s">
        <v>872</v>
      </c>
      <c r="C35" s="77">
        <v>22</v>
      </c>
      <c r="D35" s="47" t="s">
        <v>876</v>
      </c>
      <c r="E35" s="48">
        <v>10</v>
      </c>
      <c r="F35" s="49">
        <v>16</v>
      </c>
      <c r="G35" s="50" t="s">
        <v>863</v>
      </c>
      <c r="H35" s="51">
        <v>2590</v>
      </c>
      <c r="I35" s="45">
        <v>3353</v>
      </c>
      <c r="J35" s="52">
        <v>4</v>
      </c>
      <c r="K35" s="53">
        <f t="shared" si="0"/>
        <v>34.737079999999992</v>
      </c>
      <c r="L35" s="54" t="s">
        <v>877</v>
      </c>
    </row>
    <row r="36" spans="1:12" s="55" customFormat="1" ht="19.5" customHeight="1" x14ac:dyDescent="0.3">
      <c r="A36" s="44" t="s">
        <v>874</v>
      </c>
      <c r="B36" s="76" t="s">
        <v>872</v>
      </c>
      <c r="C36" s="77">
        <v>22</v>
      </c>
      <c r="D36" s="47" t="s">
        <v>876</v>
      </c>
      <c r="E36" s="48">
        <v>10</v>
      </c>
      <c r="F36" s="49">
        <v>14.1</v>
      </c>
      <c r="G36" s="50" t="s">
        <v>863</v>
      </c>
      <c r="H36" s="51">
        <v>2590</v>
      </c>
      <c r="I36" s="45">
        <v>3048</v>
      </c>
      <c r="J36" s="52">
        <v>2</v>
      </c>
      <c r="K36" s="53">
        <f t="shared" si="0"/>
        <v>15.788639999999999</v>
      </c>
      <c r="L36" s="54" t="s">
        <v>877</v>
      </c>
    </row>
    <row r="37" spans="1:12" s="55" customFormat="1" ht="19.5" customHeight="1" x14ac:dyDescent="0.3">
      <c r="A37" s="44" t="s">
        <v>875</v>
      </c>
      <c r="B37" s="76" t="s">
        <v>872</v>
      </c>
      <c r="C37" s="77">
        <v>22</v>
      </c>
      <c r="D37" s="47" t="s">
        <v>876</v>
      </c>
      <c r="E37" s="48">
        <v>15</v>
      </c>
      <c r="F37" s="49">
        <v>16.5</v>
      </c>
      <c r="G37" s="50"/>
      <c r="H37" s="51"/>
      <c r="I37" s="45"/>
      <c r="J37" s="52"/>
      <c r="K37" s="53">
        <f t="shared" si="0"/>
        <v>0</v>
      </c>
      <c r="L37" s="54" t="s">
        <v>877</v>
      </c>
    </row>
    <row r="38" spans="1:12" s="55" customFormat="1" ht="19.5" customHeight="1" x14ac:dyDescent="0.3">
      <c r="A38" s="44"/>
      <c r="B38" s="76"/>
      <c r="C38" s="77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873</v>
      </c>
      <c r="B39" s="76" t="s">
        <v>872</v>
      </c>
      <c r="C39" s="77">
        <v>22</v>
      </c>
      <c r="D39" s="47" t="s">
        <v>876</v>
      </c>
      <c r="E39" s="48">
        <v>10</v>
      </c>
      <c r="F39" s="49">
        <v>16</v>
      </c>
      <c r="G39" s="50" t="s">
        <v>879</v>
      </c>
      <c r="H39" s="51">
        <v>1981</v>
      </c>
      <c r="I39" s="45">
        <v>3353</v>
      </c>
      <c r="J39" s="52">
        <v>9</v>
      </c>
      <c r="K39" s="53">
        <f t="shared" si="0"/>
        <v>59.780637000000006</v>
      </c>
      <c r="L39" s="54" t="s">
        <v>878</v>
      </c>
    </row>
    <row r="40" spans="1:12" s="55" customFormat="1" ht="19.5" customHeight="1" x14ac:dyDescent="0.3">
      <c r="A40" s="44"/>
      <c r="B40" s="76"/>
      <c r="C40" s="77">
        <v>46.76</v>
      </c>
      <c r="D40" s="47" t="s">
        <v>881</v>
      </c>
      <c r="E40" s="48">
        <v>5</v>
      </c>
      <c r="F40" s="49">
        <v>2</v>
      </c>
      <c r="G40" s="50" t="s">
        <v>880</v>
      </c>
      <c r="H40" s="51">
        <v>1981</v>
      </c>
      <c r="I40" s="45">
        <v>3353</v>
      </c>
      <c r="J40" s="52">
        <v>1</v>
      </c>
      <c r="K40" s="53">
        <f t="shared" si="0"/>
        <v>6.6422930000000004</v>
      </c>
      <c r="L40" s="54" t="s">
        <v>878</v>
      </c>
    </row>
    <row r="41" spans="1:12" s="55" customFormat="1" ht="19.5" customHeight="1" x14ac:dyDescent="0.3">
      <c r="A41" s="44" t="s">
        <v>874</v>
      </c>
      <c r="B41" s="76" t="s">
        <v>872</v>
      </c>
      <c r="C41" s="77">
        <v>22</v>
      </c>
      <c r="D41" s="47" t="s">
        <v>876</v>
      </c>
      <c r="E41" s="48">
        <v>10</v>
      </c>
      <c r="F41" s="49">
        <v>14.1</v>
      </c>
      <c r="G41" s="50"/>
      <c r="H41" s="51"/>
      <c r="I41" s="45"/>
      <c r="J41" s="52"/>
      <c r="K41" s="53">
        <f t="shared" si="0"/>
        <v>0</v>
      </c>
      <c r="L41" s="54" t="s">
        <v>878</v>
      </c>
    </row>
    <row r="42" spans="1:12" s="55" customFormat="1" ht="19.5" customHeight="1" x14ac:dyDescent="0.3">
      <c r="A42" s="44"/>
      <c r="B42" s="76"/>
      <c r="C42" s="77">
        <v>46.76</v>
      </c>
      <c r="D42" s="47" t="s">
        <v>881</v>
      </c>
      <c r="E42" s="48">
        <v>5</v>
      </c>
      <c r="F42" s="49">
        <v>2.25</v>
      </c>
      <c r="G42" s="50"/>
      <c r="H42" s="51"/>
      <c r="I42" s="45"/>
      <c r="J42" s="52"/>
      <c r="K42" s="53"/>
      <c r="L42" s="54" t="s">
        <v>878</v>
      </c>
    </row>
    <row r="43" spans="1:12" s="55" customFormat="1" ht="19.5" customHeight="1" x14ac:dyDescent="0.3">
      <c r="A43" s="44" t="s">
        <v>875</v>
      </c>
      <c r="B43" s="76" t="s">
        <v>872</v>
      </c>
      <c r="C43" s="77">
        <v>22</v>
      </c>
      <c r="D43" s="47" t="s">
        <v>876</v>
      </c>
      <c r="E43" s="48">
        <v>15</v>
      </c>
      <c r="F43" s="49">
        <v>16.5</v>
      </c>
      <c r="G43" s="50"/>
      <c r="H43" s="51"/>
      <c r="I43" s="45"/>
      <c r="J43" s="52"/>
      <c r="K43" s="53">
        <f t="shared" si="0"/>
        <v>0</v>
      </c>
      <c r="L43" s="54" t="s">
        <v>878</v>
      </c>
    </row>
    <row r="44" spans="1:12" s="55" customFormat="1" ht="19.5" customHeight="1" x14ac:dyDescent="0.3">
      <c r="A44" s="44"/>
      <c r="B44" s="76"/>
      <c r="C44" s="77">
        <v>46.76</v>
      </c>
      <c r="D44" s="47" t="s">
        <v>881</v>
      </c>
      <c r="E44" s="48">
        <v>5</v>
      </c>
      <c r="F44" s="49">
        <v>2.25</v>
      </c>
      <c r="G44" s="50"/>
      <c r="H44" s="51"/>
      <c r="I44" s="45"/>
      <c r="J44" s="52"/>
      <c r="K44" s="53">
        <f t="shared" si="0"/>
        <v>0</v>
      </c>
      <c r="L44" s="54" t="s">
        <v>878</v>
      </c>
    </row>
    <row r="45" spans="1:12" s="55" customFormat="1" ht="19.5" customHeight="1" x14ac:dyDescent="0.3">
      <c r="A45" s="44"/>
      <c r="B45" s="76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882</v>
      </c>
      <c r="B46" s="76" t="s">
        <v>872</v>
      </c>
      <c r="C46" s="77">
        <v>22</v>
      </c>
      <c r="D46" s="47" t="s">
        <v>876</v>
      </c>
      <c r="E46" s="48">
        <v>15</v>
      </c>
      <c r="F46" s="49">
        <v>16.5</v>
      </c>
      <c r="G46" s="50" t="s">
        <v>863</v>
      </c>
      <c r="H46" s="51">
        <v>2590</v>
      </c>
      <c r="I46" s="45">
        <v>3048</v>
      </c>
      <c r="J46" s="52">
        <v>5</v>
      </c>
      <c r="K46" s="53">
        <f t="shared" si="0"/>
        <v>39.471599999999995</v>
      </c>
      <c r="L46" s="54"/>
    </row>
    <row r="47" spans="1:12" s="55" customFormat="1" ht="19.5" customHeight="1" x14ac:dyDescent="0.3">
      <c r="A47" s="44"/>
      <c r="B47" s="76"/>
      <c r="C47" s="46">
        <v>22</v>
      </c>
      <c r="D47" s="47" t="s">
        <v>883</v>
      </c>
      <c r="E47" s="48">
        <v>15</v>
      </c>
      <c r="F47" s="49">
        <v>16.7</v>
      </c>
      <c r="G47" s="50" t="s">
        <v>879</v>
      </c>
      <c r="H47" s="51">
        <v>1981</v>
      </c>
      <c r="I47" s="45">
        <v>3353</v>
      </c>
      <c r="J47" s="52">
        <v>3</v>
      </c>
      <c r="K47" s="53">
        <f t="shared" si="0"/>
        <v>19.926879</v>
      </c>
      <c r="L47" s="54"/>
    </row>
    <row r="48" spans="1:12" s="55" customFormat="1" ht="19.5" customHeight="1" x14ac:dyDescent="0.3">
      <c r="A48" s="44"/>
      <c r="B48" s="76"/>
      <c r="C48" s="77">
        <v>46.76</v>
      </c>
      <c r="D48" s="47" t="s">
        <v>881</v>
      </c>
      <c r="E48" s="48">
        <v>10</v>
      </c>
      <c r="F48" s="49">
        <v>4.5</v>
      </c>
      <c r="G48" s="50" t="s">
        <v>880</v>
      </c>
      <c r="H48" s="51">
        <v>1981</v>
      </c>
      <c r="I48" s="45">
        <v>3353</v>
      </c>
      <c r="J48" s="52">
        <v>4</v>
      </c>
      <c r="K48" s="53">
        <f t="shared" si="0"/>
        <v>26.569172000000002</v>
      </c>
      <c r="L48" s="54"/>
    </row>
    <row r="49" spans="1:12" s="55" customFormat="1" ht="19.5" customHeight="1" x14ac:dyDescent="0.3">
      <c r="A49" s="44"/>
      <c r="B49" s="76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884</v>
      </c>
      <c r="B50" s="76" t="s">
        <v>885</v>
      </c>
      <c r="C50" s="77">
        <v>24</v>
      </c>
      <c r="D50" s="78" t="s">
        <v>886</v>
      </c>
      <c r="E50" s="48">
        <v>2</v>
      </c>
      <c r="F50" s="49">
        <v>1.8</v>
      </c>
      <c r="G50" s="50" t="s">
        <v>888</v>
      </c>
      <c r="H50" s="51">
        <v>1981</v>
      </c>
      <c r="I50" s="45">
        <v>3353</v>
      </c>
      <c r="J50" s="52">
        <v>1</v>
      </c>
      <c r="K50" s="53">
        <f t="shared" si="0"/>
        <v>6.6422930000000004</v>
      </c>
      <c r="L50" s="54" t="s">
        <v>899</v>
      </c>
    </row>
    <row r="51" spans="1:12" s="55" customFormat="1" ht="19.5" customHeight="1" x14ac:dyDescent="0.3">
      <c r="A51" s="44" t="s">
        <v>887</v>
      </c>
      <c r="B51" s="76" t="s">
        <v>885</v>
      </c>
      <c r="C51" s="77">
        <v>24</v>
      </c>
      <c r="D51" s="78" t="s">
        <v>886</v>
      </c>
      <c r="E51" s="48">
        <v>1</v>
      </c>
      <c r="F51" s="49">
        <v>1.85</v>
      </c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76"/>
      <c r="C52" s="77"/>
      <c r="D52" s="78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889</v>
      </c>
      <c r="B53" s="76" t="s">
        <v>890</v>
      </c>
      <c r="C53" s="46">
        <v>22</v>
      </c>
      <c r="D53" s="47" t="s">
        <v>891</v>
      </c>
      <c r="E53" s="48">
        <v>2</v>
      </c>
      <c r="F53" s="49">
        <v>1.04</v>
      </c>
      <c r="G53" s="50"/>
      <c r="H53" s="51"/>
      <c r="I53" s="45"/>
      <c r="J53" s="52"/>
      <c r="K53" s="53">
        <f t="shared" si="0"/>
        <v>0</v>
      </c>
      <c r="L53" s="54" t="s">
        <v>892</v>
      </c>
    </row>
    <row r="54" spans="1:12" s="55" customFormat="1" ht="19.5" customHeight="1" x14ac:dyDescent="0.3">
      <c r="A54" s="44"/>
      <c r="B54" s="76"/>
      <c r="C54" s="77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893</v>
      </c>
      <c r="B55" s="76" t="s">
        <v>894</v>
      </c>
      <c r="C55" s="46">
        <v>28</v>
      </c>
      <c r="D55" s="47" t="s">
        <v>895</v>
      </c>
      <c r="E55" s="48">
        <v>1</v>
      </c>
      <c r="F55" s="49">
        <v>0.4</v>
      </c>
      <c r="G55" s="50"/>
      <c r="H55" s="51"/>
      <c r="I55" s="45"/>
      <c r="J55" s="52"/>
      <c r="K55" s="53">
        <f t="shared" si="0"/>
        <v>0</v>
      </c>
      <c r="L55" s="54" t="s">
        <v>896</v>
      </c>
    </row>
    <row r="56" spans="1:12" s="55" customFormat="1" ht="19.5" customHeight="1" x14ac:dyDescent="0.3">
      <c r="A56" s="44"/>
      <c r="B56" s="76"/>
      <c r="C56" s="77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897</v>
      </c>
      <c r="B57" s="76" t="s">
        <v>872</v>
      </c>
      <c r="C57" s="46">
        <v>22</v>
      </c>
      <c r="D57" s="47" t="s">
        <v>883</v>
      </c>
      <c r="E57" s="48">
        <v>1</v>
      </c>
      <c r="F57" s="49">
        <v>1.49</v>
      </c>
      <c r="G57" s="50" t="s">
        <v>862</v>
      </c>
      <c r="H57" s="51">
        <v>1829</v>
      </c>
      <c r="I57" s="45">
        <v>3353</v>
      </c>
      <c r="J57" s="52">
        <v>1</v>
      </c>
      <c r="K57" s="53">
        <f t="shared" si="0"/>
        <v>6.1326369999999999</v>
      </c>
      <c r="L57" s="54" t="s">
        <v>898</v>
      </c>
    </row>
    <row r="58" spans="1:12" s="55" customFormat="1" ht="19.5" customHeight="1" x14ac:dyDescent="0.3">
      <c r="A58" s="44"/>
      <c r="B58" s="76"/>
      <c r="C58" s="77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900</v>
      </c>
      <c r="B59" s="45" t="s">
        <v>901</v>
      </c>
      <c r="C59" s="77">
        <v>22</v>
      </c>
      <c r="D59" s="78" t="s">
        <v>902</v>
      </c>
      <c r="E59" s="48">
        <v>1</v>
      </c>
      <c r="F59" s="49">
        <v>3.05</v>
      </c>
      <c r="G59" s="50" t="s">
        <v>880</v>
      </c>
      <c r="H59" s="51">
        <v>1981</v>
      </c>
      <c r="I59" s="45">
        <v>3353</v>
      </c>
      <c r="J59" s="52">
        <v>1</v>
      </c>
      <c r="K59" s="53">
        <f t="shared" si="0"/>
        <v>6.6422930000000004</v>
      </c>
      <c r="L59" s="54"/>
    </row>
    <row r="60" spans="1:12" s="55" customFormat="1" ht="19.5" customHeight="1" x14ac:dyDescent="0.3">
      <c r="A60" s="44"/>
      <c r="B60" s="76"/>
      <c r="C60" s="77"/>
      <c r="D60" s="47"/>
      <c r="E60" s="48"/>
      <c r="F60" s="49"/>
      <c r="G60" s="50" t="s">
        <v>863</v>
      </c>
      <c r="H60" s="51">
        <v>1829</v>
      </c>
      <c r="I60" s="45">
        <v>3353</v>
      </c>
      <c r="J60" s="52">
        <v>1</v>
      </c>
      <c r="K60" s="53">
        <f t="shared" si="0"/>
        <v>6.1326369999999999</v>
      </c>
      <c r="L60" s="54"/>
    </row>
    <row r="61" spans="1:12" s="55" customFormat="1" ht="19.5" customHeight="1" x14ac:dyDescent="0.3">
      <c r="A61" s="44"/>
      <c r="B61" s="76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903</v>
      </c>
      <c r="B62" s="76" t="s">
        <v>904</v>
      </c>
      <c r="C62" s="77">
        <v>26</v>
      </c>
      <c r="D62" s="78" t="s">
        <v>886</v>
      </c>
      <c r="E62" s="48">
        <v>8</v>
      </c>
      <c r="F62" s="49">
        <v>12.31</v>
      </c>
      <c r="G62" s="50" t="s">
        <v>888</v>
      </c>
      <c r="H62" s="51">
        <v>2438</v>
      </c>
      <c r="I62" s="45">
        <v>3353</v>
      </c>
      <c r="J62" s="52">
        <v>2</v>
      </c>
      <c r="K62" s="53">
        <f t="shared" si="0"/>
        <v>16.349228</v>
      </c>
      <c r="L62" s="54"/>
    </row>
    <row r="63" spans="1:12" s="55" customFormat="1" ht="19.5" customHeight="1" x14ac:dyDescent="0.3">
      <c r="A63" s="44"/>
      <c r="B63" s="76"/>
      <c r="C63" s="77"/>
      <c r="D63" s="47"/>
      <c r="E63" s="48"/>
      <c r="F63" s="49"/>
      <c r="G63" s="50" t="s">
        <v>863</v>
      </c>
      <c r="H63" s="51">
        <v>2438</v>
      </c>
      <c r="I63" s="45">
        <v>3048</v>
      </c>
      <c r="J63" s="52">
        <v>2</v>
      </c>
      <c r="K63" s="53">
        <f t="shared" si="0"/>
        <v>14.862048000000001</v>
      </c>
      <c r="L63" s="54"/>
    </row>
    <row r="64" spans="1:12" s="55" customFormat="1" ht="19.5" customHeight="1" x14ac:dyDescent="0.3">
      <c r="A64" s="44"/>
      <c r="B64" s="45"/>
      <c r="C64" s="77"/>
      <c r="D64" s="78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905</v>
      </c>
      <c r="B65" s="76" t="s">
        <v>868</v>
      </c>
      <c r="C65" s="77">
        <v>24</v>
      </c>
      <c r="D65" s="47" t="s">
        <v>906</v>
      </c>
      <c r="E65" s="48">
        <v>2</v>
      </c>
      <c r="F65" s="49">
        <v>3.26</v>
      </c>
      <c r="G65" s="50" t="s">
        <v>863</v>
      </c>
      <c r="H65" s="51">
        <v>2590</v>
      </c>
      <c r="I65" s="45">
        <v>3353</v>
      </c>
      <c r="J65" s="52">
        <v>1</v>
      </c>
      <c r="K65" s="53">
        <f t="shared" si="0"/>
        <v>8.6842699999999979</v>
      </c>
      <c r="L65" s="54" t="s">
        <v>911</v>
      </c>
    </row>
    <row r="66" spans="1:12" s="55" customFormat="1" ht="19.5" customHeight="1" x14ac:dyDescent="0.3">
      <c r="A66" s="44" t="s">
        <v>907</v>
      </c>
      <c r="B66" s="76" t="s">
        <v>908</v>
      </c>
      <c r="C66" s="77">
        <v>24</v>
      </c>
      <c r="D66" s="47" t="s">
        <v>909</v>
      </c>
      <c r="E66" s="48">
        <v>4</v>
      </c>
      <c r="F66" s="49">
        <v>4.78</v>
      </c>
      <c r="G66" s="50" t="s">
        <v>910</v>
      </c>
      <c r="H66" s="51">
        <v>2438</v>
      </c>
      <c r="I66" s="45">
        <v>3353</v>
      </c>
      <c r="J66" s="52">
        <v>1</v>
      </c>
      <c r="K66" s="53">
        <f t="shared" si="0"/>
        <v>8.174614</v>
      </c>
      <c r="L66" s="54" t="s">
        <v>912</v>
      </c>
    </row>
    <row r="67" spans="1:12" s="55" customFormat="1" ht="19.5" customHeight="1" x14ac:dyDescent="0.3">
      <c r="A67" s="44"/>
      <c r="B67" s="76"/>
      <c r="C67" s="77">
        <v>5</v>
      </c>
      <c r="D67" s="47" t="s">
        <v>869</v>
      </c>
      <c r="E67" s="48">
        <v>4</v>
      </c>
      <c r="F67" s="49">
        <v>1.96</v>
      </c>
      <c r="G67" s="50"/>
      <c r="H67" s="51"/>
      <c r="I67" s="45"/>
      <c r="J67" s="52"/>
      <c r="K67" s="53">
        <f t="shared" si="0"/>
        <v>0</v>
      </c>
      <c r="L67" s="54" t="s">
        <v>912</v>
      </c>
    </row>
    <row r="68" spans="1:12" s="55" customFormat="1" ht="19.5" customHeight="1" x14ac:dyDescent="0.3">
      <c r="A68" s="44"/>
      <c r="B68" s="45"/>
      <c r="C68" s="77"/>
      <c r="D68" s="78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913</v>
      </c>
      <c r="B69" s="45" t="s">
        <v>914</v>
      </c>
      <c r="C69" s="77">
        <v>28</v>
      </c>
      <c r="D69" s="78" t="s">
        <v>915</v>
      </c>
      <c r="E69" s="48">
        <v>78</v>
      </c>
      <c r="F69" s="49">
        <v>173.89</v>
      </c>
      <c r="G69" s="50" t="s">
        <v>916</v>
      </c>
      <c r="H69" s="51">
        <v>3050</v>
      </c>
      <c r="I69" s="45">
        <v>4000</v>
      </c>
      <c r="J69" s="52">
        <v>15</v>
      </c>
      <c r="K69" s="53">
        <f t="shared" si="0"/>
        <v>183</v>
      </c>
      <c r="L69" s="54" t="s">
        <v>917</v>
      </c>
    </row>
    <row r="70" spans="1:12" s="55" customFormat="1" ht="19.5" customHeight="1" x14ac:dyDescent="0.3">
      <c r="A70" s="44"/>
      <c r="B70" s="45"/>
      <c r="C70" s="77"/>
      <c r="D70" s="78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921</v>
      </c>
      <c r="B71" s="45"/>
      <c r="C71" s="77"/>
      <c r="D71" s="78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 t="s">
        <v>913</v>
      </c>
      <c r="B72" s="45" t="s">
        <v>187</v>
      </c>
      <c r="C72" s="77">
        <v>28</v>
      </c>
      <c r="D72" s="78" t="s">
        <v>245</v>
      </c>
      <c r="E72" s="48">
        <v>78</v>
      </c>
      <c r="F72" s="49">
        <v>173.89</v>
      </c>
      <c r="G72" s="50" t="s">
        <v>922</v>
      </c>
      <c r="H72" s="51">
        <v>3050</v>
      </c>
      <c r="I72" s="45">
        <v>4000</v>
      </c>
      <c r="J72" s="52">
        <v>15</v>
      </c>
      <c r="K72" s="53">
        <f t="shared" si="0"/>
        <v>183</v>
      </c>
      <c r="L72" s="54" t="s">
        <v>247</v>
      </c>
    </row>
    <row r="73" spans="1:12" s="55" customFormat="1" ht="19.5" customHeight="1" x14ac:dyDescent="0.3">
      <c r="A73" s="44"/>
      <c r="B73" s="45"/>
      <c r="C73" s="77"/>
      <c r="D73" s="78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 t="s">
        <v>923</v>
      </c>
      <c r="B74" s="45" t="s">
        <v>187</v>
      </c>
      <c r="C74" s="77">
        <v>28</v>
      </c>
      <c r="D74" s="78" t="s">
        <v>245</v>
      </c>
      <c r="E74" s="48">
        <v>46</v>
      </c>
      <c r="F74" s="49">
        <v>97.7</v>
      </c>
      <c r="G74" s="50" t="s">
        <v>560</v>
      </c>
      <c r="H74" s="51">
        <v>3050</v>
      </c>
      <c r="I74" s="45">
        <v>4000</v>
      </c>
      <c r="J74" s="52">
        <v>10</v>
      </c>
      <c r="K74" s="53">
        <f t="shared" si="0"/>
        <v>122</v>
      </c>
      <c r="L74" s="54" t="s">
        <v>106</v>
      </c>
    </row>
    <row r="75" spans="1:12" s="55" customFormat="1" ht="19.5" customHeight="1" x14ac:dyDescent="0.3">
      <c r="A75" s="44"/>
      <c r="B75" s="45"/>
      <c r="C75" s="77">
        <v>28</v>
      </c>
      <c r="D75" s="78" t="s">
        <v>245</v>
      </c>
      <c r="E75" s="48">
        <v>4</v>
      </c>
      <c r="F75" s="49">
        <v>13.01</v>
      </c>
      <c r="G75" s="50"/>
      <c r="H75" s="51"/>
      <c r="I75" s="45"/>
      <c r="J75" s="52"/>
      <c r="K75" s="53">
        <f t="shared" si="0"/>
        <v>0</v>
      </c>
      <c r="L75" s="54" t="s">
        <v>106</v>
      </c>
    </row>
    <row r="76" spans="1:12" s="55" customFormat="1" ht="19.5" customHeight="1" x14ac:dyDescent="0.3">
      <c r="A76" s="44"/>
      <c r="B76" s="45"/>
      <c r="C76" s="77"/>
      <c r="D76" s="78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77"/>
      <c r="D77" s="78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/>
      <c r="B78" s="45"/>
      <c r="C78" s="77"/>
      <c r="D78" s="78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/>
      <c r="B79" s="45"/>
      <c r="C79" s="77"/>
      <c r="D79" s="78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/>
      <c r="B80" s="45"/>
      <c r="C80" s="77"/>
      <c r="D80" s="78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45"/>
      <c r="C81" s="77"/>
      <c r="D81" s="78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5" customFormat="1" ht="19.5" customHeight="1" x14ac:dyDescent="0.3">
      <c r="A83" s="44"/>
      <c r="B83" s="45"/>
      <c r="C83" s="46"/>
      <c r="D83" s="47"/>
      <c r="E83" s="48"/>
      <c r="F83" s="49"/>
      <c r="G83" s="50"/>
      <c r="H83" s="51"/>
      <c r="I83" s="45"/>
      <c r="J83" s="52"/>
      <c r="K83" s="53">
        <f t="shared" si="0"/>
        <v>0</v>
      </c>
      <c r="L83" s="54"/>
    </row>
    <row r="84" spans="1:12" s="59" customFormat="1" ht="20.100000000000001" customHeight="1" x14ac:dyDescent="0.3">
      <c r="A84" s="44"/>
      <c r="B84" s="45"/>
      <c r="C84" s="46"/>
      <c r="D84" s="47"/>
      <c r="E84" s="56"/>
      <c r="F84" s="57"/>
      <c r="G84" s="50"/>
      <c r="H84" s="51"/>
      <c r="I84" s="45"/>
      <c r="J84" s="52"/>
      <c r="K84" s="53">
        <f t="shared" si="0"/>
        <v>0</v>
      </c>
      <c r="L84" s="58">
        <f>SUM(J34:J85)</f>
        <v>78</v>
      </c>
    </row>
    <row r="85" spans="1:12" s="59" customFormat="1" ht="20.100000000000001" customHeight="1" x14ac:dyDescent="0.3">
      <c r="A85" s="44"/>
      <c r="B85" s="45"/>
      <c r="C85" s="46"/>
      <c r="D85" s="47"/>
      <c r="E85" s="60"/>
      <c r="F85" s="61"/>
      <c r="G85" s="62"/>
      <c r="H85" s="51"/>
      <c r="I85" s="45"/>
      <c r="J85" s="63"/>
      <c r="K85" s="53">
        <f t="shared" si="0"/>
        <v>0</v>
      </c>
      <c r="L85" s="64">
        <f>SUM(K34:K85)</f>
        <v>764.53632100000004</v>
      </c>
    </row>
    <row r="86" spans="1:12" s="59" customFormat="1" ht="20.100000000000001" customHeight="1" thickBot="1" x14ac:dyDescent="0.35">
      <c r="A86" s="114"/>
      <c r="B86" s="115"/>
      <c r="C86" s="115"/>
      <c r="D86" s="115"/>
      <c r="E86" s="115"/>
      <c r="F86" s="115"/>
      <c r="G86" s="115"/>
      <c r="H86" s="115"/>
      <c r="I86" s="115"/>
      <c r="J86" s="65">
        <f>SUM(J7:J85)</f>
        <v>268</v>
      </c>
      <c r="K86" s="66">
        <f>SUM(K7:K85)</f>
        <v>1990.9966610000004</v>
      </c>
      <c r="L86" s="67"/>
    </row>
    <row r="87" spans="1:12" s="59" customFormat="1" ht="20.100000000000001" customHeight="1" thickTop="1" thickBot="1" x14ac:dyDescent="0.35">
      <c r="A87" s="116" t="s">
        <v>52</v>
      </c>
      <c r="B87" s="117"/>
      <c r="C87" s="68"/>
      <c r="D87" s="118">
        <f>J86</f>
        <v>268</v>
      </c>
      <c r="E87" s="119"/>
      <c r="F87" s="119"/>
      <c r="G87" s="120"/>
      <c r="H87" s="121"/>
      <c r="I87" s="121"/>
      <c r="J87" s="122"/>
      <c r="K87" s="119"/>
      <c r="L87" s="123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71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72"/>
      <c r="F93" s="5"/>
      <c r="G93" s="5"/>
      <c r="H93" s="5"/>
      <c r="I93" s="5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5"/>
      <c r="G94" s="73"/>
      <c r="H94" s="5"/>
      <c r="I94" s="74"/>
      <c r="J94" s="5"/>
      <c r="K94" s="5"/>
      <c r="L94" s="5"/>
    </row>
    <row r="95" spans="1:12" s="59" customFormat="1" ht="20.100000000000001" customHeight="1" x14ac:dyDescent="0.3">
      <c r="A95" s="113"/>
      <c r="B95" s="113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113"/>
      <c r="B98" s="113"/>
      <c r="C98" s="5"/>
      <c r="D98" s="5"/>
      <c r="E98" s="5"/>
      <c r="F98" s="70"/>
      <c r="G98" s="5"/>
      <c r="H98" s="72"/>
      <c r="I98" s="72"/>
      <c r="J98" s="5"/>
      <c r="K98" s="5"/>
      <c r="L98" s="5"/>
    </row>
    <row r="99" spans="1:12" ht="20.100000000000001" customHeight="1" x14ac:dyDescent="0.3">
      <c r="A99" s="113"/>
      <c r="B99" s="113"/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H101" s="72"/>
      <c r="I101" s="72"/>
    </row>
    <row r="102" spans="1:12" ht="20.100000000000001" customHeight="1" x14ac:dyDescent="0.3">
      <c r="A102" s="113"/>
      <c r="B102" s="113"/>
      <c r="H102" s="72"/>
      <c r="I102" s="72"/>
    </row>
    <row r="103" spans="1:12" ht="20.100000000000001" customHeight="1" x14ac:dyDescent="0.3">
      <c r="A103" s="113"/>
      <c r="B103" s="113"/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H105" s="72"/>
      <c r="I105" s="72"/>
    </row>
    <row r="106" spans="1:12" ht="20.100000000000001" customHeight="1" x14ac:dyDescent="0.3">
      <c r="H106" s="72"/>
      <c r="I106" s="72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J107" s="5"/>
      <c r="K107" s="5"/>
      <c r="L107" s="5"/>
    </row>
    <row r="108" spans="1:12" s="72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5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5" customFormat="1" ht="20.100000000000001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5" customFormat="1" ht="19.5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1:12" s="72" customFormat="1" ht="20.100000000000001" customHeight="1" x14ac:dyDescent="0.3">
      <c r="A113" s="69"/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1:12" ht="19.5" customHeight="1" x14ac:dyDescent="0.3"/>
    <row r="115" spans="1:12" ht="19.5" customHeight="1" x14ac:dyDescent="0.3"/>
    <row r="116" spans="1:12" ht="19.5" customHeight="1" x14ac:dyDescent="0.3"/>
    <row r="117" spans="1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>
        <v>2</v>
      </c>
      <c r="C177" s="5"/>
      <c r="D177" s="5"/>
      <c r="E177" s="5"/>
      <c r="F177" s="70"/>
      <c r="G177" s="5"/>
      <c r="H177" s="5"/>
      <c r="I177" s="5"/>
      <c r="J177" s="5"/>
      <c r="K177" s="5"/>
      <c r="L177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92:B92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6:I86"/>
    <mergeCell ref="A87:B87"/>
    <mergeCell ref="D87:G87"/>
    <mergeCell ref="H87:J87"/>
    <mergeCell ref="K87:L87"/>
    <mergeCell ref="A102:B102"/>
    <mergeCell ref="A103:B103"/>
    <mergeCell ref="A93:B93"/>
    <mergeCell ref="A94:B94"/>
    <mergeCell ref="A95:B95"/>
    <mergeCell ref="A97:B97"/>
    <mergeCell ref="A98:B98"/>
    <mergeCell ref="A99:B99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L176"/>
  <sheetViews>
    <sheetView view="pageBreakPreview" topLeftCell="A18" zoomScale="85" zoomScaleSheetLayoutView="85" workbookViewId="0">
      <selection activeCell="D18" sqref="D1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46048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4" si="0">(H7/1000*I7/1000)*J7</f>
        <v>0</v>
      </c>
      <c r="L7" s="26">
        <f>SUM(J7:J46)</f>
        <v>139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SUM(K7:K46)</f>
        <v>900.67936899999984</v>
      </c>
    </row>
    <row r="9" spans="1:12" s="27" customFormat="1" ht="19.5" customHeight="1" x14ac:dyDescent="0.3">
      <c r="A9" s="28" t="s">
        <v>800</v>
      </c>
      <c r="B9" s="16" t="s">
        <v>694</v>
      </c>
      <c r="C9" s="17">
        <v>12</v>
      </c>
      <c r="D9" s="18" t="s">
        <v>570</v>
      </c>
      <c r="E9" s="81">
        <v>4</v>
      </c>
      <c r="F9" s="82">
        <v>9.68</v>
      </c>
      <c r="G9" s="34" t="s">
        <v>801</v>
      </c>
      <c r="H9" s="35">
        <v>2743</v>
      </c>
      <c r="I9" s="36">
        <v>3658</v>
      </c>
      <c r="J9" s="37">
        <v>1</v>
      </c>
      <c r="K9" s="38">
        <f t="shared" si="0"/>
        <v>10.033894</v>
      </c>
      <c r="L9" s="39" t="s">
        <v>802</v>
      </c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803</v>
      </c>
      <c r="B11" s="16" t="s">
        <v>694</v>
      </c>
      <c r="C11" s="17">
        <v>12</v>
      </c>
      <c r="D11" s="18" t="s">
        <v>570</v>
      </c>
      <c r="E11" s="41">
        <v>7</v>
      </c>
      <c r="F11" s="42">
        <v>7.11</v>
      </c>
      <c r="G11" s="34" t="s">
        <v>801</v>
      </c>
      <c r="H11" s="35">
        <v>2743</v>
      </c>
      <c r="I11" s="36">
        <v>3353</v>
      </c>
      <c r="J11" s="37">
        <v>1</v>
      </c>
      <c r="K11" s="38">
        <f t="shared" si="0"/>
        <v>9.197279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804</v>
      </c>
      <c r="B13" s="16" t="s">
        <v>805</v>
      </c>
      <c r="C13" s="17">
        <v>22</v>
      </c>
      <c r="D13" s="18" t="s">
        <v>806</v>
      </c>
      <c r="E13" s="41">
        <v>13</v>
      </c>
      <c r="F13" s="42">
        <v>13.8</v>
      </c>
      <c r="G13" s="34" t="s">
        <v>807</v>
      </c>
      <c r="H13" s="35">
        <v>1829</v>
      </c>
      <c r="I13" s="36">
        <v>3353</v>
      </c>
      <c r="J13" s="37">
        <v>6</v>
      </c>
      <c r="K13" s="38">
        <f t="shared" si="0"/>
        <v>36.795822000000001</v>
      </c>
      <c r="L13" s="39"/>
    </row>
    <row r="14" spans="1:12" s="27" customFormat="1" ht="19.5" customHeight="1" x14ac:dyDescent="0.3">
      <c r="A14" s="28"/>
      <c r="B14" s="16"/>
      <c r="C14" s="17">
        <v>22</v>
      </c>
      <c r="D14" s="18" t="s">
        <v>809</v>
      </c>
      <c r="E14" s="41">
        <v>15</v>
      </c>
      <c r="F14" s="42">
        <v>15.54</v>
      </c>
      <c r="G14" s="34" t="s">
        <v>808</v>
      </c>
      <c r="H14" s="35">
        <v>1829</v>
      </c>
      <c r="I14" s="36">
        <v>3353</v>
      </c>
      <c r="J14" s="37">
        <v>5</v>
      </c>
      <c r="K14" s="38">
        <f t="shared" si="0"/>
        <v>30.663184999999999</v>
      </c>
      <c r="L14" s="39"/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810</v>
      </c>
      <c r="B16" s="16" t="s">
        <v>811</v>
      </c>
      <c r="C16" s="17">
        <v>22</v>
      </c>
      <c r="D16" s="18" t="s">
        <v>812</v>
      </c>
      <c r="E16" s="41">
        <v>2</v>
      </c>
      <c r="F16" s="42">
        <v>2.4300000000000002</v>
      </c>
      <c r="G16" s="34" t="s">
        <v>815</v>
      </c>
      <c r="H16" s="35">
        <v>1829</v>
      </c>
      <c r="I16" s="36">
        <v>3353</v>
      </c>
      <c r="J16" s="37">
        <v>1</v>
      </c>
      <c r="K16" s="38">
        <f t="shared" si="0"/>
        <v>6.1326369999999999</v>
      </c>
      <c r="L16" s="39" t="s">
        <v>816</v>
      </c>
    </row>
    <row r="17" spans="1:12" s="27" customFormat="1" ht="19.5" customHeight="1" x14ac:dyDescent="0.3">
      <c r="A17" s="28"/>
      <c r="B17" s="16"/>
      <c r="C17" s="17">
        <v>16</v>
      </c>
      <c r="D17" s="18" t="s">
        <v>813</v>
      </c>
      <c r="E17" s="41">
        <v>1</v>
      </c>
      <c r="F17" s="42">
        <v>1.44</v>
      </c>
      <c r="G17" s="34" t="s">
        <v>807</v>
      </c>
      <c r="H17" s="35">
        <v>2438</v>
      </c>
      <c r="I17" s="36">
        <v>3048</v>
      </c>
      <c r="J17" s="37">
        <v>1</v>
      </c>
      <c r="K17" s="38">
        <f t="shared" si="0"/>
        <v>7.4310240000000007</v>
      </c>
      <c r="L17" s="39"/>
    </row>
    <row r="18" spans="1:12" s="27" customFormat="1" ht="19.5" customHeight="1" x14ac:dyDescent="0.3">
      <c r="A18" s="28"/>
      <c r="B18" s="16"/>
      <c r="C18" s="17">
        <v>16</v>
      </c>
      <c r="D18" s="18" t="s">
        <v>814</v>
      </c>
      <c r="E18" s="41">
        <v>1</v>
      </c>
      <c r="F18" s="42">
        <v>1.44</v>
      </c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817</v>
      </c>
      <c r="B20" s="16" t="s">
        <v>818</v>
      </c>
      <c r="C20" s="17">
        <v>22</v>
      </c>
      <c r="D20" s="18" t="s">
        <v>809</v>
      </c>
      <c r="E20" s="41">
        <v>44</v>
      </c>
      <c r="F20" s="42">
        <v>42.05</v>
      </c>
      <c r="G20" s="34" t="s">
        <v>820</v>
      </c>
      <c r="H20" s="35">
        <v>1981</v>
      </c>
      <c r="I20" s="36">
        <v>3353</v>
      </c>
      <c r="J20" s="37">
        <v>7</v>
      </c>
      <c r="K20" s="38">
        <f t="shared" si="0"/>
        <v>46.496051000000001</v>
      </c>
      <c r="L20" s="39"/>
    </row>
    <row r="21" spans="1:12" s="27" customFormat="1" ht="19.5" customHeight="1" x14ac:dyDescent="0.3">
      <c r="A21" s="28"/>
      <c r="B21" s="16"/>
      <c r="C21" s="17">
        <v>24</v>
      </c>
      <c r="D21" s="18" t="s">
        <v>819</v>
      </c>
      <c r="E21" s="41">
        <v>3</v>
      </c>
      <c r="F21" s="42">
        <v>1.52</v>
      </c>
      <c r="G21" s="34" t="s">
        <v>807</v>
      </c>
      <c r="H21" s="35">
        <v>1981</v>
      </c>
      <c r="I21" s="36">
        <v>3353</v>
      </c>
      <c r="J21" s="37">
        <v>7</v>
      </c>
      <c r="K21" s="38">
        <f t="shared" si="0"/>
        <v>46.496051000000001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 t="s">
        <v>821</v>
      </c>
      <c r="H22" s="35">
        <v>1829</v>
      </c>
      <c r="I22" s="36">
        <v>3353</v>
      </c>
      <c r="J22" s="37">
        <v>1</v>
      </c>
      <c r="K22" s="38">
        <f t="shared" si="0"/>
        <v>6.1326369999999999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 t="s">
        <v>822</v>
      </c>
      <c r="H23" s="35">
        <v>2438</v>
      </c>
      <c r="I23" s="36">
        <v>3353</v>
      </c>
      <c r="J23" s="37">
        <v>1</v>
      </c>
      <c r="K23" s="38">
        <f t="shared" si="0"/>
        <v>8.174614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823</v>
      </c>
      <c r="B25" s="16" t="s">
        <v>818</v>
      </c>
      <c r="C25" s="17">
        <v>24</v>
      </c>
      <c r="D25" s="18" t="s">
        <v>819</v>
      </c>
      <c r="E25" s="41">
        <v>3</v>
      </c>
      <c r="F25" s="42">
        <v>1.52</v>
      </c>
      <c r="G25" s="34"/>
      <c r="H25" s="35"/>
      <c r="I25" s="36"/>
      <c r="J25" s="37"/>
      <c r="K25" s="38">
        <f t="shared" si="0"/>
        <v>0</v>
      </c>
      <c r="L25" s="39" t="s">
        <v>824</v>
      </c>
    </row>
    <row r="26" spans="1:12" s="27" customFormat="1" ht="19.5" customHeight="1" x14ac:dyDescent="0.3">
      <c r="A26" s="28"/>
      <c r="B26" s="16"/>
      <c r="C26" s="17"/>
      <c r="D26" s="31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 t="s">
        <v>786</v>
      </c>
      <c r="B27" s="16" t="s">
        <v>353</v>
      </c>
      <c r="C27" s="17">
        <v>22</v>
      </c>
      <c r="D27" s="31" t="s">
        <v>17</v>
      </c>
      <c r="E27" s="81">
        <v>230</v>
      </c>
      <c r="F27" s="82">
        <v>127.2</v>
      </c>
      <c r="G27" s="34" t="s">
        <v>286</v>
      </c>
      <c r="H27" s="35">
        <v>1829</v>
      </c>
      <c r="I27" s="36">
        <v>3353</v>
      </c>
      <c r="J27" s="37">
        <v>21</v>
      </c>
      <c r="K27" s="38">
        <f t="shared" si="0"/>
        <v>128.78537700000001</v>
      </c>
      <c r="L27" s="39" t="s">
        <v>825</v>
      </c>
    </row>
    <row r="28" spans="1:12" s="27" customFormat="1" ht="19.5" customHeight="1" x14ac:dyDescent="0.3">
      <c r="A28" s="28"/>
      <c r="B28" s="16"/>
      <c r="C28" s="17"/>
      <c r="D28" s="31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 t="s">
        <v>826</v>
      </c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 t="s">
        <v>840</v>
      </c>
      <c r="B30" s="16" t="s">
        <v>841</v>
      </c>
      <c r="C30" s="17">
        <v>5</v>
      </c>
      <c r="D30" s="18" t="s">
        <v>842</v>
      </c>
      <c r="E30" s="41">
        <v>168</v>
      </c>
      <c r="F30" s="42">
        <v>67.06</v>
      </c>
      <c r="G30" s="34" t="s">
        <v>843</v>
      </c>
      <c r="H30" s="35">
        <v>2590</v>
      </c>
      <c r="I30" s="36">
        <v>3048</v>
      </c>
      <c r="J30" s="37">
        <v>3</v>
      </c>
      <c r="K30" s="38">
        <f t="shared" si="0"/>
        <v>23.682959999999998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 t="s">
        <v>843</v>
      </c>
      <c r="H31" s="35">
        <v>2590</v>
      </c>
      <c r="I31" s="36">
        <v>3353</v>
      </c>
      <c r="J31" s="37">
        <v>5</v>
      </c>
      <c r="K31" s="38">
        <f t="shared" si="0"/>
        <v>43.42134999999999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 t="s">
        <v>844</v>
      </c>
      <c r="B33" s="16" t="s">
        <v>353</v>
      </c>
      <c r="C33" s="17">
        <v>22</v>
      </c>
      <c r="D33" s="31" t="s">
        <v>17</v>
      </c>
      <c r="E33" s="81">
        <v>275</v>
      </c>
      <c r="F33" s="82">
        <v>215.9</v>
      </c>
      <c r="G33" s="34" t="s">
        <v>843</v>
      </c>
      <c r="H33" s="35">
        <v>1829</v>
      </c>
      <c r="I33" s="36">
        <v>3353</v>
      </c>
      <c r="J33" s="37">
        <v>37</v>
      </c>
      <c r="K33" s="38">
        <f t="shared" si="0"/>
        <v>226.907569</v>
      </c>
      <c r="L33" s="39" t="s">
        <v>845</v>
      </c>
    </row>
    <row r="34" spans="1:12" s="27" customFormat="1" ht="19.5" customHeight="1" x14ac:dyDescent="0.3">
      <c r="A34" s="28"/>
      <c r="B34" s="16"/>
      <c r="C34" s="17"/>
      <c r="D34" s="18"/>
      <c r="E34" s="81"/>
      <c r="F34" s="82"/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 t="s">
        <v>846</v>
      </c>
      <c r="B35" s="16" t="s">
        <v>847</v>
      </c>
      <c r="C35" s="17">
        <v>5</v>
      </c>
      <c r="D35" s="18" t="s">
        <v>842</v>
      </c>
      <c r="E35" s="81">
        <v>51</v>
      </c>
      <c r="F35" s="82">
        <v>38.06</v>
      </c>
      <c r="G35" s="34" t="s">
        <v>843</v>
      </c>
      <c r="H35" s="35">
        <v>2590</v>
      </c>
      <c r="I35" s="36">
        <v>3353</v>
      </c>
      <c r="J35" s="37">
        <v>5</v>
      </c>
      <c r="K35" s="38">
        <f t="shared" si="0"/>
        <v>43.42134999999999</v>
      </c>
      <c r="L35" s="39"/>
    </row>
    <row r="36" spans="1:12" s="27" customFormat="1" ht="19.5" customHeight="1" x14ac:dyDescent="0.3">
      <c r="A36" s="28"/>
      <c r="B36" s="16"/>
      <c r="C36" s="17"/>
      <c r="D36" s="31"/>
      <c r="E36" s="81"/>
      <c r="F36" s="8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 t="s">
        <v>786</v>
      </c>
      <c r="B37" s="16" t="s">
        <v>353</v>
      </c>
      <c r="C37" s="17">
        <v>22</v>
      </c>
      <c r="D37" s="18" t="s">
        <v>307</v>
      </c>
      <c r="E37" s="81">
        <v>275</v>
      </c>
      <c r="F37" s="82">
        <v>215.8</v>
      </c>
      <c r="G37" s="34" t="s">
        <v>857</v>
      </c>
      <c r="H37" s="35">
        <v>1829</v>
      </c>
      <c r="I37" s="36">
        <v>3353</v>
      </c>
      <c r="J37" s="37">
        <v>37</v>
      </c>
      <c r="K37" s="38">
        <f t="shared" si="0"/>
        <v>226.907569</v>
      </c>
      <c r="L37" s="39" t="s">
        <v>858</v>
      </c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38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31"/>
      <c r="E40" s="41"/>
      <c r="F40" s="42"/>
      <c r="G40" s="34"/>
      <c r="H40" s="35"/>
      <c r="I40" s="36"/>
      <c r="J40" s="37"/>
      <c r="K40" s="38">
        <f t="shared" si="0"/>
        <v>0</v>
      </c>
      <c r="L40" s="39"/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38">
        <f t="shared" si="0"/>
        <v>0</v>
      </c>
      <c r="L41" s="39"/>
    </row>
    <row r="42" spans="1:12" s="27" customFormat="1" ht="19.5" customHeight="1" x14ac:dyDescent="0.3">
      <c r="A42" s="28"/>
      <c r="B42" s="16"/>
      <c r="C42" s="17"/>
      <c r="D42" s="31"/>
      <c r="E42" s="81"/>
      <c r="F42" s="82"/>
      <c r="G42" s="34"/>
      <c r="H42" s="35"/>
      <c r="I42" s="36"/>
      <c r="J42" s="37"/>
      <c r="K42" s="38">
        <f t="shared" si="0"/>
        <v>0</v>
      </c>
      <c r="L42" s="39"/>
    </row>
    <row r="43" spans="1:12" s="27" customFormat="1" ht="19.5" customHeight="1" x14ac:dyDescent="0.3">
      <c r="A43" s="28"/>
      <c r="B43" s="16"/>
      <c r="C43" s="17"/>
      <c r="D43" s="18"/>
      <c r="E43" s="41"/>
      <c r="F43" s="42"/>
      <c r="G43" s="34"/>
      <c r="H43" s="35"/>
      <c r="I43" s="36"/>
      <c r="J43" s="37"/>
      <c r="K43" s="38">
        <f t="shared" si="0"/>
        <v>0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38">
        <f t="shared" si="0"/>
        <v>0</v>
      </c>
      <c r="L44" s="39"/>
    </row>
    <row r="45" spans="1:12" s="27" customFormat="1" ht="19.5" customHeight="1" x14ac:dyDescent="0.3">
      <c r="A45" s="28"/>
      <c r="B45" s="16"/>
      <c r="C45" s="17"/>
      <c r="D45" s="18"/>
      <c r="E45" s="41"/>
      <c r="F45" s="42"/>
      <c r="G45" s="34"/>
      <c r="H45" s="35"/>
      <c r="I45" s="36"/>
      <c r="J45" s="37"/>
      <c r="K45" s="38">
        <f t="shared" si="0"/>
        <v>0</v>
      </c>
      <c r="L45" s="39"/>
    </row>
    <row r="46" spans="1:12" s="27" customFormat="1" ht="19.5" customHeight="1" x14ac:dyDescent="0.3">
      <c r="A46" s="28"/>
      <c r="B46" s="29"/>
      <c r="C46" s="30"/>
      <c r="D46" s="31"/>
      <c r="E46" s="41"/>
      <c r="F46" s="42"/>
      <c r="G46" s="43"/>
      <c r="H46" s="35"/>
      <c r="I46" s="36"/>
      <c r="J46" s="37"/>
      <c r="K46" s="38">
        <f t="shared" si="0"/>
        <v>0</v>
      </c>
      <c r="L46" s="39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789</v>
      </c>
      <c r="B48" s="76" t="s">
        <v>790</v>
      </c>
      <c r="C48" s="77">
        <v>43</v>
      </c>
      <c r="D48" s="47" t="s">
        <v>791</v>
      </c>
      <c r="E48" s="48">
        <v>41</v>
      </c>
      <c r="F48" s="49">
        <v>45.34</v>
      </c>
      <c r="G48" s="50" t="s">
        <v>170</v>
      </c>
      <c r="H48" s="51">
        <v>2438</v>
      </c>
      <c r="I48" s="45">
        <v>3353</v>
      </c>
      <c r="J48" s="52">
        <v>4</v>
      </c>
      <c r="K48" s="53">
        <f t="shared" si="0"/>
        <v>32.698456</v>
      </c>
      <c r="L48" s="54" t="s">
        <v>828</v>
      </c>
    </row>
    <row r="49" spans="1:12" s="55" customFormat="1" ht="19.5" customHeight="1" x14ac:dyDescent="0.3">
      <c r="A49" s="44"/>
      <c r="B49" s="76"/>
      <c r="C49" s="77"/>
      <c r="D49" s="47"/>
      <c r="E49" s="48"/>
      <c r="F49" s="49"/>
      <c r="G49" s="50" t="s">
        <v>170</v>
      </c>
      <c r="H49" s="51">
        <v>2134</v>
      </c>
      <c r="I49" s="45">
        <v>3048</v>
      </c>
      <c r="J49" s="52">
        <v>10</v>
      </c>
      <c r="K49" s="53">
        <f t="shared" si="0"/>
        <v>65.044319999999999</v>
      </c>
      <c r="L49" s="54"/>
    </row>
    <row r="50" spans="1:12" s="55" customFormat="1" ht="19.5" customHeight="1" x14ac:dyDescent="0.3">
      <c r="A50" s="44"/>
      <c r="B50" s="76"/>
      <c r="C50" s="77"/>
      <c r="D50" s="78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827</v>
      </c>
      <c r="B51" s="76" t="s">
        <v>790</v>
      </c>
      <c r="C51" s="77">
        <v>43</v>
      </c>
      <c r="D51" s="47" t="s">
        <v>791</v>
      </c>
      <c r="E51" s="48">
        <v>100</v>
      </c>
      <c r="F51" s="49">
        <v>84.5</v>
      </c>
      <c r="G51" s="50" t="s">
        <v>170</v>
      </c>
      <c r="H51" s="51">
        <v>2438</v>
      </c>
      <c r="I51" s="45">
        <v>3353</v>
      </c>
      <c r="J51" s="52">
        <v>16</v>
      </c>
      <c r="K51" s="53">
        <f t="shared" si="0"/>
        <v>130.793824</v>
      </c>
      <c r="L51" s="54" t="s">
        <v>106</v>
      </c>
    </row>
    <row r="52" spans="1:12" s="55" customFormat="1" ht="19.5" customHeight="1" x14ac:dyDescent="0.3">
      <c r="A52" s="44"/>
      <c r="B52" s="76"/>
      <c r="C52" s="77"/>
      <c r="D52" s="78"/>
      <c r="E52" s="48"/>
      <c r="F52" s="49"/>
      <c r="G52" s="50" t="s">
        <v>170</v>
      </c>
      <c r="H52" s="51">
        <v>2134</v>
      </c>
      <c r="I52" s="45">
        <v>3048</v>
      </c>
      <c r="J52" s="52">
        <v>8</v>
      </c>
      <c r="K52" s="53">
        <f t="shared" si="0"/>
        <v>52.035455999999996</v>
      </c>
      <c r="L52" s="54"/>
    </row>
    <row r="53" spans="1:12" s="55" customFormat="1" ht="19.5" customHeight="1" x14ac:dyDescent="0.3">
      <c r="A53" s="44"/>
      <c r="B53" s="76"/>
      <c r="C53" s="77"/>
      <c r="D53" s="78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829</v>
      </c>
      <c r="B54" s="76" t="s">
        <v>218</v>
      </c>
      <c r="C54" s="46">
        <v>24</v>
      </c>
      <c r="D54" s="47" t="s">
        <v>501</v>
      </c>
      <c r="E54" s="48">
        <v>1</v>
      </c>
      <c r="F54" s="49">
        <v>3.16</v>
      </c>
      <c r="G54" s="50"/>
      <c r="H54" s="51"/>
      <c r="I54" s="45"/>
      <c r="J54" s="52"/>
      <c r="K54" s="53">
        <f t="shared" si="0"/>
        <v>0</v>
      </c>
      <c r="L54" s="54" t="s">
        <v>830</v>
      </c>
    </row>
    <row r="55" spans="1:12" s="55" customFormat="1" ht="19.5" customHeight="1" x14ac:dyDescent="0.3">
      <c r="A55" s="44"/>
      <c r="B55" s="76"/>
      <c r="C55" s="77"/>
      <c r="D55" s="78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829</v>
      </c>
      <c r="B56" s="76" t="s">
        <v>218</v>
      </c>
      <c r="C56" s="46">
        <v>24</v>
      </c>
      <c r="D56" s="47" t="s">
        <v>501</v>
      </c>
      <c r="E56" s="48">
        <v>9</v>
      </c>
      <c r="F56" s="49">
        <v>5.24</v>
      </c>
      <c r="G56" s="50" t="s">
        <v>833</v>
      </c>
      <c r="H56" s="51">
        <v>2438</v>
      </c>
      <c r="I56" s="45">
        <v>3353</v>
      </c>
      <c r="J56" s="52">
        <v>2</v>
      </c>
      <c r="K56" s="53">
        <f t="shared" si="0"/>
        <v>16.349228</v>
      </c>
      <c r="L56" s="54" t="s">
        <v>831</v>
      </c>
    </row>
    <row r="57" spans="1:12" s="55" customFormat="1" ht="19.5" customHeight="1" x14ac:dyDescent="0.3">
      <c r="A57" s="44"/>
      <c r="B57" s="76"/>
      <c r="C57" s="77"/>
      <c r="D57" s="78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829</v>
      </c>
      <c r="B58" s="76" t="s">
        <v>218</v>
      </c>
      <c r="C58" s="46">
        <v>24</v>
      </c>
      <c r="D58" s="47" t="s">
        <v>501</v>
      </c>
      <c r="E58" s="48">
        <v>7</v>
      </c>
      <c r="F58" s="49">
        <v>2.21</v>
      </c>
      <c r="G58" s="50"/>
      <c r="H58" s="51"/>
      <c r="I58" s="45"/>
      <c r="J58" s="52"/>
      <c r="K58" s="53">
        <f t="shared" si="0"/>
        <v>0</v>
      </c>
      <c r="L58" s="54" t="s">
        <v>832</v>
      </c>
    </row>
    <row r="59" spans="1:12" s="55" customFormat="1" ht="19.5" customHeight="1" x14ac:dyDescent="0.3">
      <c r="A59" s="44"/>
      <c r="B59" s="76"/>
      <c r="C59" s="77"/>
      <c r="D59" s="78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834</v>
      </c>
      <c r="B60" s="76" t="s">
        <v>218</v>
      </c>
      <c r="C60" s="46">
        <v>24</v>
      </c>
      <c r="D60" s="47" t="s">
        <v>501</v>
      </c>
      <c r="E60" s="48">
        <v>1</v>
      </c>
      <c r="F60" s="49">
        <v>0.34</v>
      </c>
      <c r="G60" s="50"/>
      <c r="H60" s="51"/>
      <c r="I60" s="45"/>
      <c r="J60" s="52"/>
      <c r="K60" s="53">
        <f t="shared" si="0"/>
        <v>0</v>
      </c>
      <c r="L60" s="54" t="s">
        <v>832</v>
      </c>
    </row>
    <row r="61" spans="1:12" s="55" customFormat="1" ht="19.5" customHeight="1" x14ac:dyDescent="0.3">
      <c r="A61" s="44"/>
      <c r="B61" s="76"/>
      <c r="C61" s="77"/>
      <c r="D61" s="78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835</v>
      </c>
      <c r="B62" s="76" t="s">
        <v>218</v>
      </c>
      <c r="C62" s="46">
        <v>24</v>
      </c>
      <c r="D62" s="47" t="s">
        <v>501</v>
      </c>
      <c r="E62" s="48">
        <v>5</v>
      </c>
      <c r="F62" s="49">
        <v>5.13</v>
      </c>
      <c r="G62" s="50"/>
      <c r="H62" s="51"/>
      <c r="I62" s="45"/>
      <c r="J62" s="52"/>
      <c r="K62" s="53">
        <f t="shared" si="0"/>
        <v>0</v>
      </c>
      <c r="L62" s="54" t="s">
        <v>836</v>
      </c>
    </row>
    <row r="63" spans="1:12" s="55" customFormat="1" ht="19.5" customHeight="1" x14ac:dyDescent="0.3">
      <c r="A63" s="44"/>
      <c r="B63" s="76"/>
      <c r="C63" s="77"/>
      <c r="D63" s="78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835</v>
      </c>
      <c r="B64" s="76" t="s">
        <v>218</v>
      </c>
      <c r="C64" s="46">
        <v>24</v>
      </c>
      <c r="D64" s="47" t="s">
        <v>501</v>
      </c>
      <c r="E64" s="48">
        <v>2</v>
      </c>
      <c r="F64" s="49">
        <v>2.89</v>
      </c>
      <c r="G64" s="50"/>
      <c r="H64" s="51"/>
      <c r="I64" s="45"/>
      <c r="J64" s="52"/>
      <c r="K64" s="53">
        <f t="shared" si="0"/>
        <v>0</v>
      </c>
      <c r="L64" s="54" t="s">
        <v>832</v>
      </c>
    </row>
    <row r="65" spans="1:12" s="55" customFormat="1" ht="19.5" customHeight="1" x14ac:dyDescent="0.3">
      <c r="A65" s="44"/>
      <c r="B65" s="76"/>
      <c r="C65" s="77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835</v>
      </c>
      <c r="B66" s="76" t="s">
        <v>218</v>
      </c>
      <c r="C66" s="46">
        <v>24</v>
      </c>
      <c r="D66" s="47" t="s">
        <v>501</v>
      </c>
      <c r="E66" s="48">
        <v>8</v>
      </c>
      <c r="F66" s="49">
        <v>10.85</v>
      </c>
      <c r="G66" s="50"/>
      <c r="H66" s="51"/>
      <c r="I66" s="45"/>
      <c r="J66" s="52"/>
      <c r="K66" s="53">
        <f t="shared" ref="K66" si="1">(H66/1000*I66/1000)*J66</f>
        <v>0</v>
      </c>
      <c r="L66" s="54" t="s">
        <v>837</v>
      </c>
    </row>
    <row r="67" spans="1:12" s="55" customFormat="1" ht="19.5" customHeight="1" x14ac:dyDescent="0.3">
      <c r="A67" s="44"/>
      <c r="B67" s="76"/>
      <c r="C67" s="77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 t="s">
        <v>838</v>
      </c>
      <c r="B68" s="76" t="s">
        <v>790</v>
      </c>
      <c r="C68" s="77">
        <v>43</v>
      </c>
      <c r="D68" s="47" t="s">
        <v>791</v>
      </c>
      <c r="E68" s="48">
        <v>126</v>
      </c>
      <c r="F68" s="49">
        <v>107.91</v>
      </c>
      <c r="G68" s="50" t="s">
        <v>170</v>
      </c>
      <c r="H68" s="51">
        <v>2438</v>
      </c>
      <c r="I68" s="45">
        <v>3353</v>
      </c>
      <c r="J68" s="52">
        <v>14</v>
      </c>
      <c r="K68" s="53">
        <f t="shared" si="0"/>
        <v>114.444596</v>
      </c>
      <c r="L68" s="54" t="s">
        <v>839</v>
      </c>
    </row>
    <row r="69" spans="1:12" s="55" customFormat="1" ht="19.5" customHeight="1" x14ac:dyDescent="0.3">
      <c r="A69" s="44"/>
      <c r="B69" s="76"/>
      <c r="C69" s="77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 t="s">
        <v>826</v>
      </c>
      <c r="B70" s="45"/>
      <c r="C70" s="77"/>
      <c r="D70" s="78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 t="s">
        <v>848</v>
      </c>
      <c r="B71" s="76" t="s">
        <v>849</v>
      </c>
      <c r="C71" s="77">
        <v>24</v>
      </c>
      <c r="D71" s="47" t="s">
        <v>850</v>
      </c>
      <c r="E71" s="48">
        <v>42</v>
      </c>
      <c r="F71" s="49">
        <v>39.61</v>
      </c>
      <c r="G71" s="50" t="s">
        <v>851</v>
      </c>
      <c r="H71" s="51">
        <v>2134</v>
      </c>
      <c r="I71" s="45">
        <v>3353</v>
      </c>
      <c r="J71" s="52">
        <v>6</v>
      </c>
      <c r="K71" s="53">
        <f t="shared" si="0"/>
        <v>42.931812000000001</v>
      </c>
      <c r="L71" s="54"/>
    </row>
    <row r="72" spans="1:12" s="55" customFormat="1" ht="19.5" customHeight="1" x14ac:dyDescent="0.3">
      <c r="A72" s="44"/>
      <c r="B72" s="76"/>
      <c r="C72" s="46"/>
      <c r="D72" s="47"/>
      <c r="E72" s="48"/>
      <c r="F72" s="49"/>
      <c r="G72" s="50" t="s">
        <v>852</v>
      </c>
      <c r="H72" s="51">
        <v>2134</v>
      </c>
      <c r="I72" s="45">
        <v>3353</v>
      </c>
      <c r="J72" s="52">
        <v>6</v>
      </c>
      <c r="K72" s="53">
        <f t="shared" si="0"/>
        <v>42.931812000000001</v>
      </c>
      <c r="L72" s="54"/>
    </row>
    <row r="73" spans="1:12" s="55" customFormat="1" ht="19.5" customHeight="1" x14ac:dyDescent="0.3">
      <c r="A73" s="44"/>
      <c r="B73" s="76"/>
      <c r="C73" s="77"/>
      <c r="D73" s="78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 t="s">
        <v>853</v>
      </c>
      <c r="B74" s="76" t="s">
        <v>790</v>
      </c>
      <c r="C74" s="77">
        <v>43</v>
      </c>
      <c r="D74" s="47" t="s">
        <v>791</v>
      </c>
      <c r="E74" s="48">
        <v>77</v>
      </c>
      <c r="F74" s="49">
        <v>58.58</v>
      </c>
      <c r="G74" s="50" t="s">
        <v>170</v>
      </c>
      <c r="H74" s="51">
        <v>2134</v>
      </c>
      <c r="I74" s="45">
        <v>3048</v>
      </c>
      <c r="J74" s="52">
        <v>20</v>
      </c>
      <c r="K74" s="53">
        <f t="shared" si="0"/>
        <v>130.08864</v>
      </c>
      <c r="L74" s="54" t="s">
        <v>854</v>
      </c>
    </row>
    <row r="75" spans="1:12" s="55" customFormat="1" ht="19.5" customHeight="1" x14ac:dyDescent="0.3">
      <c r="A75" s="44"/>
      <c r="B75" s="45"/>
      <c r="C75" s="77"/>
      <c r="D75" s="78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 t="s">
        <v>855</v>
      </c>
      <c r="B76" s="76" t="s">
        <v>790</v>
      </c>
      <c r="C76" s="77">
        <v>43</v>
      </c>
      <c r="D76" s="47" t="s">
        <v>791</v>
      </c>
      <c r="E76" s="48">
        <v>28</v>
      </c>
      <c r="F76" s="49">
        <v>23.41</v>
      </c>
      <c r="G76" s="50" t="s">
        <v>170</v>
      </c>
      <c r="H76" s="51">
        <v>2438</v>
      </c>
      <c r="I76" s="45">
        <v>3353</v>
      </c>
      <c r="J76" s="52">
        <v>6</v>
      </c>
      <c r="K76" s="53">
        <f t="shared" si="0"/>
        <v>49.047684000000004</v>
      </c>
      <c r="L76" s="54" t="s">
        <v>854</v>
      </c>
    </row>
    <row r="77" spans="1:12" s="55" customFormat="1" ht="19.5" customHeight="1" x14ac:dyDescent="0.3">
      <c r="A77" s="44"/>
      <c r="B77" s="76"/>
      <c r="C77" s="77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 t="s">
        <v>797</v>
      </c>
      <c r="B78" s="76" t="s">
        <v>790</v>
      </c>
      <c r="C78" s="77">
        <v>43</v>
      </c>
      <c r="D78" s="47" t="s">
        <v>791</v>
      </c>
      <c r="E78" s="48">
        <v>126</v>
      </c>
      <c r="F78" s="49">
        <v>107.91</v>
      </c>
      <c r="G78" s="50" t="s">
        <v>170</v>
      </c>
      <c r="H78" s="51">
        <v>2438</v>
      </c>
      <c r="I78" s="45">
        <v>3353</v>
      </c>
      <c r="J78" s="52">
        <v>14</v>
      </c>
      <c r="K78" s="53">
        <f t="shared" ref="K78" si="2">(H78/1000*I78/1000)*J78</f>
        <v>114.444596</v>
      </c>
      <c r="L78" s="54" t="s">
        <v>856</v>
      </c>
    </row>
    <row r="79" spans="1:12" s="55" customFormat="1" ht="19.5" customHeight="1" x14ac:dyDescent="0.3">
      <c r="A79" s="44"/>
      <c r="B79" s="45"/>
      <c r="C79" s="77"/>
      <c r="D79" s="78"/>
      <c r="E79" s="48"/>
      <c r="F79" s="49"/>
      <c r="G79" s="50"/>
      <c r="H79" s="51"/>
      <c r="I79" s="45"/>
      <c r="J79" s="52"/>
      <c r="K79" s="53">
        <f t="shared" si="0"/>
        <v>0</v>
      </c>
      <c r="L79" s="54"/>
    </row>
    <row r="80" spans="1:12" s="55" customFormat="1" ht="19.5" customHeight="1" x14ac:dyDescent="0.3">
      <c r="A80" s="44"/>
      <c r="B80" s="45"/>
      <c r="C80" s="77"/>
      <c r="D80" s="78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9" customFormat="1" ht="20.100000000000001" customHeight="1" x14ac:dyDescent="0.3">
      <c r="A83" s="44"/>
      <c r="B83" s="45"/>
      <c r="C83" s="46"/>
      <c r="D83" s="47"/>
      <c r="E83" s="56"/>
      <c r="F83" s="57"/>
      <c r="G83" s="50"/>
      <c r="H83" s="51"/>
      <c r="I83" s="45"/>
      <c r="J83" s="52"/>
      <c r="K83" s="53">
        <f t="shared" si="0"/>
        <v>0</v>
      </c>
      <c r="L83" s="58">
        <f>SUM(J47:J84)</f>
        <v>106</v>
      </c>
    </row>
    <row r="84" spans="1:12" s="59" customFormat="1" ht="20.100000000000001" customHeight="1" x14ac:dyDescent="0.3">
      <c r="A84" s="44"/>
      <c r="B84" s="45"/>
      <c r="C84" s="46"/>
      <c r="D84" s="47"/>
      <c r="E84" s="60"/>
      <c r="F84" s="61"/>
      <c r="G84" s="62"/>
      <c r="H84" s="51"/>
      <c r="I84" s="45"/>
      <c r="J84" s="63"/>
      <c r="K84" s="53">
        <f t="shared" si="0"/>
        <v>0</v>
      </c>
      <c r="L84" s="64">
        <f>SUM(K47:K84)</f>
        <v>790.8104239999999</v>
      </c>
    </row>
    <row r="85" spans="1:12" s="59" customFormat="1" ht="20.100000000000001" customHeight="1" thickBot="1" x14ac:dyDescent="0.35">
      <c r="A85" s="114"/>
      <c r="B85" s="115"/>
      <c r="C85" s="115"/>
      <c r="D85" s="115"/>
      <c r="E85" s="115"/>
      <c r="F85" s="115"/>
      <c r="G85" s="115"/>
      <c r="H85" s="115"/>
      <c r="I85" s="115"/>
      <c r="J85" s="65">
        <f>SUM(J7:J84)</f>
        <v>245</v>
      </c>
      <c r="K85" s="66">
        <f>SUM(K7:K84)</f>
        <v>1691.489793</v>
      </c>
      <c r="L85" s="67"/>
    </row>
    <row r="86" spans="1:12" s="59" customFormat="1" ht="20.100000000000001" customHeight="1" thickTop="1" thickBot="1" x14ac:dyDescent="0.35">
      <c r="A86" s="116" t="s">
        <v>52</v>
      </c>
      <c r="B86" s="117"/>
      <c r="C86" s="68"/>
      <c r="D86" s="118">
        <f>J85</f>
        <v>245</v>
      </c>
      <c r="E86" s="119"/>
      <c r="F86" s="119"/>
      <c r="G86" s="120"/>
      <c r="H86" s="121"/>
      <c r="I86" s="121"/>
      <c r="J86" s="122"/>
      <c r="K86" s="119"/>
      <c r="L86" s="123"/>
    </row>
    <row r="87" spans="1:12" s="59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71"/>
    </row>
    <row r="88" spans="1:12" s="59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59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113"/>
      <c r="B91" s="113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72"/>
      <c r="F92" s="5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5"/>
      <c r="G93" s="73"/>
      <c r="H93" s="5"/>
      <c r="I93" s="74"/>
      <c r="J93" s="5"/>
      <c r="K93" s="5"/>
      <c r="L93" s="5"/>
    </row>
    <row r="94" spans="1:12" s="59" customFormat="1" ht="20.100000000000001" customHeight="1" x14ac:dyDescent="0.3">
      <c r="A94" s="113"/>
      <c r="B94" s="113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59" customFormat="1" ht="20.100000000000001" customHeight="1" x14ac:dyDescent="0.3">
      <c r="A96" s="113"/>
      <c r="B96" s="113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113"/>
      <c r="B97" s="113"/>
      <c r="C97" s="5"/>
      <c r="D97" s="5"/>
      <c r="E97" s="5"/>
      <c r="F97" s="70"/>
      <c r="G97" s="5"/>
      <c r="H97" s="72"/>
      <c r="I97" s="72"/>
      <c r="J97" s="5"/>
      <c r="K97" s="5"/>
      <c r="L97" s="5"/>
    </row>
    <row r="98" spans="1:12" ht="20.100000000000001" customHeight="1" x14ac:dyDescent="0.3">
      <c r="A98" s="113"/>
      <c r="B98" s="113"/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A101" s="113"/>
      <c r="B101" s="113"/>
      <c r="H101" s="72"/>
      <c r="I101" s="72"/>
    </row>
    <row r="102" spans="1:12" ht="20.100000000000001" customHeight="1" x14ac:dyDescent="0.3">
      <c r="A102" s="113"/>
      <c r="B102" s="113"/>
      <c r="H102" s="72"/>
      <c r="I102" s="72"/>
    </row>
    <row r="103" spans="1:12" ht="20.100000000000001" customHeight="1" x14ac:dyDescent="0.3">
      <c r="H103" s="72"/>
      <c r="I103" s="72"/>
    </row>
    <row r="104" spans="1:12" ht="20.100000000000001" customHeight="1" x14ac:dyDescent="0.3">
      <c r="H104" s="72"/>
      <c r="I104" s="72"/>
    </row>
    <row r="105" spans="1:12" ht="20.100000000000001" customHeight="1" x14ac:dyDescent="0.3">
      <c r="H105" s="72"/>
      <c r="I105" s="72"/>
    </row>
    <row r="106" spans="1:12" s="72" customFormat="1" ht="20.100000000000001" customHeight="1" x14ac:dyDescent="0.3">
      <c r="A106" s="69"/>
      <c r="B106" s="5"/>
      <c r="C106" s="5"/>
      <c r="D106" s="5"/>
      <c r="E106" s="5"/>
      <c r="F106" s="70"/>
      <c r="G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5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75" customFormat="1" ht="20.100000000000001" customHeight="1" x14ac:dyDescent="0.3">
      <c r="A109" s="69"/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75" customFormat="1" ht="19.5" customHeight="1" x14ac:dyDescent="0.3">
      <c r="A110" s="69"/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72" customFormat="1" ht="20.100000000000001" customHeight="1" x14ac:dyDescent="0.3">
      <c r="A111" s="69"/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72" customFormat="1" ht="20.100000000000001" customHeight="1" x14ac:dyDescent="0.3">
      <c r="A112" s="69"/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ht="19.5" customHeight="1" x14ac:dyDescent="0.3"/>
    <row r="140" spans="2:12" ht="19.5" customHeight="1" x14ac:dyDescent="0.3"/>
    <row r="141" spans="2:12" ht="19.5" customHeight="1" x14ac:dyDescent="0.3"/>
    <row r="142" spans="2:12" ht="19.5" customHeight="1" x14ac:dyDescent="0.3"/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>
        <v>2</v>
      </c>
      <c r="C176" s="5"/>
      <c r="D176" s="5"/>
      <c r="E176" s="5"/>
      <c r="F176" s="70"/>
      <c r="G176" s="5"/>
      <c r="H176" s="5"/>
      <c r="I176" s="5"/>
      <c r="J176" s="5"/>
      <c r="K176" s="5"/>
      <c r="L176" s="5"/>
    </row>
  </sheetData>
  <mergeCells count="30">
    <mergeCell ref="A101:B101"/>
    <mergeCell ref="A102:B102"/>
    <mergeCell ref="A92:B92"/>
    <mergeCell ref="A93:B93"/>
    <mergeCell ref="A94:B94"/>
    <mergeCell ref="A96:B96"/>
    <mergeCell ref="A97:B97"/>
    <mergeCell ref="A98:B98"/>
    <mergeCell ref="A91:B9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5:I85"/>
    <mergeCell ref="A86:B86"/>
    <mergeCell ref="D86:G86"/>
    <mergeCell ref="H86:J86"/>
    <mergeCell ref="K86:L86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A1:L154"/>
  <sheetViews>
    <sheetView view="pageBreakPreview" topLeftCell="A27" zoomScale="85" zoomScaleSheetLayoutView="85" workbookViewId="0">
      <selection activeCell="A18" sqref="A18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46046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2" si="0">(H7/1000*I7/1000)*J7</f>
        <v>0</v>
      </c>
      <c r="L7" s="26">
        <f>SUM(J7:J33)</f>
        <v>108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SUM(K7:K33)</f>
        <v>740.41616599999998</v>
      </c>
    </row>
    <row r="9" spans="1:12" s="27" customFormat="1" ht="19.5" customHeight="1" x14ac:dyDescent="0.3">
      <c r="A9" s="28" t="s">
        <v>774</v>
      </c>
      <c r="B9" s="16" t="s">
        <v>21</v>
      </c>
      <c r="C9" s="17">
        <v>25.76</v>
      </c>
      <c r="D9" s="18" t="s">
        <v>227</v>
      </c>
      <c r="E9" s="81">
        <v>45</v>
      </c>
      <c r="F9" s="82">
        <v>23.1</v>
      </c>
      <c r="G9" s="34" t="s">
        <v>19</v>
      </c>
      <c r="H9" s="35">
        <v>2134</v>
      </c>
      <c r="I9" s="36">
        <v>3353</v>
      </c>
      <c r="J9" s="37">
        <v>3</v>
      </c>
      <c r="K9" s="38">
        <f t="shared" si="0"/>
        <v>21.465906</v>
      </c>
      <c r="L9" s="39"/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769</v>
      </c>
      <c r="B11" s="16" t="s">
        <v>21</v>
      </c>
      <c r="C11" s="17">
        <v>25.76</v>
      </c>
      <c r="D11" s="18" t="s">
        <v>227</v>
      </c>
      <c r="E11" s="41">
        <v>35</v>
      </c>
      <c r="F11" s="42">
        <v>16.7</v>
      </c>
      <c r="G11" s="34" t="s">
        <v>19</v>
      </c>
      <c r="H11" s="35">
        <v>2134</v>
      </c>
      <c r="I11" s="36">
        <v>3353</v>
      </c>
      <c r="J11" s="37">
        <v>3</v>
      </c>
      <c r="K11" s="38">
        <f t="shared" si="0"/>
        <v>21.465906</v>
      </c>
      <c r="L11" s="39"/>
    </row>
    <row r="12" spans="1:12" s="27" customFormat="1" ht="19.5" customHeight="1" x14ac:dyDescent="0.3">
      <c r="A12" s="28"/>
      <c r="B12" s="16"/>
      <c r="C12" s="17">
        <v>22</v>
      </c>
      <c r="D12" s="31" t="s">
        <v>17</v>
      </c>
      <c r="E12" s="41">
        <v>120</v>
      </c>
      <c r="F12" s="42">
        <v>96.75</v>
      </c>
      <c r="G12" s="34" t="s">
        <v>18</v>
      </c>
      <c r="H12" s="35">
        <v>2438</v>
      </c>
      <c r="I12" s="36">
        <v>3353</v>
      </c>
      <c r="J12" s="37">
        <v>12</v>
      </c>
      <c r="K12" s="38">
        <f t="shared" si="0"/>
        <v>98.095368000000008</v>
      </c>
      <c r="L12" s="39" t="s">
        <v>100</v>
      </c>
    </row>
    <row r="13" spans="1:12" s="27" customFormat="1" ht="19.5" customHeight="1" x14ac:dyDescent="0.3">
      <c r="A13" s="28"/>
      <c r="B13" s="16"/>
      <c r="C13" s="17"/>
      <c r="D13" s="31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783</v>
      </c>
      <c r="B14" s="16" t="s">
        <v>21</v>
      </c>
      <c r="C14" s="17">
        <v>25.76</v>
      </c>
      <c r="D14" s="18" t="s">
        <v>227</v>
      </c>
      <c r="E14" s="41">
        <v>35</v>
      </c>
      <c r="F14" s="42">
        <v>20.8</v>
      </c>
      <c r="G14" s="34" t="s">
        <v>19</v>
      </c>
      <c r="H14" s="35">
        <v>2134</v>
      </c>
      <c r="I14" s="36">
        <v>3353</v>
      </c>
      <c r="J14" s="37">
        <v>3</v>
      </c>
      <c r="K14" s="38">
        <f t="shared" ref="K14:K20" si="1">(H14/1000*I14/1000)*J14</f>
        <v>21.465906</v>
      </c>
      <c r="L14" s="39"/>
    </row>
    <row r="15" spans="1:12" s="27" customFormat="1" ht="19.5" customHeight="1" x14ac:dyDescent="0.3">
      <c r="A15" s="28"/>
      <c r="B15" s="16"/>
      <c r="C15" s="17">
        <v>22</v>
      </c>
      <c r="D15" s="31" t="s">
        <v>17</v>
      </c>
      <c r="E15" s="41">
        <v>125</v>
      </c>
      <c r="F15" s="42">
        <v>107.95</v>
      </c>
      <c r="G15" s="34" t="s">
        <v>18</v>
      </c>
      <c r="H15" s="35">
        <v>2590</v>
      </c>
      <c r="I15" s="36">
        <v>3353</v>
      </c>
      <c r="J15" s="37">
        <v>13</v>
      </c>
      <c r="K15" s="38">
        <f t="shared" si="1"/>
        <v>112.89550999999997</v>
      </c>
      <c r="L15" s="39"/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 t="s">
        <v>19</v>
      </c>
      <c r="H16" s="35">
        <v>1981</v>
      </c>
      <c r="I16" s="36">
        <v>3353</v>
      </c>
      <c r="J16" s="37">
        <v>18</v>
      </c>
      <c r="K16" s="38">
        <f t="shared" si="1"/>
        <v>119.56127400000001</v>
      </c>
      <c r="L16" s="39"/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38">
        <f t="shared" si="1"/>
        <v>0</v>
      </c>
      <c r="L17" s="39"/>
    </row>
    <row r="18" spans="1:12" s="27" customFormat="1" ht="19.5" customHeight="1" x14ac:dyDescent="0.3">
      <c r="A18" s="28" t="s">
        <v>784</v>
      </c>
      <c r="B18" s="16" t="s">
        <v>353</v>
      </c>
      <c r="C18" s="17">
        <v>22</v>
      </c>
      <c r="D18" s="18" t="s">
        <v>307</v>
      </c>
      <c r="E18" s="41">
        <v>24</v>
      </c>
      <c r="F18" s="42">
        <v>24.4</v>
      </c>
      <c r="G18" s="34" t="s">
        <v>286</v>
      </c>
      <c r="H18" s="35">
        <v>1981</v>
      </c>
      <c r="I18" s="36">
        <v>3353</v>
      </c>
      <c r="J18" s="37">
        <v>4</v>
      </c>
      <c r="K18" s="38">
        <f t="shared" si="1"/>
        <v>26.569172000000002</v>
      </c>
      <c r="L18" s="39" t="s">
        <v>785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1"/>
        <v>0</v>
      </c>
      <c r="L19" s="39"/>
    </row>
    <row r="20" spans="1:12" s="27" customFormat="1" ht="19.5" customHeight="1" x14ac:dyDescent="0.3">
      <c r="A20" s="28" t="s">
        <v>786</v>
      </c>
      <c r="B20" s="16" t="s">
        <v>353</v>
      </c>
      <c r="C20" s="17">
        <v>22</v>
      </c>
      <c r="D20" s="18" t="s">
        <v>307</v>
      </c>
      <c r="E20" s="81">
        <v>275</v>
      </c>
      <c r="F20" s="82">
        <v>215.8</v>
      </c>
      <c r="G20" s="34" t="s">
        <v>286</v>
      </c>
      <c r="H20" s="35">
        <v>1829</v>
      </c>
      <c r="I20" s="36">
        <v>3353</v>
      </c>
      <c r="J20" s="37">
        <v>37</v>
      </c>
      <c r="K20" s="38">
        <f t="shared" si="1"/>
        <v>226.907569</v>
      </c>
      <c r="L20" s="39" t="s">
        <v>425</v>
      </c>
    </row>
    <row r="21" spans="1:12" s="27" customFormat="1" ht="19.5" customHeight="1" x14ac:dyDescent="0.3">
      <c r="A21" s="28"/>
      <c r="B21" s="16"/>
      <c r="C21" s="17"/>
      <c r="D21" s="18"/>
      <c r="E21" s="81"/>
      <c r="F21" s="8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 t="s">
        <v>786</v>
      </c>
      <c r="B22" s="16" t="s">
        <v>353</v>
      </c>
      <c r="C22" s="17">
        <v>22</v>
      </c>
      <c r="D22" s="31" t="s">
        <v>17</v>
      </c>
      <c r="E22" s="81">
        <v>45</v>
      </c>
      <c r="F22" s="82">
        <v>88.6</v>
      </c>
      <c r="G22" s="34" t="s">
        <v>286</v>
      </c>
      <c r="H22" s="35">
        <v>1829</v>
      </c>
      <c r="I22" s="36">
        <v>3353</v>
      </c>
      <c r="J22" s="37">
        <v>15</v>
      </c>
      <c r="K22" s="38">
        <f t="shared" si="0"/>
        <v>91.989554999999996</v>
      </c>
      <c r="L22" s="39" t="s">
        <v>787</v>
      </c>
    </row>
    <row r="23" spans="1:12" s="27" customFormat="1" ht="19.5" customHeight="1" x14ac:dyDescent="0.3">
      <c r="A23" s="28"/>
      <c r="B23" s="16"/>
      <c r="C23" s="17"/>
      <c r="D23" s="31"/>
      <c r="E23" s="81"/>
      <c r="F23" s="8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16"/>
      <c r="C27" s="17"/>
      <c r="D27" s="31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16"/>
      <c r="C28" s="17"/>
      <c r="D28" s="18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16"/>
      <c r="C29" s="17"/>
      <c r="D29" s="31"/>
      <c r="E29" s="81"/>
      <c r="F29" s="8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17"/>
      <c r="D32" s="18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29"/>
      <c r="C33" s="30"/>
      <c r="D33" s="31"/>
      <c r="E33" s="41"/>
      <c r="F33" s="42"/>
      <c r="G33" s="43"/>
      <c r="H33" s="35"/>
      <c r="I33" s="36"/>
      <c r="J33" s="37"/>
      <c r="K33" s="38">
        <f t="shared" si="0"/>
        <v>0</v>
      </c>
      <c r="L33" s="39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788</v>
      </c>
      <c r="B35" s="76" t="s">
        <v>168</v>
      </c>
      <c r="C35" s="46">
        <v>24</v>
      </c>
      <c r="D35" s="47" t="s">
        <v>169</v>
      </c>
      <c r="E35" s="48">
        <v>56</v>
      </c>
      <c r="F35" s="49">
        <v>92.61</v>
      </c>
      <c r="G35" s="50" t="s">
        <v>170</v>
      </c>
      <c r="H35" s="51">
        <v>2438</v>
      </c>
      <c r="I35" s="45">
        <v>3353</v>
      </c>
      <c r="J35" s="52">
        <v>30</v>
      </c>
      <c r="K35" s="53">
        <f t="shared" si="0"/>
        <v>245.23841999999999</v>
      </c>
      <c r="L35" s="54" t="s">
        <v>792</v>
      </c>
    </row>
    <row r="36" spans="1:12" s="55" customFormat="1" ht="40.5" x14ac:dyDescent="0.3">
      <c r="A36" s="44" t="s">
        <v>789</v>
      </c>
      <c r="B36" s="76" t="s">
        <v>790</v>
      </c>
      <c r="C36" s="77">
        <v>43</v>
      </c>
      <c r="D36" s="47" t="s">
        <v>791</v>
      </c>
      <c r="E36" s="48">
        <v>11</v>
      </c>
      <c r="F36" s="49">
        <v>15.25</v>
      </c>
      <c r="G36" s="50" t="s">
        <v>170</v>
      </c>
      <c r="H36" s="51">
        <v>2134</v>
      </c>
      <c r="I36" s="45">
        <v>3048</v>
      </c>
      <c r="J36" s="52">
        <v>1</v>
      </c>
      <c r="K36" s="53">
        <f t="shared" ref="K36:K43" si="2">(H36/1000*I36/1000)*J36</f>
        <v>6.5044319999999995</v>
      </c>
      <c r="L36" s="54" t="s">
        <v>793</v>
      </c>
    </row>
    <row r="37" spans="1:12" s="55" customFormat="1" ht="19.5" customHeight="1" x14ac:dyDescent="0.3">
      <c r="A37" s="44"/>
      <c r="B37" s="76"/>
      <c r="C37" s="77"/>
      <c r="D37" s="78"/>
      <c r="E37" s="48"/>
      <c r="F37" s="49"/>
      <c r="G37" s="50"/>
      <c r="H37" s="51"/>
      <c r="I37" s="45"/>
      <c r="J37" s="52"/>
      <c r="K37" s="53">
        <f t="shared" si="2"/>
        <v>0</v>
      </c>
      <c r="L37" s="54"/>
    </row>
    <row r="38" spans="1:12" s="55" customFormat="1" ht="19.5" customHeight="1" x14ac:dyDescent="0.3">
      <c r="A38" s="44" t="s">
        <v>789</v>
      </c>
      <c r="B38" s="76" t="s">
        <v>790</v>
      </c>
      <c r="C38" s="77">
        <v>43</v>
      </c>
      <c r="D38" s="47" t="s">
        <v>791</v>
      </c>
      <c r="E38" s="48">
        <v>11</v>
      </c>
      <c r="F38" s="49">
        <v>15.25</v>
      </c>
      <c r="G38" s="50" t="s">
        <v>49</v>
      </c>
      <c r="H38" s="51">
        <v>1981</v>
      </c>
      <c r="I38" s="45">
        <v>3048</v>
      </c>
      <c r="J38" s="52">
        <v>3</v>
      </c>
      <c r="K38" s="53">
        <f t="shared" si="2"/>
        <v>18.114264000000002</v>
      </c>
      <c r="L38" s="54" t="s">
        <v>794</v>
      </c>
    </row>
    <row r="39" spans="1:12" s="55" customFormat="1" ht="19.5" customHeight="1" x14ac:dyDescent="0.3">
      <c r="A39" s="44"/>
      <c r="B39" s="76"/>
      <c r="C39" s="77"/>
      <c r="D39" s="78"/>
      <c r="E39" s="48"/>
      <c r="F39" s="49"/>
      <c r="G39" s="50"/>
      <c r="H39" s="51"/>
      <c r="I39" s="45"/>
      <c r="J39" s="52"/>
      <c r="K39" s="53">
        <f t="shared" si="2"/>
        <v>0</v>
      </c>
      <c r="L39" s="54"/>
    </row>
    <row r="40" spans="1:12" s="55" customFormat="1" ht="19.5" customHeight="1" x14ac:dyDescent="0.3">
      <c r="A40" s="44" t="s">
        <v>789</v>
      </c>
      <c r="B40" s="76" t="s">
        <v>790</v>
      </c>
      <c r="C40" s="77">
        <v>43</v>
      </c>
      <c r="D40" s="47" t="s">
        <v>791</v>
      </c>
      <c r="E40" s="48">
        <v>41</v>
      </c>
      <c r="F40" s="49">
        <v>45.34</v>
      </c>
      <c r="G40" s="50" t="s">
        <v>49</v>
      </c>
      <c r="H40" s="51">
        <v>2438</v>
      </c>
      <c r="I40" s="45">
        <v>3353</v>
      </c>
      <c r="J40" s="52">
        <v>6</v>
      </c>
      <c r="K40" s="53">
        <f t="shared" si="2"/>
        <v>49.047684000000004</v>
      </c>
      <c r="L40" s="54" t="s">
        <v>795</v>
      </c>
    </row>
    <row r="41" spans="1:12" s="55" customFormat="1" ht="19.5" customHeight="1" x14ac:dyDescent="0.3">
      <c r="A41" s="44"/>
      <c r="B41" s="76"/>
      <c r="C41" s="77"/>
      <c r="D41" s="78"/>
      <c r="E41" s="48"/>
      <c r="F41" s="49"/>
      <c r="G41" s="50" t="s">
        <v>49</v>
      </c>
      <c r="H41" s="51">
        <v>1981</v>
      </c>
      <c r="I41" s="45">
        <v>3048</v>
      </c>
      <c r="J41" s="52">
        <v>1</v>
      </c>
      <c r="K41" s="53">
        <f t="shared" si="2"/>
        <v>6.038088000000001</v>
      </c>
      <c r="L41" s="54"/>
    </row>
    <row r="42" spans="1:12" s="55" customFormat="1" ht="19.5" customHeight="1" x14ac:dyDescent="0.3">
      <c r="A42" s="44"/>
      <c r="B42" s="45"/>
      <c r="C42" s="77"/>
      <c r="D42" s="78"/>
      <c r="E42" s="48"/>
      <c r="F42" s="49"/>
      <c r="G42" s="50"/>
      <c r="H42" s="51"/>
      <c r="I42" s="45"/>
      <c r="J42" s="52"/>
      <c r="K42" s="53">
        <f t="shared" si="2"/>
        <v>0</v>
      </c>
      <c r="L42" s="54"/>
    </row>
    <row r="43" spans="1:12" s="55" customFormat="1" ht="19.5" customHeight="1" x14ac:dyDescent="0.3">
      <c r="A43" s="44" t="s">
        <v>796</v>
      </c>
      <c r="B43" s="76" t="s">
        <v>790</v>
      </c>
      <c r="C43" s="77">
        <v>43</v>
      </c>
      <c r="D43" s="47" t="s">
        <v>791</v>
      </c>
      <c r="E43" s="48">
        <v>100</v>
      </c>
      <c r="F43" s="49">
        <v>84.5</v>
      </c>
      <c r="G43" s="50" t="s">
        <v>49</v>
      </c>
      <c r="H43" s="51">
        <v>2438</v>
      </c>
      <c r="I43" s="45">
        <v>3353</v>
      </c>
      <c r="J43" s="52">
        <v>11</v>
      </c>
      <c r="K43" s="53">
        <f t="shared" si="2"/>
        <v>89.920754000000002</v>
      </c>
      <c r="L43" s="54" t="s">
        <v>202</v>
      </c>
    </row>
    <row r="44" spans="1:12" s="55" customFormat="1" ht="19.5" customHeight="1" x14ac:dyDescent="0.3">
      <c r="A44" s="44"/>
      <c r="B44" s="76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797</v>
      </c>
      <c r="B45" s="76" t="s">
        <v>790</v>
      </c>
      <c r="C45" s="77">
        <v>43</v>
      </c>
      <c r="D45" s="47" t="s">
        <v>791</v>
      </c>
      <c r="E45" s="48">
        <v>126</v>
      </c>
      <c r="F45" s="49">
        <v>107.91</v>
      </c>
      <c r="G45" s="50" t="s">
        <v>49</v>
      </c>
      <c r="H45" s="51">
        <v>2438</v>
      </c>
      <c r="I45" s="45">
        <v>3353</v>
      </c>
      <c r="J45" s="52">
        <v>14</v>
      </c>
      <c r="K45" s="53">
        <f t="shared" si="0"/>
        <v>114.444596</v>
      </c>
      <c r="L45" s="54" t="s">
        <v>202</v>
      </c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798</v>
      </c>
      <c r="B47" s="76" t="s">
        <v>790</v>
      </c>
      <c r="C47" s="77">
        <v>43</v>
      </c>
      <c r="D47" s="47" t="s">
        <v>791</v>
      </c>
      <c r="E47" s="48">
        <v>28</v>
      </c>
      <c r="F47" s="49">
        <v>23.41</v>
      </c>
      <c r="G47" s="50" t="s">
        <v>49</v>
      </c>
      <c r="H47" s="51">
        <v>2438</v>
      </c>
      <c r="I47" s="45">
        <v>3353</v>
      </c>
      <c r="J47" s="52">
        <v>3</v>
      </c>
      <c r="K47" s="53">
        <f t="shared" si="0"/>
        <v>24.523842000000002</v>
      </c>
      <c r="L47" s="54" t="s">
        <v>202</v>
      </c>
    </row>
    <row r="48" spans="1:12" s="55" customFormat="1" ht="19.5" customHeight="1" x14ac:dyDescent="0.3">
      <c r="A48" s="44"/>
      <c r="B48" s="45"/>
      <c r="C48" s="77"/>
      <c r="D48" s="78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799</v>
      </c>
      <c r="B49" s="76" t="s">
        <v>790</v>
      </c>
      <c r="C49" s="77">
        <v>43</v>
      </c>
      <c r="D49" s="47" t="s">
        <v>791</v>
      </c>
      <c r="E49" s="48">
        <v>77</v>
      </c>
      <c r="F49" s="49">
        <v>58.58</v>
      </c>
      <c r="G49" s="50" t="s">
        <v>49</v>
      </c>
      <c r="H49" s="51">
        <v>2438</v>
      </c>
      <c r="I49" s="45">
        <v>3353</v>
      </c>
      <c r="J49" s="52">
        <v>2</v>
      </c>
      <c r="K49" s="53">
        <f t="shared" si="0"/>
        <v>16.349228</v>
      </c>
      <c r="L49" s="54" t="s">
        <v>202</v>
      </c>
    </row>
    <row r="50" spans="1:12" s="55" customFormat="1" ht="19.5" customHeight="1" x14ac:dyDescent="0.3">
      <c r="A50" s="44"/>
      <c r="B50" s="76"/>
      <c r="C50" s="46"/>
      <c r="D50" s="47"/>
      <c r="E50" s="48"/>
      <c r="F50" s="49"/>
      <c r="G50" s="50" t="s">
        <v>49</v>
      </c>
      <c r="H50" s="51">
        <v>1981</v>
      </c>
      <c r="I50" s="45">
        <v>3353</v>
      </c>
      <c r="J50" s="52">
        <v>7</v>
      </c>
      <c r="K50" s="53">
        <f t="shared" si="0"/>
        <v>46.496051000000001</v>
      </c>
      <c r="L50" s="54"/>
    </row>
    <row r="51" spans="1:12" s="55" customFormat="1" ht="19.5" customHeight="1" x14ac:dyDescent="0.3">
      <c r="A51" s="44"/>
      <c r="B51" s="76"/>
      <c r="C51" s="77"/>
      <c r="D51" s="78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77"/>
      <c r="D52" s="78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77"/>
      <c r="D53" s="78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77"/>
      <c r="D54" s="78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76"/>
      <c r="C55" s="77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77"/>
      <c r="D56" s="78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77"/>
      <c r="D57" s="78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77"/>
      <c r="D58" s="78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9" customFormat="1" ht="20.100000000000001" customHeight="1" x14ac:dyDescent="0.3">
      <c r="A61" s="44"/>
      <c r="B61" s="45"/>
      <c r="C61" s="46"/>
      <c r="D61" s="47"/>
      <c r="E61" s="56"/>
      <c r="F61" s="57"/>
      <c r="G61" s="50"/>
      <c r="H61" s="51"/>
      <c r="I61" s="45"/>
      <c r="J61" s="52"/>
      <c r="K61" s="53">
        <f t="shared" si="0"/>
        <v>0</v>
      </c>
      <c r="L61" s="58">
        <f>SUM(J34:J62)</f>
        <v>78</v>
      </c>
    </row>
    <row r="62" spans="1:12" s="59" customFormat="1" ht="20.100000000000001" customHeight="1" x14ac:dyDescent="0.3">
      <c r="A62" s="44"/>
      <c r="B62" s="45"/>
      <c r="C62" s="46"/>
      <c r="D62" s="47"/>
      <c r="E62" s="60"/>
      <c r="F62" s="61"/>
      <c r="G62" s="62"/>
      <c r="H62" s="51"/>
      <c r="I62" s="45"/>
      <c r="J62" s="63"/>
      <c r="K62" s="53">
        <f t="shared" si="0"/>
        <v>0</v>
      </c>
      <c r="L62" s="64">
        <f>SUM(K34:K62)</f>
        <v>616.67735900000014</v>
      </c>
    </row>
    <row r="63" spans="1:12" s="59" customFormat="1" ht="20.100000000000001" customHeight="1" thickBot="1" x14ac:dyDescent="0.35">
      <c r="A63" s="114"/>
      <c r="B63" s="115"/>
      <c r="C63" s="115"/>
      <c r="D63" s="115"/>
      <c r="E63" s="115"/>
      <c r="F63" s="115"/>
      <c r="G63" s="115"/>
      <c r="H63" s="115"/>
      <c r="I63" s="115"/>
      <c r="J63" s="65">
        <f>SUM(J7:J62)</f>
        <v>186</v>
      </c>
      <c r="K63" s="66">
        <f>SUM(K7:K62)</f>
        <v>1357.0935250000002</v>
      </c>
      <c r="L63" s="67"/>
    </row>
    <row r="64" spans="1:12" s="59" customFormat="1" ht="20.100000000000001" customHeight="1" thickTop="1" thickBot="1" x14ac:dyDescent="0.35">
      <c r="A64" s="116" t="s">
        <v>52</v>
      </c>
      <c r="B64" s="117"/>
      <c r="C64" s="68"/>
      <c r="D64" s="118">
        <f>J63</f>
        <v>186</v>
      </c>
      <c r="E64" s="119"/>
      <c r="F64" s="119"/>
      <c r="G64" s="120"/>
      <c r="H64" s="121"/>
      <c r="I64" s="121"/>
      <c r="J64" s="122"/>
      <c r="K64" s="119"/>
      <c r="L64" s="123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71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72"/>
      <c r="F70" s="5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5"/>
      <c r="G71" s="73"/>
      <c r="H71" s="5"/>
      <c r="I71" s="74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113"/>
      <c r="B75" s="113"/>
      <c r="C75" s="5"/>
      <c r="D75" s="5"/>
      <c r="E75" s="5"/>
      <c r="F75" s="70"/>
      <c r="G75" s="5"/>
      <c r="H75" s="72"/>
      <c r="I75" s="72"/>
      <c r="J75" s="5"/>
      <c r="K75" s="5"/>
      <c r="L75" s="5"/>
    </row>
    <row r="76" spans="1:12" ht="20.100000000000001" customHeight="1" x14ac:dyDescent="0.3">
      <c r="A76" s="113"/>
      <c r="B76" s="113"/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A79" s="113"/>
      <c r="B79" s="113"/>
      <c r="H79" s="72"/>
      <c r="I79" s="72"/>
    </row>
    <row r="80" spans="1:12" ht="20.100000000000001" customHeight="1" x14ac:dyDescent="0.3">
      <c r="A80" s="113"/>
      <c r="B80" s="113"/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H82" s="72"/>
      <c r="I82" s="72"/>
    </row>
    <row r="83" spans="1:12" ht="20.100000000000001" customHeight="1" x14ac:dyDescent="0.3">
      <c r="H83" s="72"/>
      <c r="I83" s="72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J84" s="5"/>
      <c r="K84" s="5"/>
      <c r="L84" s="5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5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5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19.5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2" customFormat="1" ht="20.100000000000001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ht="19.5" customHeight="1" x14ac:dyDescent="0.3"/>
    <row r="92" spans="1:12" ht="19.5" customHeight="1" x14ac:dyDescent="0.3"/>
    <row r="93" spans="1:12" ht="19.5" customHeight="1" x14ac:dyDescent="0.3"/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>
        <v>2</v>
      </c>
      <c r="C154" s="5"/>
      <c r="D154" s="5"/>
      <c r="E154" s="5"/>
      <c r="F154" s="70"/>
      <c r="G154" s="5"/>
      <c r="H154" s="5"/>
      <c r="I154" s="5"/>
      <c r="J154" s="5"/>
      <c r="K154" s="5"/>
      <c r="L154" s="5"/>
    </row>
  </sheetData>
  <mergeCells count="30">
    <mergeCell ref="A79:B79"/>
    <mergeCell ref="A80:B80"/>
    <mergeCell ref="A70:B70"/>
    <mergeCell ref="A71:B71"/>
    <mergeCell ref="A72:B72"/>
    <mergeCell ref="A74:B74"/>
    <mergeCell ref="A75:B75"/>
    <mergeCell ref="A76:B76"/>
    <mergeCell ref="A69:B6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3:I63"/>
    <mergeCell ref="A64:B64"/>
    <mergeCell ref="D64:G64"/>
    <mergeCell ref="H64:J64"/>
    <mergeCell ref="K64:L64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L142"/>
  <sheetViews>
    <sheetView view="pageBreakPreview" topLeftCell="A19" zoomScale="85" zoomScaleSheetLayoutView="85" workbookViewId="0">
      <selection activeCell="B31" sqref="B31:G3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46045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0" si="0">(H7/1000*I7/1000)*J7</f>
        <v>0</v>
      </c>
      <c r="L7" s="26">
        <f>SUM(J7:J27)</f>
        <v>174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SUM(K7:K27)</f>
        <v>1136.4505810000001</v>
      </c>
    </row>
    <row r="9" spans="1:12" s="27" customFormat="1" ht="19.5" customHeight="1" x14ac:dyDescent="0.3">
      <c r="A9" s="28" t="s">
        <v>664</v>
      </c>
      <c r="B9" s="16" t="s">
        <v>59</v>
      </c>
      <c r="C9" s="17">
        <v>22</v>
      </c>
      <c r="D9" s="18" t="s">
        <v>665</v>
      </c>
      <c r="E9" s="81">
        <v>210</v>
      </c>
      <c r="F9" s="82">
        <v>109.2</v>
      </c>
      <c r="G9" s="34" t="s">
        <v>62</v>
      </c>
      <c r="H9" s="35">
        <v>1829</v>
      </c>
      <c r="I9" s="36">
        <v>3353</v>
      </c>
      <c r="J9" s="37">
        <v>57</v>
      </c>
      <c r="K9" s="38">
        <f t="shared" si="0"/>
        <v>349.56030900000002</v>
      </c>
      <c r="L9" s="39" t="s">
        <v>106</v>
      </c>
    </row>
    <row r="10" spans="1:12" s="27" customFormat="1" ht="19.5" customHeight="1" x14ac:dyDescent="0.3">
      <c r="A10" s="28"/>
      <c r="B10" s="16"/>
      <c r="C10" s="17">
        <v>22</v>
      </c>
      <c r="D10" s="18" t="s">
        <v>17</v>
      </c>
      <c r="E10" s="81">
        <v>210</v>
      </c>
      <c r="F10" s="82">
        <v>235.2</v>
      </c>
      <c r="G10" s="34" t="s">
        <v>62</v>
      </c>
      <c r="H10" s="35">
        <v>1829</v>
      </c>
      <c r="I10" s="36">
        <v>3048</v>
      </c>
      <c r="J10" s="37">
        <v>9</v>
      </c>
      <c r="K10" s="38">
        <f t="shared" si="0"/>
        <v>50.173127999999998</v>
      </c>
      <c r="L10" s="39" t="s">
        <v>230</v>
      </c>
    </row>
    <row r="11" spans="1:12" s="27" customFormat="1" ht="19.5" customHeight="1" x14ac:dyDescent="0.3">
      <c r="A11" s="28"/>
      <c r="B11" s="16"/>
      <c r="C11" s="17"/>
      <c r="D11" s="31"/>
      <c r="E11" s="41"/>
      <c r="F11" s="42"/>
      <c r="G11" s="34" t="s">
        <v>18</v>
      </c>
      <c r="H11" s="35">
        <v>1829</v>
      </c>
      <c r="I11" s="36">
        <v>3353</v>
      </c>
      <c r="J11" s="37">
        <v>42</v>
      </c>
      <c r="K11" s="38">
        <f t="shared" si="0"/>
        <v>257.57075400000002</v>
      </c>
      <c r="L11" s="39"/>
    </row>
    <row r="12" spans="1:12" s="27" customFormat="1" ht="19.5" customHeight="1" x14ac:dyDescent="0.3">
      <c r="A12" s="28"/>
      <c r="B12" s="16"/>
      <c r="C12" s="17"/>
      <c r="D12" s="18"/>
      <c r="E12" s="81"/>
      <c r="F12" s="8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762</v>
      </c>
      <c r="B13" s="16" t="s">
        <v>763</v>
      </c>
      <c r="C13" s="17">
        <v>24</v>
      </c>
      <c r="D13" s="31" t="s">
        <v>78</v>
      </c>
      <c r="E13" s="41">
        <v>2</v>
      </c>
      <c r="F13" s="42">
        <v>2.58</v>
      </c>
      <c r="G13" s="34" t="s">
        <v>49</v>
      </c>
      <c r="H13" s="35">
        <v>2438</v>
      </c>
      <c r="I13" s="36">
        <v>3048</v>
      </c>
      <c r="J13" s="37">
        <v>1</v>
      </c>
      <c r="K13" s="38">
        <f t="shared" si="0"/>
        <v>7.4310240000000007</v>
      </c>
      <c r="L13" s="39" t="s">
        <v>764</v>
      </c>
    </row>
    <row r="14" spans="1:12" s="27" customFormat="1" ht="19.5" customHeight="1" x14ac:dyDescent="0.3">
      <c r="A14" s="28"/>
      <c r="B14" s="16"/>
      <c r="C14" s="17">
        <v>16</v>
      </c>
      <c r="D14" s="18" t="s">
        <v>45</v>
      </c>
      <c r="E14" s="81">
        <v>5</v>
      </c>
      <c r="F14" s="82">
        <v>5</v>
      </c>
      <c r="G14" s="34" t="s">
        <v>49</v>
      </c>
      <c r="H14" s="35">
        <v>2438</v>
      </c>
      <c r="I14" s="36">
        <v>3353</v>
      </c>
      <c r="J14" s="37">
        <v>1</v>
      </c>
      <c r="K14" s="38">
        <f t="shared" si="0"/>
        <v>8.174614</v>
      </c>
      <c r="L14" s="39" t="s">
        <v>764</v>
      </c>
    </row>
    <row r="15" spans="1:12" s="27" customFormat="1" ht="19.5" customHeight="1" x14ac:dyDescent="0.3">
      <c r="A15" s="28" t="s">
        <v>765</v>
      </c>
      <c r="B15" s="16" t="s">
        <v>132</v>
      </c>
      <c r="C15" s="17">
        <v>16</v>
      </c>
      <c r="D15" s="18" t="s">
        <v>45</v>
      </c>
      <c r="E15" s="81">
        <v>3</v>
      </c>
      <c r="F15" s="82">
        <v>2.2400000000000002</v>
      </c>
      <c r="G15" s="34" t="s">
        <v>18</v>
      </c>
      <c r="H15" s="35">
        <v>2590</v>
      </c>
      <c r="I15" s="36">
        <v>3048</v>
      </c>
      <c r="J15" s="37">
        <v>1</v>
      </c>
      <c r="K15" s="38">
        <f t="shared" si="0"/>
        <v>7.8943199999999996</v>
      </c>
      <c r="L15" s="39" t="s">
        <v>764</v>
      </c>
    </row>
    <row r="16" spans="1:12" s="27" customFormat="1" ht="19.5" customHeight="1" x14ac:dyDescent="0.3">
      <c r="A16" s="28"/>
      <c r="B16" s="16"/>
      <c r="C16" s="17"/>
      <c r="D16" s="18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756</v>
      </c>
      <c r="B17" s="16" t="s">
        <v>194</v>
      </c>
      <c r="C17" s="17">
        <v>24</v>
      </c>
      <c r="D17" s="31" t="s">
        <v>195</v>
      </c>
      <c r="E17" s="81">
        <v>73</v>
      </c>
      <c r="F17" s="82">
        <v>146.97</v>
      </c>
      <c r="G17" s="34" t="s">
        <v>211</v>
      </c>
      <c r="H17" s="35">
        <v>2438</v>
      </c>
      <c r="I17" s="36">
        <v>3353</v>
      </c>
      <c r="J17" s="37">
        <v>15</v>
      </c>
      <c r="K17" s="38">
        <f t="shared" si="0"/>
        <v>122.61921</v>
      </c>
      <c r="L17" s="39" t="s">
        <v>106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211</v>
      </c>
      <c r="H18" s="35">
        <v>2134</v>
      </c>
      <c r="I18" s="36">
        <v>3048</v>
      </c>
      <c r="J18" s="37">
        <v>6</v>
      </c>
      <c r="K18" s="38">
        <f t="shared" si="0"/>
        <v>39.026591999999994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57</v>
      </c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769</v>
      </c>
      <c r="B21" s="16" t="s">
        <v>770</v>
      </c>
      <c r="C21" s="17">
        <v>22</v>
      </c>
      <c r="D21" s="31" t="s">
        <v>771</v>
      </c>
      <c r="E21" s="41">
        <v>120</v>
      </c>
      <c r="F21" s="42">
        <v>96.75</v>
      </c>
      <c r="G21" s="34" t="s">
        <v>772</v>
      </c>
      <c r="H21" s="35">
        <v>1981</v>
      </c>
      <c r="I21" s="36">
        <v>3353</v>
      </c>
      <c r="J21" s="37">
        <v>16</v>
      </c>
      <c r="K21" s="38">
        <f t="shared" si="0"/>
        <v>106.27668800000001</v>
      </c>
      <c r="L21" s="39" t="s">
        <v>773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774</v>
      </c>
      <c r="B23" s="16" t="s">
        <v>770</v>
      </c>
      <c r="C23" s="17">
        <v>22</v>
      </c>
      <c r="D23" s="31" t="s">
        <v>771</v>
      </c>
      <c r="E23" s="81">
        <v>100</v>
      </c>
      <c r="F23" s="82">
        <v>86.7</v>
      </c>
      <c r="G23" s="34" t="s">
        <v>18</v>
      </c>
      <c r="H23" s="35">
        <v>2590</v>
      </c>
      <c r="I23" s="36">
        <v>3048</v>
      </c>
      <c r="J23" s="37">
        <v>12</v>
      </c>
      <c r="K23" s="38">
        <f t="shared" si="0"/>
        <v>94.731839999999991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772</v>
      </c>
      <c r="H24" s="35">
        <v>1981</v>
      </c>
      <c r="I24" s="36">
        <v>3353</v>
      </c>
      <c r="J24" s="37">
        <v>14</v>
      </c>
      <c r="K24" s="38">
        <f t="shared" si="0"/>
        <v>92.992102000000003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29"/>
      <c r="C27" s="30"/>
      <c r="D27" s="31"/>
      <c r="E27" s="41"/>
      <c r="F27" s="42"/>
      <c r="G27" s="43"/>
      <c r="H27" s="35"/>
      <c r="I27" s="36"/>
      <c r="J27" s="37"/>
      <c r="K27" s="38">
        <f t="shared" si="0"/>
        <v>0</v>
      </c>
      <c r="L27" s="39"/>
    </row>
    <row r="28" spans="1:12" s="55" customFormat="1" ht="19.5" customHeight="1" x14ac:dyDescent="0.3">
      <c r="A28" s="44"/>
      <c r="B28" s="45"/>
      <c r="C28" s="46"/>
      <c r="D28" s="47"/>
      <c r="E28" s="48"/>
      <c r="F28" s="49"/>
      <c r="G28" s="50"/>
      <c r="H28" s="51"/>
      <c r="I28" s="45"/>
      <c r="J28" s="52"/>
      <c r="K28" s="53">
        <f t="shared" si="0"/>
        <v>0</v>
      </c>
      <c r="L28" s="54"/>
    </row>
    <row r="29" spans="1:12" s="55" customFormat="1" ht="19.5" customHeight="1" x14ac:dyDescent="0.3">
      <c r="A29" s="44" t="s">
        <v>728</v>
      </c>
      <c r="B29" s="76" t="s">
        <v>110</v>
      </c>
      <c r="C29" s="46">
        <v>24</v>
      </c>
      <c r="D29" s="47" t="s">
        <v>55</v>
      </c>
      <c r="E29" s="48">
        <v>2</v>
      </c>
      <c r="F29" s="49">
        <v>2.06</v>
      </c>
      <c r="G29" s="50"/>
      <c r="H29" s="51"/>
      <c r="I29" s="45"/>
      <c r="J29" s="52"/>
      <c r="K29" s="53">
        <f t="shared" si="0"/>
        <v>0</v>
      </c>
      <c r="L29" s="54" t="s">
        <v>346</v>
      </c>
    </row>
    <row r="30" spans="1:12" s="55" customFormat="1" ht="19.5" customHeight="1" x14ac:dyDescent="0.3">
      <c r="A30" s="44"/>
      <c r="B30" s="45"/>
      <c r="C30" s="77"/>
      <c r="D30" s="78"/>
      <c r="E30" s="48"/>
      <c r="F30" s="49"/>
      <c r="G30" s="50"/>
      <c r="H30" s="51"/>
      <c r="I30" s="45"/>
      <c r="J30" s="52"/>
      <c r="K30" s="53">
        <f t="shared" si="0"/>
        <v>0</v>
      </c>
      <c r="L30" s="54"/>
    </row>
    <row r="31" spans="1:12" s="55" customFormat="1" ht="19.5" customHeight="1" x14ac:dyDescent="0.3">
      <c r="A31" s="44" t="s">
        <v>667</v>
      </c>
      <c r="B31" s="76" t="s">
        <v>187</v>
      </c>
      <c r="C31" s="46">
        <v>28</v>
      </c>
      <c r="D31" s="47" t="s">
        <v>188</v>
      </c>
      <c r="E31" s="48">
        <v>45</v>
      </c>
      <c r="F31" s="49">
        <v>65.900000000000006</v>
      </c>
      <c r="G31" s="50" t="s">
        <v>209</v>
      </c>
      <c r="H31" s="51">
        <v>2438</v>
      </c>
      <c r="I31" s="45">
        <v>3353</v>
      </c>
      <c r="J31" s="52">
        <v>9</v>
      </c>
      <c r="K31" s="53">
        <f t="shared" si="0"/>
        <v>73.571526000000006</v>
      </c>
      <c r="L31" s="54" t="s">
        <v>106</v>
      </c>
    </row>
    <row r="32" spans="1:12" s="55" customFormat="1" ht="19.5" customHeight="1" x14ac:dyDescent="0.3">
      <c r="A32" s="44"/>
      <c r="B32" s="76"/>
      <c r="C32" s="46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766</v>
      </c>
      <c r="B33" s="76" t="s">
        <v>694</v>
      </c>
      <c r="C33" s="46">
        <v>24</v>
      </c>
      <c r="D33" s="47" t="s">
        <v>725</v>
      </c>
      <c r="E33" s="48">
        <v>29</v>
      </c>
      <c r="F33" s="49">
        <v>59.28</v>
      </c>
      <c r="G33" s="50" t="s">
        <v>767</v>
      </c>
      <c r="H33" s="51">
        <v>2438</v>
      </c>
      <c r="I33" s="45">
        <v>3048</v>
      </c>
      <c r="J33" s="52">
        <v>10</v>
      </c>
      <c r="K33" s="53">
        <f t="shared" si="0"/>
        <v>74.310240000000007</v>
      </c>
      <c r="L33" s="54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 t="s">
        <v>189</v>
      </c>
      <c r="H34" s="51">
        <v>3048</v>
      </c>
      <c r="I34" s="45">
        <v>3658</v>
      </c>
      <c r="J34" s="52">
        <v>5</v>
      </c>
      <c r="K34" s="53">
        <f t="shared" si="0"/>
        <v>55.747920000000008</v>
      </c>
      <c r="L34" s="54"/>
    </row>
    <row r="35" spans="1:12" s="55" customFormat="1" ht="19.5" customHeight="1" x14ac:dyDescent="0.3">
      <c r="A35" s="44"/>
      <c r="B35" s="76"/>
      <c r="C35" s="46"/>
      <c r="D35" s="47"/>
      <c r="E35" s="48"/>
      <c r="F35" s="49"/>
      <c r="G35" s="50" t="s">
        <v>189</v>
      </c>
      <c r="H35" s="51">
        <v>2438</v>
      </c>
      <c r="I35" s="45">
        <v>3353</v>
      </c>
      <c r="J35" s="52">
        <v>2</v>
      </c>
      <c r="K35" s="53">
        <f t="shared" si="0"/>
        <v>16.349228</v>
      </c>
      <c r="L35" s="54"/>
    </row>
    <row r="36" spans="1:12" s="55" customFormat="1" ht="19.5" customHeight="1" x14ac:dyDescent="0.3">
      <c r="A36" s="44"/>
      <c r="B36" s="45"/>
      <c r="C36" s="77"/>
      <c r="D36" s="78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768</v>
      </c>
      <c r="B37" s="76" t="s">
        <v>353</v>
      </c>
      <c r="C37" s="77">
        <v>22</v>
      </c>
      <c r="D37" s="78" t="s">
        <v>307</v>
      </c>
      <c r="E37" s="48">
        <v>275</v>
      </c>
      <c r="F37" s="49">
        <v>215.8</v>
      </c>
      <c r="G37" s="50" t="s">
        <v>49</v>
      </c>
      <c r="H37" s="51">
        <v>1829</v>
      </c>
      <c r="I37" s="45">
        <v>3353</v>
      </c>
      <c r="J37" s="52">
        <v>37</v>
      </c>
      <c r="K37" s="53">
        <f t="shared" si="0"/>
        <v>226.907569</v>
      </c>
      <c r="L37" s="54" t="s">
        <v>321</v>
      </c>
    </row>
    <row r="38" spans="1:12" s="55" customFormat="1" ht="19.5" customHeight="1" x14ac:dyDescent="0.3">
      <c r="A38" s="44"/>
      <c r="B38" s="76"/>
      <c r="C38" s="46"/>
      <c r="D38" s="47"/>
      <c r="E38" s="48"/>
      <c r="F38" s="49"/>
      <c r="G38" s="50" t="s">
        <v>39</v>
      </c>
      <c r="H38" s="51">
        <v>1829</v>
      </c>
      <c r="I38" s="45">
        <v>3353</v>
      </c>
      <c r="J38" s="52">
        <v>28</v>
      </c>
      <c r="K38" s="53">
        <f t="shared" si="0"/>
        <v>171.71383599999999</v>
      </c>
      <c r="L38" s="54" t="s">
        <v>321</v>
      </c>
    </row>
    <row r="39" spans="1:12" s="55" customFormat="1" ht="19.5" customHeight="1" x14ac:dyDescent="0.3">
      <c r="A39" s="44"/>
      <c r="B39" s="76"/>
      <c r="C39" s="77"/>
      <c r="D39" s="78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775</v>
      </c>
      <c r="B40" s="45"/>
      <c r="C40" s="77"/>
      <c r="D40" s="78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776</v>
      </c>
      <c r="B41" s="45" t="s">
        <v>777</v>
      </c>
      <c r="C41" s="77">
        <v>24</v>
      </c>
      <c r="D41" s="78" t="s">
        <v>778</v>
      </c>
      <c r="E41" s="48">
        <v>1</v>
      </c>
      <c r="F41" s="49">
        <v>2.99</v>
      </c>
      <c r="G41" s="50" t="s">
        <v>779</v>
      </c>
      <c r="H41" s="51">
        <v>2438</v>
      </c>
      <c r="I41" s="45">
        <v>3048</v>
      </c>
      <c r="J41" s="52">
        <v>1</v>
      </c>
      <c r="K41" s="53">
        <f t="shared" si="0"/>
        <v>7.4310240000000007</v>
      </c>
      <c r="L41" s="54" t="s">
        <v>780</v>
      </c>
    </row>
    <row r="42" spans="1:12" s="55" customFormat="1" ht="19.5" customHeight="1" x14ac:dyDescent="0.3">
      <c r="A42" s="44"/>
      <c r="B42" s="45"/>
      <c r="C42" s="77"/>
      <c r="D42" s="78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781</v>
      </c>
      <c r="B43" s="76" t="s">
        <v>353</v>
      </c>
      <c r="C43" s="77">
        <v>22</v>
      </c>
      <c r="D43" s="47" t="s">
        <v>771</v>
      </c>
      <c r="E43" s="48">
        <v>275</v>
      </c>
      <c r="F43" s="49">
        <v>215.8</v>
      </c>
      <c r="G43" s="50" t="s">
        <v>782</v>
      </c>
      <c r="H43" s="51">
        <v>1829</v>
      </c>
      <c r="I43" s="45">
        <v>3353</v>
      </c>
      <c r="J43" s="52">
        <v>37</v>
      </c>
      <c r="K43" s="53">
        <f t="shared" si="0"/>
        <v>226.907569</v>
      </c>
      <c r="L43" s="54" t="s">
        <v>321</v>
      </c>
    </row>
    <row r="44" spans="1:12" s="55" customFormat="1" ht="19.5" customHeight="1" x14ac:dyDescent="0.3">
      <c r="A44" s="44"/>
      <c r="B44" s="45"/>
      <c r="C44" s="77"/>
      <c r="D44" s="78"/>
      <c r="E44" s="48"/>
      <c r="F44" s="49"/>
      <c r="G44" s="50" t="s">
        <v>39</v>
      </c>
      <c r="H44" s="51">
        <v>1829</v>
      </c>
      <c r="I44" s="45">
        <v>3353</v>
      </c>
      <c r="J44" s="52">
        <v>37</v>
      </c>
      <c r="K44" s="53">
        <f t="shared" si="0"/>
        <v>226.907569</v>
      </c>
      <c r="L44" s="54" t="s">
        <v>321</v>
      </c>
    </row>
    <row r="45" spans="1:12" s="55" customFormat="1" ht="19.5" customHeight="1" x14ac:dyDescent="0.3">
      <c r="A45" s="44"/>
      <c r="B45" s="45"/>
      <c r="C45" s="77"/>
      <c r="D45" s="78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/>
      <c r="B46" s="45"/>
      <c r="C46" s="77"/>
      <c r="D46" s="78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9" customFormat="1" ht="20.100000000000001" customHeight="1" x14ac:dyDescent="0.3">
      <c r="A49" s="44"/>
      <c r="B49" s="45"/>
      <c r="C49" s="46"/>
      <c r="D49" s="47"/>
      <c r="E49" s="56"/>
      <c r="F49" s="57"/>
      <c r="G49" s="50"/>
      <c r="H49" s="51"/>
      <c r="I49" s="45"/>
      <c r="J49" s="52"/>
      <c r="K49" s="53">
        <f t="shared" si="0"/>
        <v>0</v>
      </c>
      <c r="L49" s="58">
        <f>SUM(J28:J50)</f>
        <v>166</v>
      </c>
    </row>
    <row r="50" spans="1:12" s="59" customFormat="1" ht="20.100000000000001" customHeight="1" x14ac:dyDescent="0.3">
      <c r="A50" s="44"/>
      <c r="B50" s="45"/>
      <c r="C50" s="46"/>
      <c r="D50" s="47"/>
      <c r="E50" s="60"/>
      <c r="F50" s="61"/>
      <c r="G50" s="62"/>
      <c r="H50" s="51"/>
      <c r="I50" s="45"/>
      <c r="J50" s="63"/>
      <c r="K50" s="53">
        <f t="shared" si="0"/>
        <v>0</v>
      </c>
      <c r="L50" s="64">
        <f>SUM(K28:K50)</f>
        <v>1079.846481</v>
      </c>
    </row>
    <row r="51" spans="1:12" s="59" customFormat="1" ht="20.100000000000001" customHeight="1" thickBot="1" x14ac:dyDescent="0.35">
      <c r="A51" s="114"/>
      <c r="B51" s="115"/>
      <c r="C51" s="115"/>
      <c r="D51" s="115"/>
      <c r="E51" s="115"/>
      <c r="F51" s="115"/>
      <c r="G51" s="115"/>
      <c r="H51" s="115"/>
      <c r="I51" s="115"/>
      <c r="J51" s="65">
        <f>SUM(J7:J50)</f>
        <v>340</v>
      </c>
      <c r="K51" s="66">
        <f>SUM(K7:K50)</f>
        <v>2216.2970620000001</v>
      </c>
      <c r="L51" s="67"/>
    </row>
    <row r="52" spans="1:12" s="59" customFormat="1" ht="20.100000000000001" customHeight="1" thickTop="1" thickBot="1" x14ac:dyDescent="0.35">
      <c r="A52" s="116" t="s">
        <v>52</v>
      </c>
      <c r="B52" s="117"/>
      <c r="C52" s="68"/>
      <c r="D52" s="118">
        <f>J51</f>
        <v>340</v>
      </c>
      <c r="E52" s="119"/>
      <c r="F52" s="119"/>
      <c r="G52" s="120"/>
      <c r="H52" s="121"/>
      <c r="I52" s="121"/>
      <c r="J52" s="122"/>
      <c r="K52" s="119"/>
      <c r="L52" s="123"/>
    </row>
    <row r="53" spans="1:12" s="59" customFormat="1" ht="20.100000000000001" customHeight="1" x14ac:dyDescent="0.3">
      <c r="A53" s="69"/>
      <c r="B53" s="5"/>
      <c r="C53" s="5"/>
      <c r="D53" s="5"/>
      <c r="E53" s="5"/>
      <c r="F53" s="70"/>
      <c r="G53" s="5"/>
      <c r="H53" s="5"/>
      <c r="I53" s="5"/>
      <c r="J53" s="5"/>
      <c r="K53" s="5"/>
      <c r="L53" s="71"/>
    </row>
    <row r="54" spans="1:12" s="59" customFormat="1" ht="20.100000000000001" customHeight="1" x14ac:dyDescent="0.3">
      <c r="A54" s="69"/>
      <c r="B54" s="5"/>
      <c r="C54" s="5"/>
      <c r="D54" s="5"/>
      <c r="E54" s="5"/>
      <c r="F54" s="70"/>
      <c r="G54" s="5"/>
      <c r="H54" s="5"/>
      <c r="I54" s="5"/>
      <c r="J54" s="5"/>
      <c r="K54" s="5"/>
      <c r="L54" s="5"/>
    </row>
    <row r="55" spans="1:12" s="59" customFormat="1" ht="20.100000000000001" customHeight="1" x14ac:dyDescent="0.3">
      <c r="A55" s="69"/>
      <c r="B55" s="5"/>
      <c r="C55" s="5"/>
      <c r="D55" s="5"/>
      <c r="E55" s="5"/>
      <c r="F55" s="70"/>
      <c r="G55" s="5"/>
      <c r="H55" s="5"/>
      <c r="I55" s="5"/>
      <c r="J55" s="5"/>
      <c r="K55" s="5"/>
      <c r="L55" s="5"/>
    </row>
    <row r="56" spans="1:12" s="59" customFormat="1" ht="20.100000000000001" customHeight="1" x14ac:dyDescent="0.3">
      <c r="A56" s="69"/>
      <c r="B56" s="5"/>
      <c r="C56" s="5"/>
      <c r="D56" s="5"/>
      <c r="E56" s="5"/>
      <c r="F56" s="70"/>
      <c r="G56" s="5"/>
      <c r="H56" s="5"/>
      <c r="I56" s="5"/>
      <c r="J56" s="5"/>
      <c r="K56" s="5"/>
      <c r="L56" s="5"/>
    </row>
    <row r="57" spans="1:12" s="59" customFormat="1" ht="20.100000000000001" customHeight="1" x14ac:dyDescent="0.3">
      <c r="A57" s="113"/>
      <c r="B57" s="113"/>
      <c r="C57" s="5"/>
      <c r="D57" s="5"/>
      <c r="E57" s="5"/>
      <c r="F57" s="70"/>
      <c r="G57" s="5"/>
      <c r="H57" s="5"/>
      <c r="I57" s="5"/>
      <c r="J57" s="5"/>
      <c r="K57" s="5"/>
      <c r="L57" s="5"/>
    </row>
    <row r="58" spans="1:12" s="59" customFormat="1" ht="20.100000000000001" customHeight="1" x14ac:dyDescent="0.3">
      <c r="A58" s="113"/>
      <c r="B58" s="113"/>
      <c r="C58" s="5"/>
      <c r="D58" s="5"/>
      <c r="E58" s="72"/>
      <c r="F58" s="5"/>
      <c r="G58" s="5"/>
      <c r="H58" s="5"/>
      <c r="I58" s="5"/>
      <c r="J58" s="5"/>
      <c r="K58" s="5"/>
      <c r="L58" s="5"/>
    </row>
    <row r="59" spans="1:12" s="59" customFormat="1" ht="20.100000000000001" customHeight="1" x14ac:dyDescent="0.3">
      <c r="A59" s="113"/>
      <c r="B59" s="113"/>
      <c r="C59" s="5"/>
      <c r="D59" s="5"/>
      <c r="E59" s="5"/>
      <c r="F59" s="5"/>
      <c r="G59" s="73"/>
      <c r="H59" s="5"/>
      <c r="I59" s="74"/>
      <c r="J59" s="5"/>
      <c r="K59" s="5"/>
      <c r="L59" s="5"/>
    </row>
    <row r="60" spans="1:12" s="59" customFormat="1" ht="20.100000000000001" customHeight="1" x14ac:dyDescent="0.3">
      <c r="A60" s="113"/>
      <c r="B60" s="113"/>
      <c r="C60" s="5"/>
      <c r="D60" s="5"/>
      <c r="E60" s="5"/>
      <c r="F60" s="70"/>
      <c r="G60" s="5"/>
      <c r="H60" s="5"/>
      <c r="I60" s="5"/>
      <c r="J60" s="5"/>
      <c r="K60" s="5"/>
      <c r="L60" s="5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113"/>
      <c r="B62" s="113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70"/>
      <c r="G63" s="5"/>
      <c r="H63" s="72"/>
      <c r="I63" s="72"/>
      <c r="J63" s="5"/>
      <c r="K63" s="5"/>
      <c r="L63" s="5"/>
    </row>
    <row r="64" spans="1:12" ht="20.100000000000001" customHeight="1" x14ac:dyDescent="0.3">
      <c r="A64" s="113"/>
      <c r="B64" s="113"/>
      <c r="H64" s="72"/>
      <c r="I64" s="72"/>
    </row>
    <row r="65" spans="1:12" ht="20.100000000000001" customHeight="1" x14ac:dyDescent="0.3">
      <c r="H65" s="72"/>
      <c r="I65" s="72"/>
    </row>
    <row r="66" spans="1:12" ht="20.100000000000001" customHeight="1" x14ac:dyDescent="0.3">
      <c r="H66" s="72"/>
      <c r="I66" s="72"/>
    </row>
    <row r="67" spans="1:12" ht="20.100000000000001" customHeight="1" x14ac:dyDescent="0.3">
      <c r="A67" s="113"/>
      <c r="B67" s="113"/>
      <c r="H67" s="72"/>
      <c r="I67" s="72"/>
    </row>
    <row r="68" spans="1:12" ht="20.100000000000001" customHeight="1" x14ac:dyDescent="0.3">
      <c r="A68" s="113"/>
      <c r="B68" s="113"/>
      <c r="H68" s="72"/>
      <c r="I68" s="72"/>
    </row>
    <row r="69" spans="1:12" ht="20.100000000000001" customHeight="1" x14ac:dyDescent="0.3">
      <c r="H69" s="72"/>
      <c r="I69" s="72"/>
    </row>
    <row r="70" spans="1:12" ht="20.100000000000001" customHeight="1" x14ac:dyDescent="0.3">
      <c r="H70" s="72"/>
      <c r="I70" s="72"/>
    </row>
    <row r="71" spans="1:12" ht="20.100000000000001" customHeight="1" x14ac:dyDescent="0.3">
      <c r="H71" s="72"/>
      <c r="I71" s="72"/>
    </row>
    <row r="72" spans="1:12" s="72" customFormat="1" ht="20.100000000000001" customHeight="1" x14ac:dyDescent="0.3">
      <c r="A72" s="69"/>
      <c r="B72" s="5"/>
      <c r="C72" s="5"/>
      <c r="D72" s="5"/>
      <c r="E72" s="5"/>
      <c r="F72" s="70"/>
      <c r="G72" s="5"/>
      <c r="J72" s="5"/>
      <c r="K72" s="5"/>
      <c r="L72" s="5"/>
    </row>
    <row r="73" spans="1:12" s="72" customFormat="1" ht="20.100000000000001" customHeight="1" x14ac:dyDescent="0.3">
      <c r="A73" s="69"/>
      <c r="B73" s="5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75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75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75" customFormat="1" ht="19.5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72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72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ht="19.5" customHeight="1" x14ac:dyDescent="0.3"/>
    <row r="80" spans="1:12" ht="19.5" customHeight="1" x14ac:dyDescent="0.3"/>
    <row r="81" spans="2:12" ht="19.5" customHeight="1" x14ac:dyDescent="0.3"/>
    <row r="82" spans="2:12" s="69" customFormat="1" ht="19.5" customHeight="1" x14ac:dyDescent="0.3"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2:12" s="69" customFormat="1" ht="19.5" customHeight="1" x14ac:dyDescent="0.3"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2:12" s="69" customFormat="1" ht="19.5" customHeight="1" x14ac:dyDescent="0.3"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2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2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2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2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2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2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2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2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2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2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2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2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ht="19.5" customHeight="1" x14ac:dyDescent="0.3"/>
    <row r="99" spans="2:12" ht="19.5" customHeight="1" x14ac:dyDescent="0.3"/>
    <row r="100" spans="2:12" ht="19.5" customHeight="1" x14ac:dyDescent="0.3"/>
    <row r="101" spans="2:12" ht="19.5" customHeight="1" x14ac:dyDescent="0.3"/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>
        <v>2</v>
      </c>
      <c r="C142" s="5"/>
      <c r="D142" s="5"/>
      <c r="E142" s="5"/>
      <c r="F142" s="70"/>
      <c r="G142" s="5"/>
      <c r="H142" s="5"/>
      <c r="I142" s="5"/>
      <c r="J142" s="5"/>
      <c r="K142" s="5"/>
      <c r="L142" s="5"/>
    </row>
  </sheetData>
  <mergeCells count="30">
    <mergeCell ref="A67:B67"/>
    <mergeCell ref="A68:B68"/>
    <mergeCell ref="A58:B58"/>
    <mergeCell ref="A59:B59"/>
    <mergeCell ref="A60:B60"/>
    <mergeCell ref="A62:B62"/>
    <mergeCell ref="A63:B63"/>
    <mergeCell ref="A64:B64"/>
    <mergeCell ref="A57:B57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1:I51"/>
    <mergeCell ref="A52:B52"/>
    <mergeCell ref="D52:G52"/>
    <mergeCell ref="H52:J52"/>
    <mergeCell ref="K52:L52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L186"/>
  <sheetViews>
    <sheetView view="pageBreakPreview" topLeftCell="A12" zoomScale="85" zoomScaleSheetLayoutView="85" workbookViewId="0">
      <selection activeCell="A43" sqref="A43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46044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94" si="0">(H7/1000*I7/1000)*J7</f>
        <v>0</v>
      </c>
      <c r="L7" s="26">
        <f>SUM(J7:J55)</f>
        <v>111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SUM(K7:K55)</f>
        <v>741.46474099999978</v>
      </c>
    </row>
    <row r="9" spans="1:12" s="27" customFormat="1" ht="19.5" customHeight="1" x14ac:dyDescent="0.3">
      <c r="A9" s="28" t="s">
        <v>697</v>
      </c>
      <c r="B9" s="16" t="s">
        <v>698</v>
      </c>
      <c r="C9" s="17">
        <v>5</v>
      </c>
      <c r="D9" s="31" t="s">
        <v>699</v>
      </c>
      <c r="E9" s="41">
        <v>2</v>
      </c>
      <c r="F9" s="42">
        <v>1.48</v>
      </c>
      <c r="G9" s="34" t="s">
        <v>701</v>
      </c>
      <c r="H9" s="35">
        <v>1829</v>
      </c>
      <c r="I9" s="36">
        <v>3353</v>
      </c>
      <c r="J9" s="37">
        <v>1</v>
      </c>
      <c r="K9" s="38">
        <f t="shared" si="0"/>
        <v>6.1326369999999999</v>
      </c>
      <c r="L9" s="39"/>
    </row>
    <row r="10" spans="1:12" s="27" customFormat="1" ht="19.5" customHeight="1" x14ac:dyDescent="0.3">
      <c r="A10" s="28"/>
      <c r="B10" s="16"/>
      <c r="C10" s="17">
        <v>22</v>
      </c>
      <c r="D10" s="18" t="s">
        <v>700</v>
      </c>
      <c r="E10" s="81">
        <v>3</v>
      </c>
      <c r="F10" s="82">
        <v>3.28</v>
      </c>
      <c r="G10" s="34" t="s">
        <v>702</v>
      </c>
      <c r="H10" s="35">
        <v>1829</v>
      </c>
      <c r="I10" s="36">
        <v>3353</v>
      </c>
      <c r="J10" s="37">
        <v>1</v>
      </c>
      <c r="K10" s="38">
        <f t="shared" si="0"/>
        <v>6.1326369999999999</v>
      </c>
      <c r="L10" s="39"/>
    </row>
    <row r="11" spans="1:12" s="27" customFormat="1" ht="19.5" customHeight="1" x14ac:dyDescent="0.3">
      <c r="A11" s="28"/>
      <c r="B11" s="16"/>
      <c r="C11" s="17"/>
      <c r="D11" s="31"/>
      <c r="E11" s="41"/>
      <c r="F11" s="4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703</v>
      </c>
      <c r="B12" s="16" t="s">
        <v>704</v>
      </c>
      <c r="C12" s="17">
        <v>24</v>
      </c>
      <c r="D12" s="18" t="s">
        <v>45</v>
      </c>
      <c r="E12" s="81">
        <v>5</v>
      </c>
      <c r="F12" s="82">
        <v>7.3</v>
      </c>
      <c r="G12" s="34" t="s">
        <v>705</v>
      </c>
      <c r="H12" s="35">
        <v>1981</v>
      </c>
      <c r="I12" s="36">
        <v>3353</v>
      </c>
      <c r="J12" s="37">
        <v>3</v>
      </c>
      <c r="K12" s="38">
        <f t="shared" si="0"/>
        <v>19.926879</v>
      </c>
      <c r="L12" s="39"/>
    </row>
    <row r="13" spans="1:12" s="27" customFormat="1" ht="19.5" customHeight="1" x14ac:dyDescent="0.3">
      <c r="A13" s="28"/>
      <c r="B13" s="16"/>
      <c r="C13" s="17">
        <v>24</v>
      </c>
      <c r="D13" s="31" t="s">
        <v>17</v>
      </c>
      <c r="E13" s="41">
        <v>8</v>
      </c>
      <c r="F13" s="42">
        <v>11.49</v>
      </c>
      <c r="G13" s="34" t="s">
        <v>701</v>
      </c>
      <c r="H13" s="35">
        <v>1981</v>
      </c>
      <c r="I13" s="36">
        <v>3353</v>
      </c>
      <c r="J13" s="37">
        <v>2</v>
      </c>
      <c r="K13" s="38">
        <f t="shared" si="0"/>
        <v>13.284586000000001</v>
      </c>
      <c r="L13" s="39"/>
    </row>
    <row r="14" spans="1:12" s="27" customFormat="1" ht="19.5" customHeight="1" x14ac:dyDescent="0.3">
      <c r="A14" s="28"/>
      <c r="B14" s="16"/>
      <c r="C14" s="17">
        <v>24</v>
      </c>
      <c r="D14" s="18" t="s">
        <v>45</v>
      </c>
      <c r="E14" s="81">
        <v>10</v>
      </c>
      <c r="F14" s="82">
        <v>11.3</v>
      </c>
      <c r="G14" s="34" t="s">
        <v>706</v>
      </c>
      <c r="H14" s="35">
        <v>1981</v>
      </c>
      <c r="I14" s="36">
        <v>3353</v>
      </c>
      <c r="J14" s="37">
        <v>5</v>
      </c>
      <c r="K14" s="38">
        <f t="shared" si="0"/>
        <v>33.211465000000004</v>
      </c>
      <c r="L14" s="39"/>
    </row>
    <row r="15" spans="1:12" s="27" customFormat="1" ht="19.5" customHeight="1" x14ac:dyDescent="0.3">
      <c r="A15" s="28"/>
      <c r="B15" s="16"/>
      <c r="C15" s="17"/>
      <c r="D15" s="31"/>
      <c r="E15" s="81"/>
      <c r="F15" s="8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707</v>
      </c>
      <c r="B16" s="16" t="s">
        <v>704</v>
      </c>
      <c r="C16" s="17">
        <v>24</v>
      </c>
      <c r="D16" s="18" t="s">
        <v>45</v>
      </c>
      <c r="E16" s="81">
        <v>6</v>
      </c>
      <c r="F16" s="82">
        <v>5.23</v>
      </c>
      <c r="G16" s="34" t="s">
        <v>705</v>
      </c>
      <c r="H16" s="35">
        <v>1981</v>
      </c>
      <c r="I16" s="36">
        <v>3048</v>
      </c>
      <c r="J16" s="37">
        <v>1</v>
      </c>
      <c r="K16" s="38">
        <f t="shared" si="0"/>
        <v>6.038088000000001</v>
      </c>
      <c r="L16" s="39"/>
    </row>
    <row r="17" spans="1:12" s="27" customFormat="1" ht="19.5" customHeight="1" x14ac:dyDescent="0.3">
      <c r="A17" s="28"/>
      <c r="B17" s="16"/>
      <c r="C17" s="17">
        <v>24</v>
      </c>
      <c r="D17" s="31" t="s">
        <v>17</v>
      </c>
      <c r="E17" s="81">
        <v>9</v>
      </c>
      <c r="F17" s="82">
        <v>17.11</v>
      </c>
      <c r="G17" s="34" t="s">
        <v>701</v>
      </c>
      <c r="H17" s="35">
        <v>1981</v>
      </c>
      <c r="I17" s="36">
        <v>3353</v>
      </c>
      <c r="J17" s="37">
        <v>3</v>
      </c>
      <c r="K17" s="38">
        <f t="shared" si="0"/>
        <v>19.926879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706</v>
      </c>
      <c r="H18" s="35">
        <v>1981</v>
      </c>
      <c r="I18" s="36">
        <v>3353</v>
      </c>
      <c r="J18" s="37">
        <v>4</v>
      </c>
      <c r="K18" s="38">
        <f t="shared" si="0"/>
        <v>26.569172000000002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708</v>
      </c>
      <c r="B20" s="16" t="s">
        <v>704</v>
      </c>
      <c r="C20" s="17">
        <v>24</v>
      </c>
      <c r="D20" s="18" t="s">
        <v>45</v>
      </c>
      <c r="E20" s="41">
        <v>9</v>
      </c>
      <c r="F20" s="42">
        <v>13.13</v>
      </c>
      <c r="G20" s="34" t="s">
        <v>705</v>
      </c>
      <c r="H20" s="35">
        <v>1981</v>
      </c>
      <c r="I20" s="36">
        <v>3353</v>
      </c>
      <c r="J20" s="37">
        <v>2</v>
      </c>
      <c r="K20" s="38">
        <f t="shared" si="0"/>
        <v>13.284586000000001</v>
      </c>
      <c r="L20" s="39"/>
    </row>
    <row r="21" spans="1:12" s="27" customFormat="1" ht="19.5" customHeight="1" x14ac:dyDescent="0.3">
      <c r="A21" s="28"/>
      <c r="B21" s="16"/>
      <c r="C21" s="17">
        <v>24</v>
      </c>
      <c r="D21" s="31" t="s">
        <v>17</v>
      </c>
      <c r="E21" s="41">
        <v>10</v>
      </c>
      <c r="F21" s="42">
        <v>18.34</v>
      </c>
      <c r="G21" s="34" t="s">
        <v>701</v>
      </c>
      <c r="H21" s="35">
        <v>1981</v>
      </c>
      <c r="I21" s="36">
        <v>3353</v>
      </c>
      <c r="J21" s="37">
        <v>3</v>
      </c>
      <c r="K21" s="38">
        <f t="shared" si="0"/>
        <v>19.926879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 t="s">
        <v>706</v>
      </c>
      <c r="H22" s="35">
        <v>1981</v>
      </c>
      <c r="I22" s="36">
        <v>3353</v>
      </c>
      <c r="J22" s="37">
        <v>5</v>
      </c>
      <c r="K22" s="38">
        <f t="shared" si="0"/>
        <v>33.211465000000004</v>
      </c>
      <c r="L22" s="39"/>
    </row>
    <row r="23" spans="1:12" s="27" customFormat="1" ht="19.5" customHeight="1" x14ac:dyDescent="0.3">
      <c r="A23" s="28"/>
      <c r="B23" s="16"/>
      <c r="C23" s="17"/>
      <c r="D23" s="31"/>
      <c r="E23" s="81"/>
      <c r="F23" s="8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 t="s">
        <v>709</v>
      </c>
      <c r="B24" s="16" t="s">
        <v>710</v>
      </c>
      <c r="C24" s="17">
        <v>22</v>
      </c>
      <c r="D24" s="18" t="s">
        <v>307</v>
      </c>
      <c r="E24" s="41">
        <v>11</v>
      </c>
      <c r="F24" s="42">
        <v>9.17</v>
      </c>
      <c r="G24" s="34" t="s">
        <v>705</v>
      </c>
      <c r="H24" s="35">
        <v>1829</v>
      </c>
      <c r="I24" s="36">
        <v>3353</v>
      </c>
      <c r="J24" s="37">
        <v>1</v>
      </c>
      <c r="K24" s="38">
        <f t="shared" si="0"/>
        <v>6.1326369999999999</v>
      </c>
      <c r="L24" s="39" t="s">
        <v>712</v>
      </c>
    </row>
    <row r="25" spans="1:12" s="27" customFormat="1" ht="19.5" customHeight="1" x14ac:dyDescent="0.3">
      <c r="A25" s="28"/>
      <c r="B25" s="16"/>
      <c r="C25" s="17">
        <v>22</v>
      </c>
      <c r="D25" s="18" t="s">
        <v>320</v>
      </c>
      <c r="E25" s="41">
        <v>11</v>
      </c>
      <c r="F25" s="42">
        <v>9.17</v>
      </c>
      <c r="G25" s="34" t="s">
        <v>701</v>
      </c>
      <c r="H25" s="35">
        <v>1829</v>
      </c>
      <c r="I25" s="36">
        <v>3353</v>
      </c>
      <c r="J25" s="37">
        <v>1</v>
      </c>
      <c r="K25" s="38">
        <f t="shared" si="0"/>
        <v>6.1326369999999999</v>
      </c>
      <c r="L25" s="39" t="s">
        <v>712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 t="s">
        <v>711</v>
      </c>
      <c r="H26" s="35">
        <v>1829</v>
      </c>
      <c r="I26" s="36">
        <v>3353</v>
      </c>
      <c r="J26" s="37">
        <v>3</v>
      </c>
      <c r="K26" s="38">
        <f t="shared" si="0"/>
        <v>18.397911000000001</v>
      </c>
      <c r="L26" s="39" t="s">
        <v>712</v>
      </c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 t="s">
        <v>713</v>
      </c>
      <c r="B28" s="16" t="s">
        <v>710</v>
      </c>
      <c r="C28" s="17">
        <v>22</v>
      </c>
      <c r="D28" s="18" t="s">
        <v>307</v>
      </c>
      <c r="E28" s="41">
        <v>15</v>
      </c>
      <c r="F28" s="42">
        <v>13.03</v>
      </c>
      <c r="G28" s="34" t="s">
        <v>705</v>
      </c>
      <c r="H28" s="35">
        <v>1829</v>
      </c>
      <c r="I28" s="36">
        <v>3353</v>
      </c>
      <c r="J28" s="37">
        <v>3</v>
      </c>
      <c r="K28" s="38">
        <f t="shared" si="0"/>
        <v>18.397911000000001</v>
      </c>
      <c r="L28" s="39" t="s">
        <v>712</v>
      </c>
    </row>
    <row r="29" spans="1:12" s="27" customFormat="1" ht="19.5" customHeight="1" x14ac:dyDescent="0.3">
      <c r="A29" s="28"/>
      <c r="B29" s="16"/>
      <c r="C29" s="17">
        <v>22</v>
      </c>
      <c r="D29" s="18" t="s">
        <v>320</v>
      </c>
      <c r="E29" s="41">
        <v>15</v>
      </c>
      <c r="F29" s="42">
        <v>13.03</v>
      </c>
      <c r="G29" s="34" t="s">
        <v>701</v>
      </c>
      <c r="H29" s="35">
        <v>1829</v>
      </c>
      <c r="I29" s="36">
        <v>3353</v>
      </c>
      <c r="J29" s="37">
        <v>3</v>
      </c>
      <c r="K29" s="38">
        <f t="shared" si="0"/>
        <v>18.397911000000001</v>
      </c>
      <c r="L29" s="39" t="s">
        <v>712</v>
      </c>
    </row>
    <row r="30" spans="1:12" s="27" customFormat="1" ht="19.5" customHeight="1" x14ac:dyDescent="0.3">
      <c r="A30" s="28"/>
      <c r="B30" s="16"/>
      <c r="C30" s="17"/>
      <c r="D30" s="18"/>
      <c r="E30" s="41"/>
      <c r="F30" s="42"/>
      <c r="G30" s="34" t="s">
        <v>711</v>
      </c>
      <c r="H30" s="35">
        <v>1829</v>
      </c>
      <c r="I30" s="36">
        <v>3353</v>
      </c>
      <c r="J30" s="37">
        <v>6</v>
      </c>
      <c r="K30" s="38">
        <f t="shared" si="0"/>
        <v>36.795822000000001</v>
      </c>
      <c r="L30" s="39" t="s">
        <v>712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 t="s">
        <v>714</v>
      </c>
      <c r="B32" s="16" t="s">
        <v>715</v>
      </c>
      <c r="C32" s="17">
        <v>22</v>
      </c>
      <c r="D32" s="18" t="s">
        <v>716</v>
      </c>
      <c r="E32" s="41">
        <v>19</v>
      </c>
      <c r="F32" s="42">
        <v>24.41</v>
      </c>
      <c r="G32" s="34" t="s">
        <v>701</v>
      </c>
      <c r="H32" s="35">
        <v>1829</v>
      </c>
      <c r="I32" s="36">
        <v>3353</v>
      </c>
      <c r="J32" s="37">
        <v>9</v>
      </c>
      <c r="K32" s="38">
        <f t="shared" si="0"/>
        <v>55.193733000000002</v>
      </c>
      <c r="L32" s="39"/>
    </row>
    <row r="33" spans="1:12" s="27" customFormat="1" ht="19.5" customHeight="1" x14ac:dyDescent="0.3">
      <c r="A33" s="28"/>
      <c r="B33" s="16"/>
      <c r="C33" s="17">
        <v>22</v>
      </c>
      <c r="D33" s="18" t="s">
        <v>700</v>
      </c>
      <c r="E33" s="41">
        <v>17</v>
      </c>
      <c r="F33" s="42">
        <v>16.89</v>
      </c>
      <c r="G33" s="34" t="s">
        <v>702</v>
      </c>
      <c r="H33" s="35">
        <v>1829</v>
      </c>
      <c r="I33" s="36">
        <v>3353</v>
      </c>
      <c r="J33" s="37">
        <v>8</v>
      </c>
      <c r="K33" s="38">
        <f t="shared" si="0"/>
        <v>49.061095999999999</v>
      </c>
      <c r="L33" s="39"/>
    </row>
    <row r="34" spans="1:12" s="27" customFormat="1" ht="19.5" customHeight="1" x14ac:dyDescent="0.3">
      <c r="A34" s="28"/>
      <c r="B34" s="16"/>
      <c r="C34" s="17">
        <v>16</v>
      </c>
      <c r="D34" s="18" t="s">
        <v>717</v>
      </c>
      <c r="E34" s="41">
        <v>4</v>
      </c>
      <c r="F34" s="42">
        <v>1.85</v>
      </c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16"/>
      <c r="C35" s="17"/>
      <c r="D35" s="31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 t="s">
        <v>718</v>
      </c>
      <c r="B36" s="16" t="s">
        <v>710</v>
      </c>
      <c r="C36" s="17">
        <v>22</v>
      </c>
      <c r="D36" s="18" t="s">
        <v>307</v>
      </c>
      <c r="E36" s="41">
        <v>17</v>
      </c>
      <c r="F36" s="42">
        <v>13.69</v>
      </c>
      <c r="G36" s="34" t="s">
        <v>705</v>
      </c>
      <c r="H36" s="35">
        <v>1829</v>
      </c>
      <c r="I36" s="36">
        <v>3353</v>
      </c>
      <c r="J36" s="37">
        <v>2</v>
      </c>
      <c r="K36" s="38">
        <f t="shared" si="0"/>
        <v>12.265274</v>
      </c>
      <c r="L36" s="39" t="s">
        <v>712</v>
      </c>
    </row>
    <row r="37" spans="1:12" s="27" customFormat="1" ht="19.5" customHeight="1" x14ac:dyDescent="0.3">
      <c r="A37" s="28"/>
      <c r="B37" s="16"/>
      <c r="C37" s="17">
        <v>22</v>
      </c>
      <c r="D37" s="18" t="s">
        <v>320</v>
      </c>
      <c r="E37" s="41">
        <v>17</v>
      </c>
      <c r="F37" s="42">
        <v>13.69</v>
      </c>
      <c r="G37" s="34" t="s">
        <v>701</v>
      </c>
      <c r="H37" s="35">
        <v>1829</v>
      </c>
      <c r="I37" s="36">
        <v>3353</v>
      </c>
      <c r="J37" s="37">
        <v>2</v>
      </c>
      <c r="K37" s="38">
        <f t="shared" si="0"/>
        <v>12.265274</v>
      </c>
      <c r="L37" s="39" t="s">
        <v>712</v>
      </c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 t="s">
        <v>711</v>
      </c>
      <c r="H38" s="35">
        <v>1829</v>
      </c>
      <c r="I38" s="36">
        <v>3353</v>
      </c>
      <c r="J38" s="37">
        <v>5</v>
      </c>
      <c r="K38" s="38">
        <f t="shared" si="0"/>
        <v>30.663184999999999</v>
      </c>
      <c r="L38" s="39" t="s">
        <v>712</v>
      </c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38">
        <f t="shared" si="0"/>
        <v>0</v>
      </c>
      <c r="L39" s="39"/>
    </row>
    <row r="40" spans="1:12" s="27" customFormat="1" ht="19.5" customHeight="1" x14ac:dyDescent="0.3">
      <c r="A40" s="28" t="s">
        <v>719</v>
      </c>
      <c r="B40" s="16"/>
      <c r="C40" s="17"/>
      <c r="D40" s="18"/>
      <c r="E40" s="41"/>
      <c r="F40" s="42"/>
      <c r="G40" s="34"/>
      <c r="H40" s="35"/>
      <c r="I40" s="36"/>
      <c r="J40" s="37"/>
      <c r="K40" s="38">
        <f t="shared" si="0"/>
        <v>0</v>
      </c>
      <c r="L40" s="39"/>
    </row>
    <row r="41" spans="1:12" s="27" customFormat="1" ht="19.5" customHeight="1" x14ac:dyDescent="0.3">
      <c r="A41" s="28" t="s">
        <v>741</v>
      </c>
      <c r="B41" s="16" t="s">
        <v>742</v>
      </c>
      <c r="C41" s="17">
        <v>27.76</v>
      </c>
      <c r="D41" s="18" t="s">
        <v>744</v>
      </c>
      <c r="E41" s="41">
        <v>210</v>
      </c>
      <c r="F41" s="42">
        <v>121.8</v>
      </c>
      <c r="G41" s="34" t="s">
        <v>743</v>
      </c>
      <c r="H41" s="35">
        <v>1829</v>
      </c>
      <c r="I41" s="36">
        <v>3353</v>
      </c>
      <c r="J41" s="37">
        <v>20</v>
      </c>
      <c r="K41" s="38">
        <f t="shared" si="0"/>
        <v>122.65273999999999</v>
      </c>
      <c r="L41" s="39"/>
    </row>
    <row r="42" spans="1:12" s="27" customFormat="1" ht="19.5" customHeight="1" x14ac:dyDescent="0.3">
      <c r="A42" s="28"/>
      <c r="B42" s="16"/>
      <c r="C42" s="17"/>
      <c r="D42" s="18"/>
      <c r="E42" s="41"/>
      <c r="F42" s="42"/>
      <c r="G42" s="34"/>
      <c r="H42" s="35"/>
      <c r="I42" s="36"/>
      <c r="J42" s="37"/>
      <c r="K42" s="38">
        <f t="shared" si="0"/>
        <v>0</v>
      </c>
      <c r="L42" s="39"/>
    </row>
    <row r="43" spans="1:12" s="27" customFormat="1" ht="19.5" customHeight="1" x14ac:dyDescent="0.3">
      <c r="A43" s="28" t="s">
        <v>745</v>
      </c>
      <c r="B43" s="16" t="s">
        <v>746</v>
      </c>
      <c r="C43" s="17">
        <v>12</v>
      </c>
      <c r="D43" s="18" t="s">
        <v>761</v>
      </c>
      <c r="E43" s="41">
        <v>8</v>
      </c>
      <c r="F43" s="42">
        <v>15.16</v>
      </c>
      <c r="G43" s="34" t="s">
        <v>747</v>
      </c>
      <c r="H43" s="35">
        <v>2743</v>
      </c>
      <c r="I43" s="36">
        <v>3353</v>
      </c>
      <c r="J43" s="37">
        <v>2</v>
      </c>
      <c r="K43" s="38">
        <f t="shared" si="0"/>
        <v>18.394558</v>
      </c>
      <c r="L43" s="39"/>
    </row>
    <row r="44" spans="1:12" s="27" customFormat="1" ht="19.5" customHeight="1" x14ac:dyDescent="0.3">
      <c r="A44" s="28"/>
      <c r="B44" s="16"/>
      <c r="C44" s="17"/>
      <c r="D44" s="18"/>
      <c r="E44" s="41"/>
      <c r="F44" s="42"/>
      <c r="G44" s="34"/>
      <c r="H44" s="35"/>
      <c r="I44" s="36"/>
      <c r="J44" s="37"/>
      <c r="K44" s="38">
        <f t="shared" si="0"/>
        <v>0</v>
      </c>
      <c r="L44" s="39"/>
    </row>
    <row r="45" spans="1:12" s="27" customFormat="1" ht="19.5" customHeight="1" x14ac:dyDescent="0.3">
      <c r="A45" s="28" t="s">
        <v>748</v>
      </c>
      <c r="B45" s="16" t="s">
        <v>749</v>
      </c>
      <c r="C45" s="17">
        <v>12</v>
      </c>
      <c r="D45" s="18" t="s">
        <v>761</v>
      </c>
      <c r="E45" s="41">
        <v>96</v>
      </c>
      <c r="F45" s="42">
        <v>123.75</v>
      </c>
      <c r="G45" s="34" t="s">
        <v>747</v>
      </c>
      <c r="H45" s="35">
        <v>2743</v>
      </c>
      <c r="I45" s="36">
        <v>3353</v>
      </c>
      <c r="J45" s="37">
        <v>7</v>
      </c>
      <c r="K45" s="38">
        <f t="shared" si="0"/>
        <v>64.380953000000005</v>
      </c>
      <c r="L45" s="39"/>
    </row>
    <row r="46" spans="1:12" s="27" customFormat="1" ht="19.5" customHeight="1" x14ac:dyDescent="0.3">
      <c r="A46" s="28"/>
      <c r="B46" s="16"/>
      <c r="C46" s="17"/>
      <c r="D46" s="18"/>
      <c r="E46" s="41"/>
      <c r="F46" s="42"/>
      <c r="G46" s="34" t="s">
        <v>571</v>
      </c>
      <c r="H46" s="35">
        <v>2438</v>
      </c>
      <c r="I46" s="36">
        <v>3048</v>
      </c>
      <c r="J46" s="37">
        <v>6</v>
      </c>
      <c r="K46" s="38">
        <f t="shared" si="0"/>
        <v>44.586144000000004</v>
      </c>
      <c r="L46" s="39"/>
    </row>
    <row r="47" spans="1:12" s="27" customFormat="1" ht="19.5" customHeight="1" x14ac:dyDescent="0.3">
      <c r="A47" s="28"/>
      <c r="B47" s="16"/>
      <c r="C47" s="17"/>
      <c r="D47" s="18"/>
      <c r="E47" s="41"/>
      <c r="F47" s="42"/>
      <c r="G47" s="34" t="s">
        <v>571</v>
      </c>
      <c r="H47" s="35">
        <v>2743</v>
      </c>
      <c r="I47" s="36">
        <v>3658</v>
      </c>
      <c r="J47" s="37">
        <v>3</v>
      </c>
      <c r="K47" s="38">
        <f t="shared" si="0"/>
        <v>30.101682</v>
      </c>
      <c r="L47" s="39"/>
    </row>
    <row r="48" spans="1:12" s="27" customFormat="1" ht="19.5" customHeight="1" x14ac:dyDescent="0.3">
      <c r="A48" s="28"/>
      <c r="B48" s="16"/>
      <c r="C48" s="17"/>
      <c r="D48" s="18"/>
      <c r="E48" s="41"/>
      <c r="F48" s="42"/>
      <c r="G48" s="34"/>
      <c r="H48" s="35"/>
      <c r="I48" s="36"/>
      <c r="J48" s="37"/>
      <c r="K48" s="38">
        <f t="shared" si="0"/>
        <v>0</v>
      </c>
      <c r="L48" s="39"/>
    </row>
    <row r="49" spans="1:12" s="27" customFormat="1" ht="19.5" customHeight="1" x14ac:dyDescent="0.3">
      <c r="A49" s="28"/>
      <c r="B49" s="16"/>
      <c r="C49" s="17"/>
      <c r="D49" s="18"/>
      <c r="E49" s="41"/>
      <c r="F49" s="42"/>
      <c r="G49" s="34"/>
      <c r="H49" s="35"/>
      <c r="I49" s="36"/>
      <c r="J49" s="37"/>
      <c r="K49" s="38">
        <f t="shared" si="0"/>
        <v>0</v>
      </c>
      <c r="L49" s="39"/>
    </row>
    <row r="50" spans="1:12" s="27" customFormat="1" ht="19.5" customHeight="1" x14ac:dyDescent="0.3">
      <c r="A50" s="28"/>
      <c r="B50" s="16"/>
      <c r="C50" s="17"/>
      <c r="D50" s="18"/>
      <c r="E50" s="41"/>
      <c r="F50" s="42"/>
      <c r="G50" s="34"/>
      <c r="H50" s="35"/>
      <c r="I50" s="36"/>
      <c r="J50" s="37"/>
      <c r="K50" s="38">
        <f t="shared" si="0"/>
        <v>0</v>
      </c>
      <c r="L50" s="39"/>
    </row>
    <row r="51" spans="1:12" s="27" customFormat="1" ht="19.5" customHeight="1" x14ac:dyDescent="0.3">
      <c r="A51" s="28"/>
      <c r="B51" s="16"/>
      <c r="C51" s="17"/>
      <c r="D51" s="18"/>
      <c r="E51" s="41"/>
      <c r="F51" s="42"/>
      <c r="G51" s="34"/>
      <c r="H51" s="35"/>
      <c r="I51" s="36"/>
      <c r="J51" s="37"/>
      <c r="K51" s="38">
        <f t="shared" si="0"/>
        <v>0</v>
      </c>
      <c r="L51" s="39"/>
    </row>
    <row r="52" spans="1:12" s="27" customFormat="1" ht="19.5" customHeight="1" x14ac:dyDescent="0.3">
      <c r="A52" s="28"/>
      <c r="B52" s="16"/>
      <c r="C52" s="17"/>
      <c r="D52" s="31"/>
      <c r="E52" s="41"/>
      <c r="F52" s="42"/>
      <c r="G52" s="34"/>
      <c r="H52" s="35"/>
      <c r="I52" s="36"/>
      <c r="J52" s="37"/>
      <c r="K52" s="38">
        <f t="shared" si="0"/>
        <v>0</v>
      </c>
      <c r="L52" s="39"/>
    </row>
    <row r="53" spans="1:12" s="27" customFormat="1" ht="19.5" customHeight="1" x14ac:dyDescent="0.3">
      <c r="A53" s="28"/>
      <c r="B53" s="16"/>
      <c r="C53" s="17"/>
      <c r="D53" s="31"/>
      <c r="E53" s="41"/>
      <c r="F53" s="42"/>
      <c r="G53" s="34"/>
      <c r="H53" s="35"/>
      <c r="I53" s="36"/>
      <c r="J53" s="37"/>
      <c r="K53" s="38">
        <f t="shared" si="0"/>
        <v>0</v>
      </c>
      <c r="L53" s="39"/>
    </row>
    <row r="54" spans="1:12" s="27" customFormat="1" ht="19.5" customHeight="1" x14ac:dyDescent="0.3">
      <c r="A54" s="28"/>
      <c r="B54" s="16"/>
      <c r="C54" s="17"/>
      <c r="D54" s="31"/>
      <c r="E54" s="41"/>
      <c r="F54" s="42"/>
      <c r="G54" s="34"/>
      <c r="H54" s="35"/>
      <c r="I54" s="36"/>
      <c r="J54" s="37"/>
      <c r="K54" s="38">
        <f t="shared" si="0"/>
        <v>0</v>
      </c>
      <c r="L54" s="39"/>
    </row>
    <row r="55" spans="1:12" s="27" customFormat="1" ht="19.5" customHeight="1" x14ac:dyDescent="0.3">
      <c r="A55" s="28"/>
      <c r="B55" s="29"/>
      <c r="C55" s="30"/>
      <c r="D55" s="31"/>
      <c r="E55" s="41"/>
      <c r="F55" s="42"/>
      <c r="G55" s="43"/>
      <c r="H55" s="35"/>
      <c r="I55" s="36"/>
      <c r="J55" s="37"/>
      <c r="K55" s="38">
        <f t="shared" si="0"/>
        <v>0</v>
      </c>
      <c r="L55" s="39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720</v>
      </c>
      <c r="B57" s="76" t="s">
        <v>721</v>
      </c>
      <c r="C57" s="46">
        <v>26</v>
      </c>
      <c r="D57" s="47" t="s">
        <v>722</v>
      </c>
      <c r="E57" s="48">
        <v>64</v>
      </c>
      <c r="F57" s="49">
        <v>43.25</v>
      </c>
      <c r="G57" s="50" t="s">
        <v>701</v>
      </c>
      <c r="H57" s="51">
        <v>2438</v>
      </c>
      <c r="I57" s="45">
        <v>3048</v>
      </c>
      <c r="J57" s="52">
        <v>6</v>
      </c>
      <c r="K57" s="53">
        <f t="shared" si="0"/>
        <v>44.586144000000004</v>
      </c>
      <c r="L57" s="54" t="s">
        <v>723</v>
      </c>
    </row>
    <row r="58" spans="1:12" s="55" customFormat="1" ht="19.5" customHeight="1" x14ac:dyDescent="0.3">
      <c r="A58" s="44"/>
      <c r="B58" s="45"/>
      <c r="C58" s="77"/>
      <c r="D58" s="78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724</v>
      </c>
      <c r="B59" s="76" t="s">
        <v>721</v>
      </c>
      <c r="C59" s="46">
        <v>26</v>
      </c>
      <c r="D59" s="47" t="s">
        <v>722</v>
      </c>
      <c r="E59" s="48">
        <v>16</v>
      </c>
      <c r="F59" s="49">
        <v>11.26</v>
      </c>
      <c r="G59" s="50" t="s">
        <v>726</v>
      </c>
      <c r="H59" s="51">
        <v>2438</v>
      </c>
      <c r="I59" s="45">
        <v>3353</v>
      </c>
      <c r="J59" s="52">
        <v>1</v>
      </c>
      <c r="K59" s="53">
        <f t="shared" si="0"/>
        <v>8.174614</v>
      </c>
      <c r="L59" s="54"/>
    </row>
    <row r="60" spans="1:12" s="55" customFormat="1" ht="19.5" customHeight="1" x14ac:dyDescent="0.3">
      <c r="A60" s="44"/>
      <c r="B60" s="76"/>
      <c r="C60" s="46">
        <v>24</v>
      </c>
      <c r="D60" s="47" t="s">
        <v>725</v>
      </c>
      <c r="E60" s="48">
        <v>4</v>
      </c>
      <c r="F60" s="49">
        <v>1.1200000000000001</v>
      </c>
      <c r="G60" s="50" t="s">
        <v>701</v>
      </c>
      <c r="H60" s="51">
        <v>1829</v>
      </c>
      <c r="I60" s="45">
        <v>3353</v>
      </c>
      <c r="J60" s="52">
        <v>2</v>
      </c>
      <c r="K60" s="53">
        <f t="shared" si="0"/>
        <v>12.265274</v>
      </c>
      <c r="L60" s="54" t="s">
        <v>727</v>
      </c>
    </row>
    <row r="61" spans="1:12" s="55" customFormat="1" ht="19.5" customHeight="1" x14ac:dyDescent="0.3">
      <c r="A61" s="44"/>
      <c r="B61" s="76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728</v>
      </c>
      <c r="B62" s="45" t="s">
        <v>729</v>
      </c>
      <c r="C62" s="46">
        <v>24</v>
      </c>
      <c r="D62" s="47" t="s">
        <v>722</v>
      </c>
      <c r="E62" s="48">
        <v>104</v>
      </c>
      <c r="F62" s="49">
        <v>123.78</v>
      </c>
      <c r="G62" s="50" t="s">
        <v>726</v>
      </c>
      <c r="H62" s="51">
        <v>1981</v>
      </c>
      <c r="I62" s="45">
        <v>3353</v>
      </c>
      <c r="J62" s="52">
        <v>20</v>
      </c>
      <c r="K62" s="53">
        <f t="shared" si="0"/>
        <v>132.84586000000002</v>
      </c>
      <c r="L62" s="54"/>
    </row>
    <row r="63" spans="1:12" s="55" customFormat="1" ht="19.5" customHeight="1" x14ac:dyDescent="0.3">
      <c r="A63" s="44"/>
      <c r="B63" s="76"/>
      <c r="C63" s="46"/>
      <c r="D63" s="47"/>
      <c r="E63" s="48"/>
      <c r="F63" s="49"/>
      <c r="G63" s="50" t="s">
        <v>701</v>
      </c>
      <c r="H63" s="51">
        <v>2438</v>
      </c>
      <c r="I63" s="45">
        <v>3048</v>
      </c>
      <c r="J63" s="52">
        <v>18</v>
      </c>
      <c r="K63" s="53">
        <f t="shared" si="0"/>
        <v>133.75843200000003</v>
      </c>
      <c r="L63" s="54"/>
    </row>
    <row r="64" spans="1:12" s="55" customFormat="1" ht="19.5" customHeight="1" x14ac:dyDescent="0.3">
      <c r="A64" s="44"/>
      <c r="B64" s="45"/>
      <c r="C64" s="77"/>
      <c r="D64" s="78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730</v>
      </c>
      <c r="B65" s="45" t="s">
        <v>731</v>
      </c>
      <c r="C65" s="46">
        <v>22</v>
      </c>
      <c r="D65" s="47" t="s">
        <v>700</v>
      </c>
      <c r="E65" s="48">
        <v>180</v>
      </c>
      <c r="F65" s="49">
        <v>207.1</v>
      </c>
      <c r="G65" s="50" t="s">
        <v>701</v>
      </c>
      <c r="H65" s="51">
        <v>2590</v>
      </c>
      <c r="I65" s="45">
        <v>3048</v>
      </c>
      <c r="J65" s="52">
        <v>6</v>
      </c>
      <c r="K65" s="53">
        <f t="shared" si="0"/>
        <v>47.365919999999996</v>
      </c>
      <c r="L65" s="54" t="s">
        <v>723</v>
      </c>
    </row>
    <row r="66" spans="1:12" s="55" customFormat="1" ht="19.5" customHeight="1" x14ac:dyDescent="0.3">
      <c r="A66" s="44"/>
      <c r="B66" s="76"/>
      <c r="C66" s="46"/>
      <c r="D66" s="47"/>
      <c r="E66" s="48"/>
      <c r="F66" s="49"/>
      <c r="G66" s="50" t="s">
        <v>701</v>
      </c>
      <c r="H66" s="51">
        <v>2590</v>
      </c>
      <c r="I66" s="45">
        <v>3353</v>
      </c>
      <c r="J66" s="52">
        <v>21</v>
      </c>
      <c r="K66" s="53">
        <f t="shared" si="0"/>
        <v>182.36966999999996</v>
      </c>
      <c r="L66" s="54"/>
    </row>
    <row r="67" spans="1:12" s="55" customFormat="1" ht="19.5" customHeight="1" x14ac:dyDescent="0.3">
      <c r="A67" s="44"/>
      <c r="B67" s="76"/>
      <c r="C67" s="77"/>
      <c r="D67" s="78"/>
      <c r="E67" s="48"/>
      <c r="F67" s="49"/>
      <c r="G67" s="50"/>
      <c r="H67" s="51"/>
      <c r="I67" s="45"/>
      <c r="J67" s="52"/>
      <c r="K67" s="53">
        <f t="shared" ref="K67" si="1">(H67/1000*I67/1000)*J67</f>
        <v>0</v>
      </c>
      <c r="L67" s="54"/>
    </row>
    <row r="68" spans="1:12" s="55" customFormat="1" ht="19.5" customHeight="1" x14ac:dyDescent="0.3">
      <c r="A68" s="44" t="s">
        <v>730</v>
      </c>
      <c r="B68" s="45" t="s">
        <v>731</v>
      </c>
      <c r="C68" s="77">
        <v>22</v>
      </c>
      <c r="D68" s="78" t="s">
        <v>732</v>
      </c>
      <c r="E68" s="48">
        <v>30</v>
      </c>
      <c r="F68" s="49">
        <v>76.599999999999994</v>
      </c>
      <c r="G68" s="50" t="s">
        <v>701</v>
      </c>
      <c r="H68" s="51">
        <v>1981</v>
      </c>
      <c r="I68" s="45">
        <v>3353</v>
      </c>
      <c r="J68" s="52">
        <v>19</v>
      </c>
      <c r="K68" s="53">
        <f t="shared" si="0"/>
        <v>126.20356700000001</v>
      </c>
      <c r="L68" s="54" t="s">
        <v>735</v>
      </c>
    </row>
    <row r="69" spans="1:12" s="55" customFormat="1" ht="19.5" customHeight="1" x14ac:dyDescent="0.3">
      <c r="A69" s="44" t="s">
        <v>733</v>
      </c>
      <c r="B69" s="45" t="s">
        <v>731</v>
      </c>
      <c r="C69" s="77">
        <v>22</v>
      </c>
      <c r="D69" s="78" t="s">
        <v>716</v>
      </c>
      <c r="E69" s="48">
        <v>10</v>
      </c>
      <c r="F69" s="49">
        <v>14.1</v>
      </c>
      <c r="G69" s="50"/>
      <c r="H69" s="51"/>
      <c r="I69" s="45"/>
      <c r="J69" s="52"/>
      <c r="K69" s="53">
        <f t="shared" si="0"/>
        <v>0</v>
      </c>
      <c r="L69" s="54" t="s">
        <v>735</v>
      </c>
    </row>
    <row r="70" spans="1:12" s="55" customFormat="1" ht="19.5" customHeight="1" x14ac:dyDescent="0.3">
      <c r="A70" s="44" t="s">
        <v>734</v>
      </c>
      <c r="B70" s="45" t="s">
        <v>731</v>
      </c>
      <c r="C70" s="77">
        <v>22</v>
      </c>
      <c r="D70" s="78" t="s">
        <v>716</v>
      </c>
      <c r="E70" s="48">
        <v>15</v>
      </c>
      <c r="F70" s="49">
        <v>16.5</v>
      </c>
      <c r="G70" s="50"/>
      <c r="H70" s="51"/>
      <c r="I70" s="45"/>
      <c r="J70" s="52"/>
      <c r="K70" s="53">
        <f t="shared" si="0"/>
        <v>0</v>
      </c>
      <c r="L70" s="54" t="s">
        <v>735</v>
      </c>
    </row>
    <row r="71" spans="1:12" s="55" customFormat="1" ht="19.5" customHeight="1" x14ac:dyDescent="0.3">
      <c r="A71" s="44"/>
      <c r="B71" s="45"/>
      <c r="C71" s="77"/>
      <c r="D71" s="78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 t="s">
        <v>733</v>
      </c>
      <c r="B72" s="45" t="s">
        <v>731</v>
      </c>
      <c r="C72" s="77">
        <v>22</v>
      </c>
      <c r="D72" s="78" t="s">
        <v>716</v>
      </c>
      <c r="E72" s="48">
        <v>10</v>
      </c>
      <c r="F72" s="49">
        <v>14.1</v>
      </c>
      <c r="G72" s="50" t="s">
        <v>711</v>
      </c>
      <c r="H72" s="51">
        <v>1829</v>
      </c>
      <c r="I72" s="45">
        <v>3353</v>
      </c>
      <c r="J72" s="52">
        <v>1</v>
      </c>
      <c r="K72" s="53">
        <f t="shared" si="0"/>
        <v>6.1326369999999999</v>
      </c>
      <c r="L72" s="54" t="s">
        <v>737</v>
      </c>
    </row>
    <row r="73" spans="1:12" s="55" customFormat="1" ht="19.5" customHeight="1" x14ac:dyDescent="0.3">
      <c r="A73" s="44"/>
      <c r="B73" s="45" t="s">
        <v>731</v>
      </c>
      <c r="C73" s="77">
        <v>46.76</v>
      </c>
      <c r="D73" s="78" t="s">
        <v>736</v>
      </c>
      <c r="E73" s="48">
        <v>5</v>
      </c>
      <c r="F73" s="49">
        <v>2.25</v>
      </c>
      <c r="G73" s="50" t="s">
        <v>706</v>
      </c>
      <c r="H73" s="51">
        <v>1981</v>
      </c>
      <c r="I73" s="45">
        <v>3353</v>
      </c>
      <c r="J73" s="52">
        <v>6</v>
      </c>
      <c r="K73" s="53">
        <f t="shared" si="0"/>
        <v>39.853757999999999</v>
      </c>
      <c r="L73" s="54" t="s">
        <v>737</v>
      </c>
    </row>
    <row r="74" spans="1:12" s="55" customFormat="1" ht="19.5" customHeight="1" x14ac:dyDescent="0.3">
      <c r="A74" s="44" t="s">
        <v>734</v>
      </c>
      <c r="B74" s="45" t="s">
        <v>731</v>
      </c>
      <c r="C74" s="77">
        <v>22</v>
      </c>
      <c r="D74" s="78" t="s">
        <v>716</v>
      </c>
      <c r="E74" s="48">
        <v>15</v>
      </c>
      <c r="F74" s="49">
        <v>16.5</v>
      </c>
      <c r="G74" s="50"/>
      <c r="H74" s="51"/>
      <c r="I74" s="45"/>
      <c r="J74" s="52"/>
      <c r="K74" s="53">
        <f t="shared" si="0"/>
        <v>0</v>
      </c>
      <c r="L74" s="54" t="s">
        <v>737</v>
      </c>
    </row>
    <row r="75" spans="1:12" s="55" customFormat="1" ht="19.5" customHeight="1" x14ac:dyDescent="0.3">
      <c r="A75" s="44"/>
      <c r="B75" s="45"/>
      <c r="C75" s="77">
        <v>46.76</v>
      </c>
      <c r="D75" s="78" t="s">
        <v>736</v>
      </c>
      <c r="E75" s="48">
        <v>5</v>
      </c>
      <c r="F75" s="49">
        <v>2.25</v>
      </c>
      <c r="G75" s="50"/>
      <c r="H75" s="51"/>
      <c r="I75" s="45"/>
      <c r="J75" s="52"/>
      <c r="K75" s="53">
        <f t="shared" si="0"/>
        <v>0</v>
      </c>
      <c r="L75" s="54" t="s">
        <v>737</v>
      </c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 t="s">
        <v>738</v>
      </c>
      <c r="B77" s="45" t="s">
        <v>729</v>
      </c>
      <c r="C77" s="46">
        <v>24</v>
      </c>
      <c r="D77" s="47" t="s">
        <v>722</v>
      </c>
      <c r="E77" s="48">
        <v>131</v>
      </c>
      <c r="F77" s="49">
        <v>156.06</v>
      </c>
      <c r="G77" s="50" t="s">
        <v>726</v>
      </c>
      <c r="H77" s="51">
        <v>1981</v>
      </c>
      <c r="I77" s="45">
        <v>3353</v>
      </c>
      <c r="J77" s="52">
        <v>26</v>
      </c>
      <c r="K77" s="53">
        <f t="shared" si="0"/>
        <v>172.69961800000002</v>
      </c>
      <c r="L77" s="54" t="s">
        <v>739</v>
      </c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5" customFormat="1" ht="19.5" customHeight="1" x14ac:dyDescent="0.3">
      <c r="A79" s="44" t="s">
        <v>740</v>
      </c>
      <c r="B79" s="45" t="s">
        <v>729</v>
      </c>
      <c r="C79" s="46">
        <v>24</v>
      </c>
      <c r="D79" s="47" t="s">
        <v>722</v>
      </c>
      <c r="E79" s="48">
        <v>29</v>
      </c>
      <c r="F79" s="49">
        <v>35.869999999999997</v>
      </c>
      <c r="G79" s="50" t="s">
        <v>726</v>
      </c>
      <c r="H79" s="51">
        <v>1981</v>
      </c>
      <c r="I79" s="45">
        <v>3353</v>
      </c>
      <c r="J79" s="52">
        <v>6</v>
      </c>
      <c r="K79" s="53">
        <f t="shared" si="0"/>
        <v>39.853757999999999</v>
      </c>
      <c r="L79" s="54" t="s">
        <v>739</v>
      </c>
    </row>
    <row r="80" spans="1:12" s="55" customFormat="1" ht="19.5" customHeight="1" x14ac:dyDescent="0.3">
      <c r="A80" s="44"/>
      <c r="B80" s="76"/>
      <c r="C80" s="77"/>
      <c r="D80" s="78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 t="s">
        <v>719</v>
      </c>
      <c r="B81" s="76"/>
      <c r="C81" s="77"/>
      <c r="D81" s="78"/>
      <c r="E81" s="48"/>
      <c r="F81" s="49"/>
      <c r="G81" s="50"/>
      <c r="H81" s="51"/>
      <c r="I81" s="45"/>
      <c r="J81" s="52"/>
      <c r="K81" s="53">
        <f t="shared" ref="K81:K90" si="2">(H81/1000*I81/1000)*J81</f>
        <v>0</v>
      </c>
      <c r="L81" s="54"/>
    </row>
    <row r="82" spans="1:12" s="55" customFormat="1" ht="19.5" customHeight="1" x14ac:dyDescent="0.3">
      <c r="A82" s="44" t="s">
        <v>750</v>
      </c>
      <c r="B82" s="76" t="s">
        <v>751</v>
      </c>
      <c r="C82" s="77">
        <v>24</v>
      </c>
      <c r="D82" s="78" t="s">
        <v>752</v>
      </c>
      <c r="E82" s="48">
        <v>29</v>
      </c>
      <c r="F82" s="49">
        <v>35.869999999999997</v>
      </c>
      <c r="G82" s="50" t="s">
        <v>753</v>
      </c>
      <c r="H82" s="51">
        <v>1981</v>
      </c>
      <c r="I82" s="45">
        <v>3353</v>
      </c>
      <c r="J82" s="52">
        <v>6</v>
      </c>
      <c r="K82" s="53">
        <f t="shared" si="2"/>
        <v>39.853757999999999</v>
      </c>
      <c r="L82" s="54" t="s">
        <v>754</v>
      </c>
    </row>
    <row r="83" spans="1:12" s="55" customFormat="1" ht="19.5" customHeight="1" x14ac:dyDescent="0.3">
      <c r="A83" s="44"/>
      <c r="B83" s="76"/>
      <c r="C83" s="77"/>
      <c r="D83" s="78"/>
      <c r="E83" s="48"/>
      <c r="F83" s="49"/>
      <c r="G83" s="50"/>
      <c r="H83" s="51"/>
      <c r="I83" s="45"/>
      <c r="J83" s="52"/>
      <c r="K83" s="53">
        <f t="shared" si="2"/>
        <v>0</v>
      </c>
      <c r="L83" s="54"/>
    </row>
    <row r="84" spans="1:12" s="55" customFormat="1" ht="19.5" customHeight="1" x14ac:dyDescent="0.3">
      <c r="A84" s="44" t="s">
        <v>755</v>
      </c>
      <c r="B84" s="76" t="s">
        <v>751</v>
      </c>
      <c r="C84" s="77">
        <v>24</v>
      </c>
      <c r="D84" s="78" t="s">
        <v>752</v>
      </c>
      <c r="E84" s="48">
        <v>131</v>
      </c>
      <c r="F84" s="49">
        <v>156.06</v>
      </c>
      <c r="G84" s="50" t="s">
        <v>753</v>
      </c>
      <c r="H84" s="51">
        <v>1981</v>
      </c>
      <c r="I84" s="45">
        <v>3353</v>
      </c>
      <c r="J84" s="52">
        <v>26</v>
      </c>
      <c r="K84" s="53">
        <f t="shared" si="2"/>
        <v>172.69961800000002</v>
      </c>
      <c r="L84" s="54" t="s">
        <v>754</v>
      </c>
    </row>
    <row r="85" spans="1:12" s="55" customFormat="1" ht="19.5" customHeight="1" x14ac:dyDescent="0.3">
      <c r="A85" s="44"/>
      <c r="B85" s="76"/>
      <c r="C85" s="77"/>
      <c r="D85" s="78"/>
      <c r="E85" s="48"/>
      <c r="F85" s="49"/>
      <c r="G85" s="50"/>
      <c r="H85" s="51"/>
      <c r="I85" s="45"/>
      <c r="J85" s="52"/>
      <c r="K85" s="53">
        <f t="shared" si="2"/>
        <v>0</v>
      </c>
      <c r="L85" s="54"/>
    </row>
    <row r="86" spans="1:12" s="55" customFormat="1" ht="19.5" customHeight="1" x14ac:dyDescent="0.3">
      <c r="A86" s="44" t="s">
        <v>756</v>
      </c>
      <c r="B86" s="76" t="s">
        <v>757</v>
      </c>
      <c r="C86" s="77">
        <v>24</v>
      </c>
      <c r="D86" s="78" t="s">
        <v>758</v>
      </c>
      <c r="E86" s="48">
        <v>73</v>
      </c>
      <c r="F86" s="49">
        <v>146.97</v>
      </c>
      <c r="G86" s="50" t="s">
        <v>753</v>
      </c>
      <c r="H86" s="51">
        <v>2590</v>
      </c>
      <c r="I86" s="45">
        <v>3353</v>
      </c>
      <c r="J86" s="52">
        <v>19</v>
      </c>
      <c r="K86" s="53">
        <f t="shared" si="2"/>
        <v>165.00112999999996</v>
      </c>
      <c r="L86" s="54" t="s">
        <v>754</v>
      </c>
    </row>
    <row r="87" spans="1:12" s="55" customFormat="1" ht="19.5" customHeight="1" x14ac:dyDescent="0.3">
      <c r="A87" s="44"/>
      <c r="B87" s="76"/>
      <c r="C87" s="77"/>
      <c r="D87" s="78"/>
      <c r="E87" s="48"/>
      <c r="F87" s="49"/>
      <c r="G87" s="50"/>
      <c r="H87" s="51"/>
      <c r="I87" s="45"/>
      <c r="J87" s="52"/>
      <c r="K87" s="53">
        <f t="shared" si="2"/>
        <v>0</v>
      </c>
      <c r="L87" s="54"/>
    </row>
    <row r="88" spans="1:12" s="55" customFormat="1" ht="19.5" customHeight="1" x14ac:dyDescent="0.3">
      <c r="A88" s="44" t="s">
        <v>756</v>
      </c>
      <c r="B88" s="76" t="s">
        <v>757</v>
      </c>
      <c r="C88" s="77">
        <v>28</v>
      </c>
      <c r="D88" s="78" t="s">
        <v>759</v>
      </c>
      <c r="E88" s="48">
        <v>3</v>
      </c>
      <c r="F88" s="49">
        <v>1.2</v>
      </c>
      <c r="G88" s="50"/>
      <c r="H88" s="51"/>
      <c r="I88" s="45"/>
      <c r="J88" s="52"/>
      <c r="K88" s="53">
        <f t="shared" si="2"/>
        <v>0</v>
      </c>
      <c r="L88" s="54" t="s">
        <v>760</v>
      </c>
    </row>
    <row r="89" spans="1:12" s="55" customFormat="1" ht="19.5" customHeight="1" x14ac:dyDescent="0.3">
      <c r="A89" s="44"/>
      <c r="B89" s="76"/>
      <c r="C89" s="77"/>
      <c r="D89" s="78"/>
      <c r="E89" s="48"/>
      <c r="F89" s="49"/>
      <c r="G89" s="50"/>
      <c r="H89" s="51"/>
      <c r="I89" s="45"/>
      <c r="J89" s="52"/>
      <c r="K89" s="53">
        <f t="shared" si="2"/>
        <v>0</v>
      </c>
      <c r="L89" s="54"/>
    </row>
    <row r="90" spans="1:12" s="55" customFormat="1" ht="19.5" customHeight="1" x14ac:dyDescent="0.3">
      <c r="A90" s="44"/>
      <c r="B90" s="45"/>
      <c r="C90" s="46"/>
      <c r="D90" s="47"/>
      <c r="E90" s="48"/>
      <c r="F90" s="49"/>
      <c r="G90" s="50"/>
      <c r="H90" s="51"/>
      <c r="I90" s="45"/>
      <c r="J90" s="52"/>
      <c r="K90" s="53">
        <f t="shared" si="2"/>
        <v>0</v>
      </c>
      <c r="L90" s="54"/>
    </row>
    <row r="91" spans="1:12" s="55" customFormat="1" ht="19.5" customHeight="1" x14ac:dyDescent="0.3">
      <c r="A91" s="44"/>
      <c r="B91" s="45"/>
      <c r="C91" s="46"/>
      <c r="D91" s="47"/>
      <c r="E91" s="48"/>
      <c r="F91" s="49"/>
      <c r="G91" s="50"/>
      <c r="H91" s="51"/>
      <c r="I91" s="45"/>
      <c r="J91" s="52"/>
      <c r="K91" s="53">
        <f t="shared" si="0"/>
        <v>0</v>
      </c>
      <c r="L91" s="54"/>
    </row>
    <row r="92" spans="1:12" s="55" customFormat="1" ht="19.5" customHeight="1" x14ac:dyDescent="0.3">
      <c r="A92" s="44"/>
      <c r="B92" s="45"/>
      <c r="C92" s="46"/>
      <c r="D92" s="47"/>
      <c r="E92" s="48"/>
      <c r="F92" s="49"/>
      <c r="G92" s="50"/>
      <c r="H92" s="51"/>
      <c r="I92" s="45"/>
      <c r="J92" s="52"/>
      <c r="K92" s="53">
        <f t="shared" si="0"/>
        <v>0</v>
      </c>
      <c r="L92" s="54"/>
    </row>
    <row r="93" spans="1:12" s="59" customFormat="1" ht="20.100000000000001" customHeight="1" x14ac:dyDescent="0.3">
      <c r="A93" s="44"/>
      <c r="B93" s="45"/>
      <c r="C93" s="46"/>
      <c r="D93" s="47"/>
      <c r="E93" s="56"/>
      <c r="F93" s="57"/>
      <c r="G93" s="50"/>
      <c r="H93" s="51"/>
      <c r="I93" s="45"/>
      <c r="J93" s="52"/>
      <c r="K93" s="53">
        <f t="shared" si="0"/>
        <v>0</v>
      </c>
      <c r="L93" s="58">
        <f>SUM(J56:J94)</f>
        <v>183</v>
      </c>
    </row>
    <row r="94" spans="1:12" s="59" customFormat="1" ht="20.100000000000001" customHeight="1" x14ac:dyDescent="0.3">
      <c r="A94" s="44"/>
      <c r="B94" s="45"/>
      <c r="C94" s="46"/>
      <c r="D94" s="47"/>
      <c r="E94" s="60"/>
      <c r="F94" s="61"/>
      <c r="G94" s="62"/>
      <c r="H94" s="51"/>
      <c r="I94" s="45"/>
      <c r="J94" s="63"/>
      <c r="K94" s="53">
        <f t="shared" si="0"/>
        <v>0</v>
      </c>
      <c r="L94" s="64">
        <f>SUM(K56:K94)</f>
        <v>1323.6637579999999</v>
      </c>
    </row>
    <row r="95" spans="1:12" s="59" customFormat="1" ht="20.100000000000001" customHeight="1" thickBot="1" x14ac:dyDescent="0.35">
      <c r="A95" s="114"/>
      <c r="B95" s="115"/>
      <c r="C95" s="115"/>
      <c r="D95" s="115"/>
      <c r="E95" s="115"/>
      <c r="F95" s="115"/>
      <c r="G95" s="115"/>
      <c r="H95" s="115"/>
      <c r="I95" s="115"/>
      <c r="J95" s="65">
        <f>SUM(J7:J94)</f>
        <v>294</v>
      </c>
      <c r="K95" s="66">
        <f>SUM(K7:K94)</f>
        <v>2065.1284989999999</v>
      </c>
      <c r="L95" s="67"/>
    </row>
    <row r="96" spans="1:12" s="59" customFormat="1" ht="20.100000000000001" customHeight="1" thickTop="1" thickBot="1" x14ac:dyDescent="0.35">
      <c r="A96" s="116" t="s">
        <v>52</v>
      </c>
      <c r="B96" s="117"/>
      <c r="C96" s="68"/>
      <c r="D96" s="118">
        <f>J95</f>
        <v>294</v>
      </c>
      <c r="E96" s="119"/>
      <c r="F96" s="119"/>
      <c r="G96" s="120"/>
      <c r="H96" s="121"/>
      <c r="I96" s="121"/>
      <c r="J96" s="122"/>
      <c r="K96" s="119"/>
      <c r="L96" s="123"/>
    </row>
    <row r="97" spans="1:12" s="59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71"/>
    </row>
    <row r="98" spans="1:12" s="59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113"/>
      <c r="B101" s="113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59" customFormat="1" ht="20.100000000000001" customHeight="1" x14ac:dyDescent="0.3">
      <c r="A102" s="113"/>
      <c r="B102" s="113"/>
      <c r="C102" s="5"/>
      <c r="D102" s="5"/>
      <c r="E102" s="72"/>
      <c r="F102" s="5"/>
      <c r="G102" s="5"/>
      <c r="H102" s="5"/>
      <c r="I102" s="5"/>
      <c r="J102" s="5"/>
      <c r="K102" s="5"/>
      <c r="L102" s="5"/>
    </row>
    <row r="103" spans="1:12" s="59" customFormat="1" ht="20.100000000000001" customHeight="1" x14ac:dyDescent="0.3">
      <c r="A103" s="113"/>
      <c r="B103" s="113"/>
      <c r="C103" s="5"/>
      <c r="D103" s="5"/>
      <c r="E103" s="5"/>
      <c r="F103" s="5"/>
      <c r="G103" s="73"/>
      <c r="H103" s="5"/>
      <c r="I103" s="74"/>
      <c r="J103" s="5"/>
      <c r="K103" s="5"/>
      <c r="L103" s="5"/>
    </row>
    <row r="104" spans="1:12" s="59" customFormat="1" ht="20.100000000000001" customHeight="1" x14ac:dyDescent="0.3">
      <c r="A104" s="113"/>
      <c r="B104" s="113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59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59" customFormat="1" ht="20.100000000000001" customHeight="1" x14ac:dyDescent="0.3">
      <c r="A106" s="113"/>
      <c r="B106" s="113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59" customFormat="1" ht="20.100000000000001" customHeight="1" x14ac:dyDescent="0.3">
      <c r="A107" s="113"/>
      <c r="B107" s="113"/>
      <c r="C107" s="5"/>
      <c r="D107" s="5"/>
      <c r="E107" s="5"/>
      <c r="F107" s="70"/>
      <c r="G107" s="5"/>
      <c r="H107" s="72"/>
      <c r="I107" s="72"/>
      <c r="J107" s="5"/>
      <c r="K107" s="5"/>
      <c r="L107" s="5"/>
    </row>
    <row r="108" spans="1:12" ht="20.100000000000001" customHeight="1" x14ac:dyDescent="0.3">
      <c r="A108" s="113"/>
      <c r="B108" s="113"/>
      <c r="H108" s="72"/>
      <c r="I108" s="72"/>
    </row>
    <row r="109" spans="1:12" ht="20.100000000000001" customHeight="1" x14ac:dyDescent="0.3">
      <c r="H109" s="72"/>
      <c r="I109" s="72"/>
    </row>
    <row r="110" spans="1:12" ht="20.100000000000001" customHeight="1" x14ac:dyDescent="0.3">
      <c r="H110" s="72"/>
      <c r="I110" s="72"/>
    </row>
    <row r="111" spans="1:12" ht="20.100000000000001" customHeight="1" x14ac:dyDescent="0.3">
      <c r="A111" s="113"/>
      <c r="B111" s="113"/>
      <c r="H111" s="72"/>
      <c r="I111" s="72"/>
    </row>
    <row r="112" spans="1:12" ht="20.100000000000001" customHeight="1" x14ac:dyDescent="0.3">
      <c r="A112" s="113"/>
      <c r="B112" s="113"/>
      <c r="H112" s="72"/>
      <c r="I112" s="72"/>
    </row>
    <row r="113" spans="1:12" ht="20.100000000000001" customHeight="1" x14ac:dyDescent="0.3">
      <c r="H113" s="72"/>
      <c r="I113" s="72"/>
    </row>
    <row r="114" spans="1:12" ht="20.100000000000001" customHeight="1" x14ac:dyDescent="0.3">
      <c r="H114" s="72"/>
      <c r="I114" s="72"/>
    </row>
    <row r="115" spans="1:12" ht="20.100000000000001" customHeight="1" x14ac:dyDescent="0.3">
      <c r="H115" s="72"/>
      <c r="I115" s="72"/>
    </row>
    <row r="116" spans="1:12" s="72" customFormat="1" ht="20.100000000000001" customHeight="1" x14ac:dyDescent="0.3">
      <c r="A116" s="69"/>
      <c r="B116" s="5"/>
      <c r="C116" s="5"/>
      <c r="D116" s="5"/>
      <c r="E116" s="5"/>
      <c r="F116" s="70"/>
      <c r="G116" s="5"/>
      <c r="J116" s="5"/>
      <c r="K116" s="5"/>
      <c r="L116" s="5"/>
    </row>
    <row r="117" spans="1:12" s="72" customFormat="1" ht="20.100000000000001" customHeight="1" x14ac:dyDescent="0.3">
      <c r="A117" s="69"/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75" customFormat="1" ht="20.100000000000001" customHeight="1" x14ac:dyDescent="0.3">
      <c r="A118" s="69"/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75" customFormat="1" ht="20.100000000000001" customHeight="1" x14ac:dyDescent="0.3">
      <c r="A119" s="69"/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75" customFormat="1" ht="19.5" customHeight="1" x14ac:dyDescent="0.3">
      <c r="A120" s="69"/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s="72" customFormat="1" ht="20.100000000000001" customHeight="1" x14ac:dyDescent="0.3">
      <c r="A121" s="69"/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1:12" s="72" customFormat="1" ht="20.100000000000001" customHeight="1" x14ac:dyDescent="0.3">
      <c r="A122" s="69"/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1:12" ht="19.5" customHeight="1" x14ac:dyDescent="0.3"/>
    <row r="124" spans="1:12" ht="19.5" customHeight="1" x14ac:dyDescent="0.3"/>
    <row r="125" spans="1:12" ht="19.5" customHeight="1" x14ac:dyDescent="0.3"/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ht="19.5" customHeight="1" x14ac:dyDescent="0.3"/>
    <row r="148" spans="2:12" ht="19.5" customHeight="1" x14ac:dyDescent="0.3"/>
    <row r="149" spans="2:12" ht="19.5" customHeight="1" x14ac:dyDescent="0.3"/>
    <row r="150" spans="2:12" ht="19.5" customHeight="1" x14ac:dyDescent="0.3"/>
    <row r="151" spans="2:12" ht="19.5" customHeight="1" x14ac:dyDescent="0.3"/>
    <row r="152" spans="2:12" ht="19.5" customHeight="1" x14ac:dyDescent="0.3"/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/>
      <c r="C184" s="5"/>
      <c r="D184" s="5"/>
      <c r="E184" s="5"/>
      <c r="F184" s="70"/>
      <c r="G184" s="5"/>
      <c r="H184" s="5"/>
      <c r="I184" s="5"/>
      <c r="J184" s="5"/>
      <c r="K184" s="5"/>
      <c r="L184" s="5"/>
    </row>
    <row r="185" spans="2:12" s="69" customFormat="1" ht="19.5" customHeight="1" x14ac:dyDescent="0.3">
      <c r="B185" s="5"/>
      <c r="C185" s="5"/>
      <c r="D185" s="5"/>
      <c r="E185" s="5"/>
      <c r="F185" s="70"/>
      <c r="G185" s="5"/>
      <c r="H185" s="5"/>
      <c r="I185" s="5"/>
      <c r="J185" s="5"/>
      <c r="K185" s="5"/>
      <c r="L185" s="5"/>
    </row>
    <row r="186" spans="2:12" s="69" customFormat="1" ht="19.5" customHeight="1" x14ac:dyDescent="0.3">
      <c r="B186" s="5">
        <v>2</v>
      </c>
      <c r="C186" s="5"/>
      <c r="D186" s="5"/>
      <c r="E186" s="5"/>
      <c r="F186" s="70"/>
      <c r="G186" s="5"/>
      <c r="H186" s="5"/>
      <c r="I186" s="5"/>
      <c r="J186" s="5"/>
      <c r="K186" s="5"/>
      <c r="L186" s="5"/>
    </row>
  </sheetData>
  <mergeCells count="30">
    <mergeCell ref="A111:B111"/>
    <mergeCell ref="A112:B112"/>
    <mergeCell ref="A102:B102"/>
    <mergeCell ref="A103:B103"/>
    <mergeCell ref="A104:B104"/>
    <mergeCell ref="A106:B106"/>
    <mergeCell ref="A107:B107"/>
    <mergeCell ref="A108:B108"/>
    <mergeCell ref="A101:B10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95:I95"/>
    <mergeCell ref="A96:B96"/>
    <mergeCell ref="D96:G96"/>
    <mergeCell ref="H96:J96"/>
    <mergeCell ref="K96:L96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0" orientation="portrait" verticalDpi="300" r:id="rId1"/>
  <drawing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pageSetUpPr fitToPage="1"/>
  </sheetPr>
  <dimension ref="A1:L166"/>
  <sheetViews>
    <sheetView view="pageBreakPreview" topLeftCell="A31" zoomScale="85" zoomScaleSheetLayoutView="85" workbookViewId="0">
      <selection activeCell="G50" sqref="G5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46043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4" si="0">(H7/1000*I7/1000)*J7</f>
        <v>0</v>
      </c>
      <c r="L7" s="26">
        <f>SUM(J7:J45)</f>
        <v>186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SUM(K7:K45)</f>
        <v>1171.266607</v>
      </c>
    </row>
    <row r="9" spans="1:12" s="27" customFormat="1" ht="19.5" customHeight="1" x14ac:dyDescent="0.3">
      <c r="A9" s="28" t="s">
        <v>643</v>
      </c>
      <c r="B9" s="16" t="s">
        <v>644</v>
      </c>
      <c r="C9" s="17">
        <v>17</v>
      </c>
      <c r="D9" s="31" t="s">
        <v>645</v>
      </c>
      <c r="E9" s="41">
        <v>12</v>
      </c>
      <c r="F9" s="42">
        <v>12.38</v>
      </c>
      <c r="G9" s="34" t="s">
        <v>661</v>
      </c>
      <c r="H9" s="35">
        <v>2134</v>
      </c>
      <c r="I9" s="36">
        <v>3353</v>
      </c>
      <c r="J9" s="37">
        <v>2</v>
      </c>
      <c r="K9" s="38">
        <f t="shared" si="0"/>
        <v>14.310604</v>
      </c>
      <c r="L9" s="39" t="s">
        <v>662</v>
      </c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602</v>
      </c>
      <c r="B11" s="16" t="s">
        <v>353</v>
      </c>
      <c r="C11" s="17">
        <v>22</v>
      </c>
      <c r="D11" s="31" t="s">
        <v>307</v>
      </c>
      <c r="E11" s="41">
        <v>192</v>
      </c>
      <c r="F11" s="42">
        <v>120</v>
      </c>
      <c r="G11" s="34" t="s">
        <v>39</v>
      </c>
      <c r="H11" s="35">
        <v>1829</v>
      </c>
      <c r="I11" s="36">
        <v>3353</v>
      </c>
      <c r="J11" s="37">
        <v>21</v>
      </c>
      <c r="K11" s="38">
        <f t="shared" si="0"/>
        <v>128.78537700000001</v>
      </c>
      <c r="L11" s="39" t="s">
        <v>663</v>
      </c>
    </row>
    <row r="12" spans="1:12" s="27" customFormat="1" ht="19.5" customHeight="1" x14ac:dyDescent="0.3">
      <c r="A12" s="28"/>
      <c r="B12" s="16"/>
      <c r="C12" s="17"/>
      <c r="D12" s="18"/>
      <c r="E12" s="81"/>
      <c r="F12" s="8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602</v>
      </c>
      <c r="B13" s="16" t="s">
        <v>353</v>
      </c>
      <c r="C13" s="17">
        <v>22</v>
      </c>
      <c r="D13" s="31" t="s">
        <v>307</v>
      </c>
      <c r="E13" s="81">
        <v>256</v>
      </c>
      <c r="F13" s="82">
        <v>194.88</v>
      </c>
      <c r="G13" s="34" t="s">
        <v>49</v>
      </c>
      <c r="H13" s="35">
        <v>1829</v>
      </c>
      <c r="I13" s="36">
        <v>3353</v>
      </c>
      <c r="J13" s="37">
        <v>34</v>
      </c>
      <c r="K13" s="38">
        <f t="shared" si="0"/>
        <v>208.509658</v>
      </c>
      <c r="L13" s="39" t="s">
        <v>465</v>
      </c>
    </row>
    <row r="14" spans="1:12" s="27" customFormat="1" ht="19.5" customHeight="1" x14ac:dyDescent="0.3">
      <c r="A14" s="28"/>
      <c r="B14" s="16"/>
      <c r="C14" s="17"/>
      <c r="D14" s="18"/>
      <c r="E14" s="81"/>
      <c r="F14" s="8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594</v>
      </c>
      <c r="B15" s="16" t="s">
        <v>353</v>
      </c>
      <c r="C15" s="17">
        <v>22</v>
      </c>
      <c r="D15" s="31" t="s">
        <v>307</v>
      </c>
      <c r="E15" s="41">
        <v>288</v>
      </c>
      <c r="F15" s="42">
        <v>255.28</v>
      </c>
      <c r="G15" s="34" t="s">
        <v>49</v>
      </c>
      <c r="H15" s="35">
        <v>1829</v>
      </c>
      <c r="I15" s="36">
        <v>3353</v>
      </c>
      <c r="J15" s="37">
        <v>39</v>
      </c>
      <c r="K15" s="38">
        <f t="shared" si="0"/>
        <v>239.172843</v>
      </c>
      <c r="L15" s="39" t="s">
        <v>465</v>
      </c>
    </row>
    <row r="16" spans="1:12" s="27" customFormat="1" ht="19.5" customHeight="1" x14ac:dyDescent="0.3">
      <c r="A16" s="28"/>
      <c r="B16" s="16"/>
      <c r="C16" s="17"/>
      <c r="D16" s="31"/>
      <c r="E16" s="81"/>
      <c r="F16" s="8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610</v>
      </c>
      <c r="B17" s="16" t="s">
        <v>353</v>
      </c>
      <c r="C17" s="17">
        <v>22</v>
      </c>
      <c r="D17" s="31" t="s">
        <v>307</v>
      </c>
      <c r="E17" s="81">
        <v>150</v>
      </c>
      <c r="F17" s="82">
        <v>118.4</v>
      </c>
      <c r="G17" s="34" t="s">
        <v>39</v>
      </c>
      <c r="H17" s="35">
        <v>1829</v>
      </c>
      <c r="I17" s="36">
        <v>3353</v>
      </c>
      <c r="J17" s="37">
        <v>20</v>
      </c>
      <c r="K17" s="38">
        <f t="shared" si="0"/>
        <v>122.65273999999999</v>
      </c>
      <c r="L17" s="39" t="s">
        <v>425</v>
      </c>
    </row>
    <row r="18" spans="1:12" s="27" customFormat="1" ht="19.5" customHeight="1" x14ac:dyDescent="0.3">
      <c r="A18" s="28"/>
      <c r="B18" s="16"/>
      <c r="C18" s="17"/>
      <c r="D18" s="31"/>
      <c r="E18" s="81"/>
      <c r="F18" s="8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 t="s">
        <v>664</v>
      </c>
      <c r="B19" s="16" t="s">
        <v>59</v>
      </c>
      <c r="C19" s="17">
        <v>22</v>
      </c>
      <c r="D19" s="18" t="s">
        <v>665</v>
      </c>
      <c r="E19" s="81">
        <v>210</v>
      </c>
      <c r="F19" s="82">
        <v>109.2</v>
      </c>
      <c r="G19" s="34" t="s">
        <v>49</v>
      </c>
      <c r="H19" s="35">
        <v>1981</v>
      </c>
      <c r="I19" s="36">
        <v>3353</v>
      </c>
      <c r="J19" s="37">
        <v>18</v>
      </c>
      <c r="K19" s="38">
        <f t="shared" si="0"/>
        <v>119.56127400000001</v>
      </c>
      <c r="L19" s="39" t="s">
        <v>202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57</v>
      </c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 t="s">
        <v>668</v>
      </c>
      <c r="B22" s="16" t="s">
        <v>669</v>
      </c>
      <c r="C22" s="17">
        <v>22</v>
      </c>
      <c r="D22" s="18" t="s">
        <v>670</v>
      </c>
      <c r="E22" s="41">
        <v>5</v>
      </c>
      <c r="F22" s="42">
        <v>6.54</v>
      </c>
      <c r="G22" s="34" t="s">
        <v>671</v>
      </c>
      <c r="H22" s="35">
        <v>2590</v>
      </c>
      <c r="I22" s="36">
        <v>3353</v>
      </c>
      <c r="J22" s="37">
        <v>1</v>
      </c>
      <c r="K22" s="38">
        <f t="shared" si="0"/>
        <v>8.6842699999999979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 t="s">
        <v>19</v>
      </c>
      <c r="H23" s="35">
        <v>1829</v>
      </c>
      <c r="I23" s="36">
        <v>3353</v>
      </c>
      <c r="J23" s="37">
        <v>2</v>
      </c>
      <c r="K23" s="38">
        <f t="shared" si="0"/>
        <v>12.265274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672</v>
      </c>
      <c r="B25" s="16" t="s">
        <v>353</v>
      </c>
      <c r="C25" s="17">
        <v>22</v>
      </c>
      <c r="D25" s="31" t="s">
        <v>307</v>
      </c>
      <c r="E25" s="81">
        <v>150</v>
      </c>
      <c r="F25" s="82">
        <v>118.4</v>
      </c>
      <c r="G25" s="34" t="s">
        <v>673</v>
      </c>
      <c r="H25" s="35">
        <v>1829</v>
      </c>
      <c r="I25" s="36">
        <v>3353</v>
      </c>
      <c r="J25" s="37">
        <v>20</v>
      </c>
      <c r="K25" s="38">
        <f t="shared" si="0"/>
        <v>122.65273999999999</v>
      </c>
      <c r="L25" s="39" t="s">
        <v>465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 t="s">
        <v>674</v>
      </c>
      <c r="B27" s="16" t="s">
        <v>675</v>
      </c>
      <c r="C27" s="17">
        <v>25.76</v>
      </c>
      <c r="D27" s="18" t="s">
        <v>676</v>
      </c>
      <c r="E27" s="41">
        <v>30</v>
      </c>
      <c r="F27" s="42">
        <v>12</v>
      </c>
      <c r="G27" s="34" t="s">
        <v>39</v>
      </c>
      <c r="H27" s="35">
        <v>1981</v>
      </c>
      <c r="I27" s="36">
        <v>3353</v>
      </c>
      <c r="J27" s="37">
        <v>15</v>
      </c>
      <c r="K27" s="38">
        <f t="shared" si="0"/>
        <v>99.634395000000012</v>
      </c>
      <c r="L27" s="39"/>
    </row>
    <row r="28" spans="1:12" s="27" customFormat="1" ht="19.5" customHeight="1" x14ac:dyDescent="0.3">
      <c r="A28" s="28"/>
      <c r="B28" s="16"/>
      <c r="C28" s="17">
        <v>22</v>
      </c>
      <c r="D28" s="18" t="s">
        <v>677</v>
      </c>
      <c r="E28" s="41">
        <v>30</v>
      </c>
      <c r="F28" s="42">
        <v>76.599999999999994</v>
      </c>
      <c r="G28" s="34"/>
      <c r="H28" s="35"/>
      <c r="I28" s="36"/>
      <c r="J28" s="37"/>
      <c r="K28" s="38">
        <f t="shared" si="0"/>
        <v>0</v>
      </c>
      <c r="L28" s="39" t="s">
        <v>679</v>
      </c>
    </row>
    <row r="29" spans="1:12" s="27" customFormat="1" ht="19.5" customHeight="1" x14ac:dyDescent="0.3">
      <c r="A29" s="28"/>
      <c r="B29" s="16"/>
      <c r="C29" s="17">
        <v>46.76</v>
      </c>
      <c r="D29" s="18" t="s">
        <v>678</v>
      </c>
      <c r="E29" s="41">
        <v>5</v>
      </c>
      <c r="F29" s="42">
        <v>2.25</v>
      </c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16"/>
      <c r="C30" s="17"/>
      <c r="D30" s="31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 t="s">
        <v>680</v>
      </c>
      <c r="B31" s="16" t="s">
        <v>681</v>
      </c>
      <c r="C31" s="17">
        <v>27.76</v>
      </c>
      <c r="D31" s="18" t="s">
        <v>682</v>
      </c>
      <c r="E31" s="41">
        <v>1</v>
      </c>
      <c r="F31" s="42">
        <v>1.43</v>
      </c>
      <c r="G31" s="34" t="s">
        <v>671</v>
      </c>
      <c r="H31" s="35">
        <v>1829</v>
      </c>
      <c r="I31" s="36">
        <v>3353</v>
      </c>
      <c r="J31" s="37">
        <v>1</v>
      </c>
      <c r="K31" s="38">
        <f t="shared" ref="K31:K36" si="1">(H31/1000*I31/1000)*J31</f>
        <v>6.1326369999999999</v>
      </c>
      <c r="L31" s="39" t="s">
        <v>687</v>
      </c>
    </row>
    <row r="32" spans="1:12" s="27" customFormat="1" ht="19.5" customHeight="1" x14ac:dyDescent="0.3">
      <c r="A32" s="28"/>
      <c r="B32" s="16"/>
      <c r="C32" s="17">
        <v>27.76</v>
      </c>
      <c r="D32" s="18" t="s">
        <v>683</v>
      </c>
      <c r="E32" s="41">
        <v>1</v>
      </c>
      <c r="F32" s="42">
        <v>4.47</v>
      </c>
      <c r="G32" s="34" t="s">
        <v>686</v>
      </c>
      <c r="H32" s="35">
        <v>2438</v>
      </c>
      <c r="I32" s="36">
        <v>3353</v>
      </c>
      <c r="J32" s="37">
        <v>2</v>
      </c>
      <c r="K32" s="38">
        <f t="shared" si="1"/>
        <v>16.349228</v>
      </c>
      <c r="L32" s="39" t="s">
        <v>687</v>
      </c>
    </row>
    <row r="33" spans="1:12" s="27" customFormat="1" ht="19.5" customHeight="1" x14ac:dyDescent="0.3">
      <c r="A33" s="28" t="s">
        <v>684</v>
      </c>
      <c r="B33" s="16" t="s">
        <v>681</v>
      </c>
      <c r="C33" s="17">
        <v>27.76</v>
      </c>
      <c r="D33" s="18" t="s">
        <v>683</v>
      </c>
      <c r="E33" s="41">
        <v>1</v>
      </c>
      <c r="F33" s="42">
        <v>4.47</v>
      </c>
      <c r="G33" s="34"/>
      <c r="H33" s="35"/>
      <c r="I33" s="36"/>
      <c r="J33" s="37"/>
      <c r="K33" s="38">
        <f t="shared" si="1"/>
        <v>0</v>
      </c>
      <c r="L33" s="39" t="s">
        <v>687</v>
      </c>
    </row>
    <row r="34" spans="1:12" s="27" customFormat="1" ht="19.5" customHeight="1" x14ac:dyDescent="0.3">
      <c r="A34" s="28"/>
      <c r="B34" s="16"/>
      <c r="C34" s="17">
        <v>24</v>
      </c>
      <c r="D34" s="18" t="s">
        <v>685</v>
      </c>
      <c r="E34" s="41">
        <v>2</v>
      </c>
      <c r="F34" s="42">
        <v>3.41</v>
      </c>
      <c r="G34" s="34"/>
      <c r="H34" s="35"/>
      <c r="I34" s="36"/>
      <c r="J34" s="37"/>
      <c r="K34" s="38">
        <f t="shared" si="1"/>
        <v>0</v>
      </c>
      <c r="L34" s="39" t="s">
        <v>687</v>
      </c>
    </row>
    <row r="35" spans="1:12" s="27" customFormat="1" ht="19.5" customHeight="1" x14ac:dyDescent="0.3">
      <c r="A35" s="28"/>
      <c r="B35" s="16"/>
      <c r="C35" s="17"/>
      <c r="D35" s="18"/>
      <c r="E35" s="41"/>
      <c r="F35" s="42"/>
      <c r="G35" s="34"/>
      <c r="H35" s="35"/>
      <c r="I35" s="36"/>
      <c r="J35" s="37"/>
      <c r="K35" s="38">
        <f t="shared" si="1"/>
        <v>0</v>
      </c>
      <c r="L35" s="39"/>
    </row>
    <row r="36" spans="1:12" s="27" customFormat="1" ht="19.5" customHeight="1" x14ac:dyDescent="0.3">
      <c r="A36" s="28" t="s">
        <v>688</v>
      </c>
      <c r="B36" s="16" t="s">
        <v>689</v>
      </c>
      <c r="C36" s="17">
        <v>24</v>
      </c>
      <c r="D36" s="18" t="s">
        <v>690</v>
      </c>
      <c r="E36" s="41">
        <v>9</v>
      </c>
      <c r="F36" s="42">
        <v>13.13</v>
      </c>
      <c r="G36" s="34" t="s">
        <v>673</v>
      </c>
      <c r="H36" s="35">
        <v>1981</v>
      </c>
      <c r="I36" s="36">
        <v>3353</v>
      </c>
      <c r="J36" s="37">
        <v>2</v>
      </c>
      <c r="K36" s="38">
        <f t="shared" si="1"/>
        <v>13.284586000000001</v>
      </c>
      <c r="L36" s="39"/>
    </row>
    <row r="37" spans="1:12" s="27" customFormat="1" ht="19.5" customHeight="1" x14ac:dyDescent="0.3">
      <c r="A37" s="28"/>
      <c r="B37" s="16"/>
      <c r="C37" s="17">
        <v>24</v>
      </c>
      <c r="D37" s="31" t="s">
        <v>685</v>
      </c>
      <c r="E37" s="41">
        <v>10</v>
      </c>
      <c r="F37" s="42">
        <v>18.34</v>
      </c>
      <c r="G37" s="34" t="s">
        <v>671</v>
      </c>
      <c r="H37" s="35">
        <v>1981</v>
      </c>
      <c r="I37" s="36">
        <v>3353</v>
      </c>
      <c r="J37" s="37">
        <v>3</v>
      </c>
      <c r="K37" s="38">
        <f t="shared" si="0"/>
        <v>19.926879</v>
      </c>
      <c r="L37" s="39"/>
    </row>
    <row r="38" spans="1:12" s="27" customFormat="1" ht="19.5" customHeight="1" x14ac:dyDescent="0.3">
      <c r="A38" s="28"/>
      <c r="B38" s="16"/>
      <c r="C38" s="17"/>
      <c r="D38" s="18"/>
      <c r="E38" s="41"/>
      <c r="F38" s="42"/>
      <c r="G38" s="34" t="s">
        <v>19</v>
      </c>
      <c r="H38" s="35">
        <v>1981</v>
      </c>
      <c r="I38" s="36">
        <v>3353</v>
      </c>
      <c r="J38" s="37">
        <v>5</v>
      </c>
      <c r="K38" s="38">
        <f t="shared" si="0"/>
        <v>33.211465000000004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38">
        <f t="shared" si="0"/>
        <v>0</v>
      </c>
      <c r="L39" s="39"/>
    </row>
    <row r="40" spans="1:12" s="27" customFormat="1" ht="19.5" customHeight="1" x14ac:dyDescent="0.3">
      <c r="A40" s="28" t="s">
        <v>691</v>
      </c>
      <c r="B40" s="16" t="s">
        <v>692</v>
      </c>
      <c r="C40" s="17">
        <v>22</v>
      </c>
      <c r="D40" s="18" t="s">
        <v>685</v>
      </c>
      <c r="E40" s="41">
        <v>3</v>
      </c>
      <c r="F40" s="42">
        <v>3.28</v>
      </c>
      <c r="G40" s="34" t="s">
        <v>686</v>
      </c>
      <c r="H40" s="35">
        <v>1829</v>
      </c>
      <c r="I40" s="36">
        <v>3353</v>
      </c>
      <c r="J40" s="37">
        <v>1</v>
      </c>
      <c r="K40" s="38">
        <f t="shared" si="0"/>
        <v>6.1326369999999999</v>
      </c>
      <c r="L40" s="39" t="s">
        <v>679</v>
      </c>
    </row>
    <row r="41" spans="1:12" s="27" customFormat="1" ht="19.5" customHeight="1" x14ac:dyDescent="0.3">
      <c r="A41" s="28"/>
      <c r="B41" s="16"/>
      <c r="C41" s="17"/>
      <c r="D41" s="18"/>
      <c r="E41" s="41"/>
      <c r="F41" s="42"/>
      <c r="G41" s="34"/>
      <c r="H41" s="35"/>
      <c r="I41" s="36"/>
      <c r="J41" s="37"/>
      <c r="K41" s="38">
        <f t="shared" si="0"/>
        <v>0</v>
      </c>
      <c r="L41" s="39"/>
    </row>
    <row r="42" spans="1:12" s="27" customFormat="1" ht="19.5" customHeight="1" x14ac:dyDescent="0.3">
      <c r="A42" s="28"/>
      <c r="B42" s="16"/>
      <c r="C42" s="17"/>
      <c r="D42" s="31"/>
      <c r="E42" s="41"/>
      <c r="F42" s="42"/>
      <c r="G42" s="34"/>
      <c r="H42" s="35"/>
      <c r="I42" s="36"/>
      <c r="J42" s="37"/>
      <c r="K42" s="38">
        <f t="shared" si="0"/>
        <v>0</v>
      </c>
      <c r="L42" s="39"/>
    </row>
    <row r="43" spans="1:12" s="27" customFormat="1" ht="19.5" customHeight="1" x14ac:dyDescent="0.3">
      <c r="A43" s="28"/>
      <c r="B43" s="16"/>
      <c r="C43" s="17"/>
      <c r="D43" s="31"/>
      <c r="E43" s="41"/>
      <c r="F43" s="42"/>
      <c r="G43" s="34"/>
      <c r="H43" s="35"/>
      <c r="I43" s="36"/>
      <c r="J43" s="37"/>
      <c r="K43" s="38">
        <f t="shared" si="0"/>
        <v>0</v>
      </c>
      <c r="L43" s="39"/>
    </row>
    <row r="44" spans="1:12" s="27" customFormat="1" ht="19.5" customHeight="1" x14ac:dyDescent="0.3">
      <c r="A44" s="28"/>
      <c r="B44" s="16"/>
      <c r="C44" s="17"/>
      <c r="D44" s="31"/>
      <c r="E44" s="41"/>
      <c r="F44" s="42"/>
      <c r="G44" s="34"/>
      <c r="H44" s="35"/>
      <c r="I44" s="36"/>
      <c r="J44" s="37"/>
      <c r="K44" s="38">
        <f t="shared" si="0"/>
        <v>0</v>
      </c>
      <c r="L44" s="39"/>
    </row>
    <row r="45" spans="1:12" s="27" customFormat="1" ht="19.5" customHeight="1" x14ac:dyDescent="0.3">
      <c r="A45" s="28"/>
      <c r="B45" s="29"/>
      <c r="C45" s="30"/>
      <c r="D45" s="31"/>
      <c r="E45" s="41"/>
      <c r="F45" s="42"/>
      <c r="G45" s="43"/>
      <c r="H45" s="35"/>
      <c r="I45" s="36"/>
      <c r="J45" s="37"/>
      <c r="K45" s="38">
        <f t="shared" si="0"/>
        <v>0</v>
      </c>
      <c r="L45" s="39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617</v>
      </c>
      <c r="B47" s="76" t="s">
        <v>21</v>
      </c>
      <c r="C47" s="46">
        <v>25.76</v>
      </c>
      <c r="D47" s="47" t="s">
        <v>227</v>
      </c>
      <c r="E47" s="48">
        <v>45</v>
      </c>
      <c r="F47" s="49">
        <v>26.1</v>
      </c>
      <c r="G47" s="50" t="s">
        <v>19</v>
      </c>
      <c r="H47" s="51">
        <v>2134</v>
      </c>
      <c r="I47" s="45">
        <v>3353</v>
      </c>
      <c r="J47" s="52">
        <v>4</v>
      </c>
      <c r="K47" s="53">
        <f t="shared" si="0"/>
        <v>28.621207999999999</v>
      </c>
      <c r="L47" s="54"/>
    </row>
    <row r="48" spans="1:12" s="55" customFormat="1" ht="19.5" customHeight="1" x14ac:dyDescent="0.3">
      <c r="A48" s="44"/>
      <c r="B48" s="45"/>
      <c r="C48" s="77"/>
      <c r="D48" s="78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620</v>
      </c>
      <c r="B49" s="76" t="s">
        <v>21</v>
      </c>
      <c r="C49" s="46">
        <v>25.76</v>
      </c>
      <c r="D49" s="47" t="s">
        <v>227</v>
      </c>
      <c r="E49" s="48">
        <v>90</v>
      </c>
      <c r="F49" s="49">
        <v>44</v>
      </c>
      <c r="G49" s="50" t="s">
        <v>19</v>
      </c>
      <c r="H49" s="51">
        <v>2134</v>
      </c>
      <c r="I49" s="45">
        <v>3353</v>
      </c>
      <c r="J49" s="52">
        <v>6</v>
      </c>
      <c r="K49" s="53">
        <f t="shared" si="0"/>
        <v>42.931812000000001</v>
      </c>
      <c r="L49" s="54"/>
    </row>
    <row r="50" spans="1:12" s="55" customFormat="1" ht="19.5" customHeight="1" x14ac:dyDescent="0.3">
      <c r="A50" s="44"/>
      <c r="B50" s="76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656</v>
      </c>
      <c r="B51" s="76" t="s">
        <v>21</v>
      </c>
      <c r="C51" s="46">
        <v>25.76</v>
      </c>
      <c r="D51" s="47" t="s">
        <v>227</v>
      </c>
      <c r="E51" s="48">
        <v>35</v>
      </c>
      <c r="F51" s="49">
        <v>16.7</v>
      </c>
      <c r="G51" s="50" t="s">
        <v>19</v>
      </c>
      <c r="H51" s="51">
        <v>2134</v>
      </c>
      <c r="I51" s="45">
        <v>3353</v>
      </c>
      <c r="J51" s="52">
        <v>3</v>
      </c>
      <c r="K51" s="53">
        <f t="shared" si="0"/>
        <v>21.465906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657</v>
      </c>
      <c r="B53" s="76" t="s">
        <v>21</v>
      </c>
      <c r="C53" s="46">
        <v>25.76</v>
      </c>
      <c r="D53" s="47" t="s">
        <v>227</v>
      </c>
      <c r="E53" s="48">
        <v>35</v>
      </c>
      <c r="F53" s="49">
        <v>20.8</v>
      </c>
      <c r="G53" s="50" t="s">
        <v>19</v>
      </c>
      <c r="H53" s="51">
        <v>2134</v>
      </c>
      <c r="I53" s="45">
        <v>3353</v>
      </c>
      <c r="J53" s="52">
        <v>3</v>
      </c>
      <c r="K53" s="53">
        <f t="shared" si="0"/>
        <v>21.465906</v>
      </c>
      <c r="L53" s="54"/>
    </row>
    <row r="54" spans="1:12" s="55" customFormat="1" ht="19.5" customHeight="1" x14ac:dyDescent="0.3">
      <c r="A54" s="44"/>
      <c r="B54" s="45"/>
      <c r="C54" s="77">
        <v>22</v>
      </c>
      <c r="D54" s="78" t="s">
        <v>17</v>
      </c>
      <c r="E54" s="48">
        <v>125</v>
      </c>
      <c r="F54" s="49">
        <v>107.95</v>
      </c>
      <c r="G54" s="50" t="s">
        <v>18</v>
      </c>
      <c r="H54" s="51">
        <v>2590</v>
      </c>
      <c r="I54" s="45">
        <v>3353</v>
      </c>
      <c r="J54" s="52">
        <v>14</v>
      </c>
      <c r="K54" s="53">
        <f t="shared" si="0"/>
        <v>121.57977999999997</v>
      </c>
      <c r="L54" s="54" t="s">
        <v>100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666</v>
      </c>
      <c r="B56" s="76" t="s">
        <v>21</v>
      </c>
      <c r="C56" s="46">
        <v>25.76</v>
      </c>
      <c r="D56" s="47" t="s">
        <v>227</v>
      </c>
      <c r="E56" s="48">
        <v>90</v>
      </c>
      <c r="F56" s="49">
        <v>52.2</v>
      </c>
      <c r="G56" s="50" t="s">
        <v>19</v>
      </c>
      <c r="H56" s="51">
        <v>2134</v>
      </c>
      <c r="I56" s="45">
        <v>3353</v>
      </c>
      <c r="J56" s="52">
        <v>8</v>
      </c>
      <c r="K56" s="53">
        <f t="shared" si="0"/>
        <v>57.242415999999999</v>
      </c>
      <c r="L56" s="54"/>
    </row>
    <row r="57" spans="1:12" s="55" customFormat="1" ht="19.5" customHeight="1" x14ac:dyDescent="0.3">
      <c r="A57" s="44"/>
      <c r="B57" s="45"/>
      <c r="C57" s="77">
        <v>22</v>
      </c>
      <c r="D57" s="78" t="s">
        <v>17</v>
      </c>
      <c r="E57" s="48">
        <v>210</v>
      </c>
      <c r="F57" s="49">
        <v>190.4</v>
      </c>
      <c r="G57" s="50" t="s">
        <v>19</v>
      </c>
      <c r="H57" s="51">
        <v>1981</v>
      </c>
      <c r="I57" s="45">
        <v>3353</v>
      </c>
      <c r="J57" s="52">
        <v>31</v>
      </c>
      <c r="K57" s="53">
        <f t="shared" si="0"/>
        <v>205.91108300000002</v>
      </c>
      <c r="L57" s="54"/>
    </row>
    <row r="58" spans="1:12" s="55" customFormat="1" ht="19.5" customHeight="1" x14ac:dyDescent="0.3">
      <c r="A58" s="44"/>
      <c r="B58" s="45"/>
      <c r="C58" s="77"/>
      <c r="D58" s="78"/>
      <c r="E58" s="48"/>
      <c r="F58" s="49"/>
      <c r="G58" s="50" t="s">
        <v>18</v>
      </c>
      <c r="H58" s="51">
        <v>2590</v>
      </c>
      <c r="I58" s="45">
        <v>3353</v>
      </c>
      <c r="J58" s="52">
        <v>24</v>
      </c>
      <c r="K58" s="53">
        <f t="shared" si="0"/>
        <v>208.42247999999995</v>
      </c>
      <c r="L58" s="54"/>
    </row>
    <row r="59" spans="1:12" s="55" customFormat="1" ht="19.5" customHeight="1" x14ac:dyDescent="0.3">
      <c r="A59" s="44"/>
      <c r="B59" s="45"/>
      <c r="C59" s="77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667</v>
      </c>
      <c r="B60" s="45" t="s">
        <v>187</v>
      </c>
      <c r="C60" s="77">
        <v>28</v>
      </c>
      <c r="D60" s="78" t="s">
        <v>188</v>
      </c>
      <c r="E60" s="48">
        <v>45</v>
      </c>
      <c r="F60" s="49">
        <v>65.900000000000006</v>
      </c>
      <c r="G60" s="50" t="s">
        <v>189</v>
      </c>
      <c r="H60" s="51">
        <v>2438</v>
      </c>
      <c r="I60" s="45">
        <v>3048</v>
      </c>
      <c r="J60" s="52">
        <v>7</v>
      </c>
      <c r="K60" s="53">
        <f t="shared" si="0"/>
        <v>52.017168000000005</v>
      </c>
      <c r="L60" s="54" t="s">
        <v>100</v>
      </c>
    </row>
    <row r="61" spans="1:12" s="55" customFormat="1" ht="19.5" customHeight="1" x14ac:dyDescent="0.3">
      <c r="A61" s="44"/>
      <c r="B61" s="45"/>
      <c r="C61" s="77"/>
      <c r="D61" s="78"/>
      <c r="E61" s="48"/>
      <c r="F61" s="49"/>
      <c r="G61" s="50" t="s">
        <v>189</v>
      </c>
      <c r="H61" s="51">
        <v>2438</v>
      </c>
      <c r="I61" s="45">
        <v>3353</v>
      </c>
      <c r="J61" s="52">
        <v>2</v>
      </c>
      <c r="K61" s="53">
        <f t="shared" si="0"/>
        <v>16.349228</v>
      </c>
      <c r="L61" s="54"/>
    </row>
    <row r="62" spans="1:12" s="55" customFormat="1" ht="19.5" customHeight="1" x14ac:dyDescent="0.3">
      <c r="A62" s="44"/>
      <c r="B62" s="45"/>
      <c r="C62" s="77"/>
      <c r="D62" s="78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57</v>
      </c>
      <c r="B63" s="45"/>
      <c r="C63" s="77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674</v>
      </c>
      <c r="B64" s="45" t="s">
        <v>675</v>
      </c>
      <c r="C64" s="77">
        <v>22</v>
      </c>
      <c r="D64" s="78" t="s">
        <v>685</v>
      </c>
      <c r="E64" s="48">
        <v>180</v>
      </c>
      <c r="F64" s="49">
        <v>207.1</v>
      </c>
      <c r="G64" s="50" t="s">
        <v>19</v>
      </c>
      <c r="H64" s="51">
        <v>2134</v>
      </c>
      <c r="I64" s="45">
        <v>3353</v>
      </c>
      <c r="J64" s="52">
        <v>13</v>
      </c>
      <c r="K64" s="53">
        <f t="shared" si="0"/>
        <v>93.018925999999993</v>
      </c>
      <c r="L64" s="54" t="s">
        <v>679</v>
      </c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 t="s">
        <v>19</v>
      </c>
      <c r="H65" s="51">
        <v>1981</v>
      </c>
      <c r="I65" s="45">
        <v>3353</v>
      </c>
      <c r="J65" s="52">
        <v>25</v>
      </c>
      <c r="K65" s="53">
        <f t="shared" si="0"/>
        <v>166.05732500000002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693</v>
      </c>
      <c r="B67" s="45" t="s">
        <v>694</v>
      </c>
      <c r="C67" s="46">
        <v>26</v>
      </c>
      <c r="D67" s="47" t="s">
        <v>695</v>
      </c>
      <c r="E67" s="48">
        <v>64</v>
      </c>
      <c r="F67" s="49">
        <v>43.25</v>
      </c>
      <c r="G67" s="50" t="s">
        <v>696</v>
      </c>
      <c r="H67" s="51">
        <v>2438</v>
      </c>
      <c r="I67" s="45">
        <v>3353</v>
      </c>
      <c r="J67" s="52">
        <v>6</v>
      </c>
      <c r="K67" s="53">
        <f t="shared" si="0"/>
        <v>49.047684000000004</v>
      </c>
      <c r="L67" s="54" t="s">
        <v>679</v>
      </c>
    </row>
    <row r="68" spans="1:12" s="55" customFormat="1" ht="19.5" customHeight="1" x14ac:dyDescent="0.3">
      <c r="A68" s="44"/>
      <c r="B68" s="76"/>
      <c r="C68" s="77"/>
      <c r="D68" s="78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76"/>
      <c r="C69" s="77"/>
      <c r="D69" s="78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9" customFormat="1" ht="20.100000000000001" customHeight="1" x14ac:dyDescent="0.3">
      <c r="A73" s="44"/>
      <c r="B73" s="45"/>
      <c r="C73" s="46"/>
      <c r="D73" s="47"/>
      <c r="E73" s="56"/>
      <c r="F73" s="57"/>
      <c r="G73" s="50"/>
      <c r="H73" s="51"/>
      <c r="I73" s="45"/>
      <c r="J73" s="52"/>
      <c r="K73" s="53">
        <f t="shared" si="0"/>
        <v>0</v>
      </c>
      <c r="L73" s="58">
        <f>SUM(J46:J74)</f>
        <v>146</v>
      </c>
    </row>
    <row r="74" spans="1:12" s="59" customFormat="1" ht="20.100000000000001" customHeight="1" x14ac:dyDescent="0.3">
      <c r="A74" s="44"/>
      <c r="B74" s="45"/>
      <c r="C74" s="46"/>
      <c r="D74" s="47"/>
      <c r="E74" s="60"/>
      <c r="F74" s="61"/>
      <c r="G74" s="62"/>
      <c r="H74" s="51"/>
      <c r="I74" s="45"/>
      <c r="J74" s="63"/>
      <c r="K74" s="53">
        <f t="shared" si="0"/>
        <v>0</v>
      </c>
      <c r="L74" s="64">
        <f>SUM(K46:K74)</f>
        <v>1084.1309219999998</v>
      </c>
    </row>
    <row r="75" spans="1:12" s="59" customFormat="1" ht="20.100000000000001" customHeight="1" thickBot="1" x14ac:dyDescent="0.35">
      <c r="A75" s="114"/>
      <c r="B75" s="115"/>
      <c r="C75" s="115"/>
      <c r="D75" s="115"/>
      <c r="E75" s="115"/>
      <c r="F75" s="115"/>
      <c r="G75" s="115"/>
      <c r="H75" s="115"/>
      <c r="I75" s="115"/>
      <c r="J75" s="65">
        <f>SUM(J7:J74)</f>
        <v>332</v>
      </c>
      <c r="K75" s="66">
        <f>SUM(K7:K74)</f>
        <v>2255.3975290000003</v>
      </c>
      <c r="L75" s="67"/>
    </row>
    <row r="76" spans="1:12" s="59" customFormat="1" ht="20.100000000000001" customHeight="1" thickTop="1" thickBot="1" x14ac:dyDescent="0.35">
      <c r="A76" s="116" t="s">
        <v>52</v>
      </c>
      <c r="B76" s="117"/>
      <c r="C76" s="68"/>
      <c r="D76" s="118">
        <f>J75</f>
        <v>332</v>
      </c>
      <c r="E76" s="119"/>
      <c r="F76" s="119"/>
      <c r="G76" s="120"/>
      <c r="H76" s="121"/>
      <c r="I76" s="121"/>
      <c r="J76" s="122"/>
      <c r="K76" s="119"/>
      <c r="L76" s="123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71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72"/>
      <c r="F82" s="5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5"/>
      <c r="G83" s="73"/>
      <c r="H83" s="5"/>
      <c r="I83" s="74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72"/>
      <c r="I87" s="72"/>
      <c r="J87" s="5"/>
      <c r="K87" s="5"/>
      <c r="L87" s="5"/>
    </row>
    <row r="88" spans="1:12" ht="20.100000000000001" customHeight="1" x14ac:dyDescent="0.3">
      <c r="A88" s="113"/>
      <c r="B88" s="113"/>
      <c r="H88" s="72"/>
      <c r="I88" s="72"/>
    </row>
    <row r="89" spans="1:12" ht="20.100000000000001" customHeight="1" x14ac:dyDescent="0.3"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A91" s="113"/>
      <c r="B91" s="113"/>
      <c r="H91" s="72"/>
      <c r="I91" s="72"/>
    </row>
    <row r="92" spans="1:12" ht="20.100000000000001" customHeight="1" x14ac:dyDescent="0.3">
      <c r="A92" s="113"/>
      <c r="B92" s="113"/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H95" s="72"/>
      <c r="I95" s="72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J96" s="5"/>
      <c r="K96" s="5"/>
      <c r="L96" s="5"/>
    </row>
    <row r="97" spans="1:12" s="72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5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5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5" customFormat="1" ht="19.5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2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ht="19.5" customHeight="1" x14ac:dyDescent="0.3"/>
    <row r="104" spans="1:12" ht="19.5" customHeight="1" x14ac:dyDescent="0.3"/>
    <row r="105" spans="1:12" ht="19.5" customHeight="1" x14ac:dyDescent="0.3"/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>
        <v>2</v>
      </c>
      <c r="C166" s="5"/>
      <c r="D166" s="5"/>
      <c r="E166" s="5"/>
      <c r="F166" s="70"/>
      <c r="G166" s="5"/>
      <c r="H166" s="5"/>
      <c r="I166" s="5"/>
      <c r="J166" s="5"/>
      <c r="K166" s="5"/>
      <c r="L166" s="5"/>
    </row>
  </sheetData>
  <mergeCells count="30">
    <mergeCell ref="A91:B91"/>
    <mergeCell ref="A92:B92"/>
    <mergeCell ref="A82:B82"/>
    <mergeCell ref="A83:B83"/>
    <mergeCell ref="A84:B84"/>
    <mergeCell ref="A86:B86"/>
    <mergeCell ref="A87:B87"/>
    <mergeCell ref="A88:B88"/>
    <mergeCell ref="A81:B8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5:I75"/>
    <mergeCell ref="A76:B76"/>
    <mergeCell ref="D76:G76"/>
    <mergeCell ref="H76:J76"/>
    <mergeCell ref="K76:L76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pageSetUpPr fitToPage="1"/>
  </sheetPr>
  <dimension ref="A1:L156"/>
  <sheetViews>
    <sheetView view="pageBreakPreview" topLeftCell="A38" zoomScale="85" zoomScaleSheetLayoutView="85" workbookViewId="0">
      <selection activeCell="A54" sqref="A5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46042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4" si="0">(H7/1000*I7/1000)*J7</f>
        <v>0</v>
      </c>
      <c r="L7" s="26">
        <f>SUM(J7:J35)</f>
        <v>205</v>
      </c>
    </row>
    <row r="8" spans="1:12" s="27" customFormat="1" ht="19.5" customHeight="1" x14ac:dyDescent="0.3">
      <c r="A8" s="28"/>
      <c r="B8" s="16"/>
      <c r="C8" s="17"/>
      <c r="D8" s="31"/>
      <c r="E8" s="41"/>
      <c r="F8" s="42"/>
      <c r="G8" s="34"/>
      <c r="H8" s="35"/>
      <c r="I8" s="36"/>
      <c r="J8" s="37"/>
      <c r="K8" s="38">
        <f t="shared" si="0"/>
        <v>0</v>
      </c>
      <c r="L8" s="39">
        <f>SUM(K7:K35)</f>
        <v>1262.0519920000002</v>
      </c>
    </row>
    <row r="9" spans="1:12" s="27" customFormat="1" ht="19.5" customHeight="1" x14ac:dyDescent="0.3">
      <c r="A9" s="28" t="s">
        <v>608</v>
      </c>
      <c r="B9" s="16" t="s">
        <v>609</v>
      </c>
      <c r="C9" s="17">
        <v>22</v>
      </c>
      <c r="D9" s="18" t="s">
        <v>320</v>
      </c>
      <c r="E9" s="79">
        <v>160</v>
      </c>
      <c r="F9" s="80">
        <v>111.04</v>
      </c>
      <c r="G9" s="34" t="s">
        <v>39</v>
      </c>
      <c r="H9" s="35">
        <v>1829</v>
      </c>
      <c r="I9" s="36">
        <v>3353</v>
      </c>
      <c r="J9" s="37">
        <v>20</v>
      </c>
      <c r="K9" s="38">
        <f t="shared" si="0"/>
        <v>122.65273999999999</v>
      </c>
      <c r="L9" s="39" t="s">
        <v>641</v>
      </c>
    </row>
    <row r="10" spans="1:12" s="27" customFormat="1" ht="19.5" customHeight="1" x14ac:dyDescent="0.3">
      <c r="A10" s="28"/>
      <c r="B10" s="16"/>
      <c r="C10" s="17"/>
      <c r="D10" s="18"/>
      <c r="E10" s="81"/>
      <c r="F10" s="8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610</v>
      </c>
      <c r="B11" s="16" t="s">
        <v>609</v>
      </c>
      <c r="C11" s="17">
        <v>22</v>
      </c>
      <c r="D11" s="18" t="s">
        <v>320</v>
      </c>
      <c r="E11" s="79">
        <v>151</v>
      </c>
      <c r="F11" s="80">
        <v>121.74</v>
      </c>
      <c r="G11" s="34" t="s">
        <v>18</v>
      </c>
      <c r="H11" s="35">
        <v>1829</v>
      </c>
      <c r="I11" s="36">
        <v>3353</v>
      </c>
      <c r="J11" s="37">
        <v>21</v>
      </c>
      <c r="K11" s="38">
        <f t="shared" si="0"/>
        <v>128.78537700000001</v>
      </c>
      <c r="L11" s="39" t="s">
        <v>321</v>
      </c>
    </row>
    <row r="12" spans="1:12" s="27" customFormat="1" ht="19.5" customHeight="1" x14ac:dyDescent="0.3">
      <c r="A12" s="28"/>
      <c r="B12" s="16"/>
      <c r="C12" s="17"/>
      <c r="D12" s="18"/>
      <c r="E12" s="81"/>
      <c r="F12" s="82"/>
      <c r="G12" s="34" t="s">
        <v>39</v>
      </c>
      <c r="H12" s="35">
        <v>1829</v>
      </c>
      <c r="I12" s="36">
        <v>3353</v>
      </c>
      <c r="J12" s="37">
        <v>21</v>
      </c>
      <c r="K12" s="38">
        <f t="shared" si="0"/>
        <v>128.78537700000001</v>
      </c>
      <c r="L12" s="39" t="s">
        <v>321</v>
      </c>
    </row>
    <row r="13" spans="1:12" s="27" customFormat="1" ht="19.5" customHeight="1" x14ac:dyDescent="0.3">
      <c r="A13" s="28"/>
      <c r="B13" s="16"/>
      <c r="C13" s="17"/>
      <c r="D13" s="18"/>
      <c r="E13" s="81"/>
      <c r="F13" s="8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611</v>
      </c>
      <c r="B14" s="16" t="s">
        <v>612</v>
      </c>
      <c r="C14" s="17">
        <v>16</v>
      </c>
      <c r="D14" s="31" t="s">
        <v>613</v>
      </c>
      <c r="E14" s="81">
        <v>1</v>
      </c>
      <c r="F14" s="82">
        <v>0.55000000000000004</v>
      </c>
      <c r="G14" s="34"/>
      <c r="H14" s="35"/>
      <c r="I14" s="36"/>
      <c r="J14" s="37"/>
      <c r="K14" s="38">
        <f t="shared" si="0"/>
        <v>0</v>
      </c>
      <c r="L14" s="39" t="s">
        <v>614</v>
      </c>
    </row>
    <row r="15" spans="1:12" s="27" customFormat="1" ht="19.5" customHeight="1" x14ac:dyDescent="0.3">
      <c r="A15" s="28"/>
      <c r="B15" s="16"/>
      <c r="C15" s="17"/>
      <c r="D15" s="18"/>
      <c r="E15" s="81"/>
      <c r="F15" s="8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615</v>
      </c>
      <c r="B16" s="16" t="s">
        <v>616</v>
      </c>
      <c r="C16" s="17">
        <v>22</v>
      </c>
      <c r="D16" s="31" t="s">
        <v>307</v>
      </c>
      <c r="E16" s="81">
        <v>140</v>
      </c>
      <c r="F16" s="82">
        <v>115</v>
      </c>
      <c r="G16" s="34" t="s">
        <v>49</v>
      </c>
      <c r="H16" s="35">
        <v>1829</v>
      </c>
      <c r="I16" s="36">
        <v>3353</v>
      </c>
      <c r="J16" s="37">
        <v>20</v>
      </c>
      <c r="K16" s="38">
        <f t="shared" si="0"/>
        <v>122.65273999999999</v>
      </c>
      <c r="L16" s="39" t="s">
        <v>321</v>
      </c>
    </row>
    <row r="17" spans="1:12" s="27" customFormat="1" ht="19.5" customHeight="1" x14ac:dyDescent="0.3">
      <c r="A17" s="28"/>
      <c r="B17" s="16"/>
      <c r="C17" s="17">
        <v>22</v>
      </c>
      <c r="D17" s="18" t="s">
        <v>320</v>
      </c>
      <c r="E17" s="81">
        <v>140</v>
      </c>
      <c r="F17" s="82">
        <v>115</v>
      </c>
      <c r="G17" s="34" t="s">
        <v>18</v>
      </c>
      <c r="H17" s="35">
        <v>1829</v>
      </c>
      <c r="I17" s="36">
        <v>3353</v>
      </c>
      <c r="J17" s="37">
        <v>20</v>
      </c>
      <c r="K17" s="38">
        <f t="shared" si="0"/>
        <v>122.65273999999999</v>
      </c>
      <c r="L17" s="39" t="s">
        <v>321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39</v>
      </c>
      <c r="H18" s="35">
        <v>1829</v>
      </c>
      <c r="I18" s="36">
        <v>3353</v>
      </c>
      <c r="J18" s="37">
        <v>40</v>
      </c>
      <c r="K18" s="38">
        <f t="shared" si="0"/>
        <v>245.30547999999999</v>
      </c>
      <c r="L18" s="39" t="s">
        <v>321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631</v>
      </c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632</v>
      </c>
      <c r="B21" s="16" t="s">
        <v>633</v>
      </c>
      <c r="C21" s="17">
        <v>22</v>
      </c>
      <c r="D21" s="18" t="s">
        <v>634</v>
      </c>
      <c r="E21" s="41">
        <v>4</v>
      </c>
      <c r="F21" s="42">
        <v>4.67</v>
      </c>
      <c r="G21" s="34" t="s">
        <v>636</v>
      </c>
      <c r="H21" s="35">
        <v>1829</v>
      </c>
      <c r="I21" s="36">
        <v>3353</v>
      </c>
      <c r="J21" s="37">
        <v>1</v>
      </c>
      <c r="K21" s="38">
        <f t="shared" si="0"/>
        <v>6.1326369999999999</v>
      </c>
      <c r="L21" s="39"/>
    </row>
    <row r="22" spans="1:12" s="27" customFormat="1" ht="19.5" customHeight="1" x14ac:dyDescent="0.3">
      <c r="A22" s="28"/>
      <c r="B22" s="16"/>
      <c r="C22" s="17">
        <v>22</v>
      </c>
      <c r="D22" s="18" t="s">
        <v>635</v>
      </c>
      <c r="E22" s="41">
        <v>1</v>
      </c>
      <c r="F22" s="42">
        <v>3.22</v>
      </c>
      <c r="G22" s="34" t="s">
        <v>637</v>
      </c>
      <c r="H22" s="35">
        <v>1981</v>
      </c>
      <c r="I22" s="36">
        <v>3353</v>
      </c>
      <c r="J22" s="37">
        <v>1</v>
      </c>
      <c r="K22" s="38">
        <f t="shared" si="0"/>
        <v>6.6422930000000004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 t="s">
        <v>19</v>
      </c>
      <c r="H23" s="35">
        <v>1981</v>
      </c>
      <c r="I23" s="36">
        <v>3353</v>
      </c>
      <c r="J23" s="37">
        <v>1</v>
      </c>
      <c r="K23" s="38">
        <f t="shared" si="0"/>
        <v>6.6422930000000004</v>
      </c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638</v>
      </c>
      <c r="B25" s="16" t="s">
        <v>639</v>
      </c>
      <c r="C25" s="17">
        <v>22</v>
      </c>
      <c r="D25" s="18" t="s">
        <v>634</v>
      </c>
      <c r="E25" s="41">
        <v>60</v>
      </c>
      <c r="F25" s="42">
        <v>17.399999999999999</v>
      </c>
      <c r="G25" s="34" t="s">
        <v>636</v>
      </c>
      <c r="H25" s="35">
        <v>1981</v>
      </c>
      <c r="I25" s="36">
        <v>3048</v>
      </c>
      <c r="J25" s="37">
        <v>3</v>
      </c>
      <c r="K25" s="38">
        <f t="shared" ref="K25:K30" si="1">(H25/1000*I25/1000)*J25</f>
        <v>18.114264000000002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 t="s">
        <v>19</v>
      </c>
      <c r="H26" s="35">
        <v>1981</v>
      </c>
      <c r="I26" s="36">
        <v>3353</v>
      </c>
      <c r="J26" s="37">
        <v>3</v>
      </c>
      <c r="K26" s="38">
        <f t="shared" si="1"/>
        <v>19.926879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>
        <f t="shared" si="1"/>
        <v>0</v>
      </c>
      <c r="L27" s="39"/>
    </row>
    <row r="28" spans="1:12" s="27" customFormat="1" ht="19.5" customHeight="1" x14ac:dyDescent="0.3">
      <c r="A28" s="28" t="s">
        <v>640</v>
      </c>
      <c r="B28" s="16" t="s">
        <v>353</v>
      </c>
      <c r="C28" s="17">
        <v>22</v>
      </c>
      <c r="D28" s="31" t="s">
        <v>307</v>
      </c>
      <c r="E28" s="41">
        <v>288</v>
      </c>
      <c r="F28" s="42">
        <v>255.28</v>
      </c>
      <c r="G28" s="34" t="s">
        <v>39</v>
      </c>
      <c r="H28" s="35">
        <v>1829</v>
      </c>
      <c r="I28" s="36">
        <v>3353</v>
      </c>
      <c r="J28" s="37">
        <v>39</v>
      </c>
      <c r="K28" s="38">
        <f t="shared" si="1"/>
        <v>239.172843</v>
      </c>
      <c r="L28" s="39" t="s">
        <v>425</v>
      </c>
    </row>
    <row r="29" spans="1:12" s="27" customFormat="1" ht="19.5" customHeight="1" x14ac:dyDescent="0.3">
      <c r="A29" s="28"/>
      <c r="B29" s="16"/>
      <c r="C29" s="17"/>
      <c r="D29" s="18"/>
      <c r="E29" s="41"/>
      <c r="F29" s="42"/>
      <c r="G29" s="34"/>
      <c r="H29" s="35"/>
      <c r="I29" s="36"/>
      <c r="J29" s="37"/>
      <c r="K29" s="38">
        <f t="shared" si="1"/>
        <v>0</v>
      </c>
      <c r="L29" s="39"/>
    </row>
    <row r="30" spans="1:12" s="27" customFormat="1" ht="19.5" customHeight="1" x14ac:dyDescent="0.3">
      <c r="A30" s="28" t="s">
        <v>642</v>
      </c>
      <c r="B30" s="16" t="s">
        <v>353</v>
      </c>
      <c r="C30" s="17">
        <v>22</v>
      </c>
      <c r="D30" s="31" t="s">
        <v>307</v>
      </c>
      <c r="E30" s="41">
        <v>64</v>
      </c>
      <c r="F30" s="42">
        <v>74.88</v>
      </c>
      <c r="G30" s="34" t="s">
        <v>39</v>
      </c>
      <c r="H30" s="35">
        <v>1829</v>
      </c>
      <c r="I30" s="36">
        <v>3353</v>
      </c>
      <c r="J30" s="37">
        <v>13</v>
      </c>
      <c r="K30" s="38">
        <f t="shared" si="1"/>
        <v>79.724281000000005</v>
      </c>
      <c r="L30" s="39" t="s">
        <v>659</v>
      </c>
    </row>
    <row r="31" spans="1:12" s="27" customFormat="1" ht="19.5" customHeight="1" x14ac:dyDescent="0.3">
      <c r="A31" s="28"/>
      <c r="B31" s="16"/>
      <c r="C31" s="17"/>
      <c r="D31" s="18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 t="s">
        <v>643</v>
      </c>
      <c r="B32" s="16" t="s">
        <v>644</v>
      </c>
      <c r="C32" s="17">
        <v>17</v>
      </c>
      <c r="D32" s="31" t="s">
        <v>645</v>
      </c>
      <c r="E32" s="41">
        <v>12</v>
      </c>
      <c r="F32" s="42">
        <v>12.38</v>
      </c>
      <c r="G32" s="34" t="s">
        <v>636</v>
      </c>
      <c r="H32" s="35">
        <v>2438</v>
      </c>
      <c r="I32" s="36">
        <v>3048</v>
      </c>
      <c r="J32" s="37">
        <v>2</v>
      </c>
      <c r="K32" s="38">
        <f t="shared" si="0"/>
        <v>14.862048000000001</v>
      </c>
      <c r="L32" s="39" t="s">
        <v>646</v>
      </c>
    </row>
    <row r="33" spans="1:12" s="27" customFormat="1" ht="19.5" customHeight="1" x14ac:dyDescent="0.3">
      <c r="A33" s="28"/>
      <c r="B33" s="16"/>
      <c r="C33" s="17"/>
      <c r="D33" s="31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16"/>
      <c r="C34" s="17"/>
      <c r="D34" s="31"/>
      <c r="E34" s="41"/>
      <c r="F34" s="42"/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29"/>
      <c r="C35" s="30"/>
      <c r="D35" s="31"/>
      <c r="E35" s="41"/>
      <c r="F35" s="42"/>
      <c r="G35" s="43"/>
      <c r="H35" s="35"/>
      <c r="I35" s="36"/>
      <c r="J35" s="37"/>
      <c r="K35" s="38">
        <f t="shared" si="0"/>
        <v>0</v>
      </c>
      <c r="L35" s="39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617</v>
      </c>
      <c r="B37" s="76" t="s">
        <v>618</v>
      </c>
      <c r="C37" s="46">
        <v>22</v>
      </c>
      <c r="D37" s="47" t="s">
        <v>619</v>
      </c>
      <c r="E37" s="48">
        <v>105</v>
      </c>
      <c r="F37" s="49">
        <v>95.2</v>
      </c>
      <c r="G37" s="50" t="s">
        <v>18</v>
      </c>
      <c r="H37" s="51">
        <v>2590</v>
      </c>
      <c r="I37" s="45">
        <v>3353</v>
      </c>
      <c r="J37" s="52">
        <v>12</v>
      </c>
      <c r="K37" s="53">
        <f t="shared" si="0"/>
        <v>104.21123999999998</v>
      </c>
      <c r="L37" s="54"/>
    </row>
    <row r="38" spans="1:12" s="55" customFormat="1" ht="19.5" customHeight="1" x14ac:dyDescent="0.3">
      <c r="A38" s="44"/>
      <c r="B38" s="45"/>
      <c r="C38" s="77"/>
      <c r="D38" s="78"/>
      <c r="E38" s="48"/>
      <c r="F38" s="49"/>
      <c r="G38" s="50" t="s">
        <v>19</v>
      </c>
      <c r="H38" s="51">
        <v>1981</v>
      </c>
      <c r="I38" s="45">
        <v>3353</v>
      </c>
      <c r="J38" s="52">
        <v>15</v>
      </c>
      <c r="K38" s="53">
        <f t="shared" si="0"/>
        <v>99.634395000000012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620</v>
      </c>
      <c r="B40" s="76" t="s">
        <v>621</v>
      </c>
      <c r="C40" s="46">
        <v>22</v>
      </c>
      <c r="D40" s="47" t="s">
        <v>619</v>
      </c>
      <c r="E40" s="48">
        <v>200</v>
      </c>
      <c r="F40" s="49">
        <v>167.9</v>
      </c>
      <c r="G40" s="50" t="s">
        <v>18</v>
      </c>
      <c r="H40" s="51">
        <v>2590</v>
      </c>
      <c r="I40" s="45">
        <v>3353</v>
      </c>
      <c r="J40" s="52">
        <v>21</v>
      </c>
      <c r="K40" s="53">
        <f t="shared" ref="K40:K41" si="2">(H40/1000*I40/1000)*J40</f>
        <v>182.36966999999996</v>
      </c>
      <c r="L40" s="54"/>
    </row>
    <row r="41" spans="1:12" s="55" customFormat="1" ht="19.5" customHeight="1" x14ac:dyDescent="0.3">
      <c r="A41" s="44"/>
      <c r="B41" s="45"/>
      <c r="C41" s="77"/>
      <c r="D41" s="78"/>
      <c r="E41" s="48"/>
      <c r="F41" s="49"/>
      <c r="G41" s="50" t="s">
        <v>19</v>
      </c>
      <c r="H41" s="51">
        <v>1981</v>
      </c>
      <c r="I41" s="45">
        <v>3353</v>
      </c>
      <c r="J41" s="52">
        <v>29</v>
      </c>
      <c r="K41" s="53">
        <f t="shared" si="2"/>
        <v>192.626497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622</v>
      </c>
      <c r="B43" s="76" t="s">
        <v>621</v>
      </c>
      <c r="C43" s="46">
        <v>22</v>
      </c>
      <c r="D43" s="47" t="s">
        <v>623</v>
      </c>
      <c r="E43" s="48">
        <v>15</v>
      </c>
      <c r="F43" s="49">
        <v>16.5</v>
      </c>
      <c r="G43" s="50" t="s">
        <v>18</v>
      </c>
      <c r="H43" s="51">
        <v>2590</v>
      </c>
      <c r="I43" s="45">
        <v>3048</v>
      </c>
      <c r="J43" s="52">
        <v>6</v>
      </c>
      <c r="K43" s="53">
        <f t="shared" si="0"/>
        <v>47.365919999999996</v>
      </c>
      <c r="L43" s="54" t="s">
        <v>660</v>
      </c>
    </row>
    <row r="44" spans="1:12" s="55" customFormat="1" ht="19.5" customHeight="1" x14ac:dyDescent="0.3">
      <c r="A44" s="44"/>
      <c r="B44" s="45"/>
      <c r="C44" s="77">
        <v>46.76</v>
      </c>
      <c r="D44" s="78" t="s">
        <v>624</v>
      </c>
      <c r="E44" s="48">
        <v>5</v>
      </c>
      <c r="F44" s="49">
        <v>2.25</v>
      </c>
      <c r="G44" s="50" t="s">
        <v>19</v>
      </c>
      <c r="H44" s="51">
        <v>1981</v>
      </c>
      <c r="I44" s="45">
        <v>3353</v>
      </c>
      <c r="J44" s="52">
        <v>9</v>
      </c>
      <c r="K44" s="53">
        <f t="shared" si="0"/>
        <v>59.780637000000006</v>
      </c>
      <c r="L44" s="54" t="s">
        <v>660</v>
      </c>
    </row>
    <row r="45" spans="1:12" s="55" customFormat="1" ht="19.5" customHeight="1" x14ac:dyDescent="0.3">
      <c r="A45" s="44" t="s">
        <v>620</v>
      </c>
      <c r="B45" s="45" t="s">
        <v>618</v>
      </c>
      <c r="C45" s="46">
        <v>22</v>
      </c>
      <c r="D45" s="47" t="s">
        <v>37</v>
      </c>
      <c r="E45" s="48">
        <v>20</v>
      </c>
      <c r="F45" s="49">
        <v>28.2</v>
      </c>
      <c r="G45" s="50" t="s">
        <v>625</v>
      </c>
      <c r="H45" s="51">
        <v>1829</v>
      </c>
      <c r="I45" s="45">
        <v>3353</v>
      </c>
      <c r="J45" s="52">
        <v>2</v>
      </c>
      <c r="K45" s="53">
        <f t="shared" si="0"/>
        <v>12.265274</v>
      </c>
      <c r="L45" s="54" t="s">
        <v>660</v>
      </c>
    </row>
    <row r="46" spans="1:12" s="55" customFormat="1" ht="19.5" customHeight="1" x14ac:dyDescent="0.3">
      <c r="A46" s="44"/>
      <c r="B46" s="45"/>
      <c r="C46" s="77">
        <v>46.76</v>
      </c>
      <c r="D46" s="78" t="s">
        <v>624</v>
      </c>
      <c r="E46" s="48">
        <v>10</v>
      </c>
      <c r="F46" s="49">
        <v>4</v>
      </c>
      <c r="G46" s="50"/>
      <c r="H46" s="51"/>
      <c r="I46" s="45"/>
      <c r="J46" s="52"/>
      <c r="K46" s="53">
        <f t="shared" si="0"/>
        <v>0</v>
      </c>
      <c r="L46" s="54" t="s">
        <v>660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626</v>
      </c>
      <c r="B48" s="45" t="s">
        <v>627</v>
      </c>
      <c r="C48" s="77">
        <v>24</v>
      </c>
      <c r="D48" s="78" t="s">
        <v>628</v>
      </c>
      <c r="E48" s="48">
        <v>158</v>
      </c>
      <c r="F48" s="49">
        <v>172.39</v>
      </c>
      <c r="G48" s="50" t="s">
        <v>629</v>
      </c>
      <c r="H48" s="51">
        <v>2438</v>
      </c>
      <c r="I48" s="45">
        <v>3353</v>
      </c>
      <c r="J48" s="52">
        <v>22</v>
      </c>
      <c r="K48" s="53">
        <f t="shared" si="0"/>
        <v>179.841508</v>
      </c>
      <c r="L48" s="54" t="s">
        <v>630</v>
      </c>
    </row>
    <row r="49" spans="1:12" s="55" customFormat="1" ht="19.5" customHeight="1" x14ac:dyDescent="0.3">
      <c r="A49" s="44"/>
      <c r="B49" s="45"/>
      <c r="C49" s="77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631</v>
      </c>
      <c r="B50" s="45"/>
      <c r="C50" s="77"/>
      <c r="D50" s="78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647</v>
      </c>
      <c r="B51" s="45" t="s">
        <v>648</v>
      </c>
      <c r="C51" s="77">
        <v>26</v>
      </c>
      <c r="D51" s="78" t="s">
        <v>649</v>
      </c>
      <c r="E51" s="48">
        <v>5</v>
      </c>
      <c r="F51" s="49">
        <v>10.86</v>
      </c>
      <c r="G51" s="50" t="s">
        <v>650</v>
      </c>
      <c r="H51" s="51">
        <v>2438</v>
      </c>
      <c r="I51" s="45">
        <v>3353</v>
      </c>
      <c r="J51" s="52">
        <v>2</v>
      </c>
      <c r="K51" s="53">
        <f t="shared" si="0"/>
        <v>16.349228</v>
      </c>
      <c r="L51" s="54"/>
    </row>
    <row r="52" spans="1:12" s="55" customFormat="1" ht="19.5" customHeight="1" x14ac:dyDescent="0.3">
      <c r="A52" s="44"/>
      <c r="B52" s="45"/>
      <c r="C52" s="77"/>
      <c r="D52" s="78"/>
      <c r="E52" s="48"/>
      <c r="F52" s="49"/>
      <c r="G52" s="50" t="s">
        <v>636</v>
      </c>
      <c r="H52" s="51">
        <v>2438</v>
      </c>
      <c r="I52" s="45">
        <v>3048</v>
      </c>
      <c r="J52" s="52">
        <v>2</v>
      </c>
      <c r="K52" s="53">
        <f t="shared" si="0"/>
        <v>14.862048000000001</v>
      </c>
      <c r="L52" s="54"/>
    </row>
    <row r="53" spans="1:12" s="55" customFormat="1" ht="19.5" customHeight="1" x14ac:dyDescent="0.3">
      <c r="A53" s="44"/>
      <c r="B53" s="45"/>
      <c r="C53" s="77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651</v>
      </c>
      <c r="B54" s="45" t="s">
        <v>652</v>
      </c>
      <c r="C54" s="77">
        <v>28</v>
      </c>
      <c r="D54" s="78" t="s">
        <v>653</v>
      </c>
      <c r="E54" s="48">
        <v>1</v>
      </c>
      <c r="F54" s="49">
        <v>2.02</v>
      </c>
      <c r="G54" s="50" t="s">
        <v>654</v>
      </c>
      <c r="H54" s="51">
        <v>1829</v>
      </c>
      <c r="I54" s="45">
        <v>3353</v>
      </c>
      <c r="J54" s="52">
        <v>1</v>
      </c>
      <c r="K54" s="53">
        <f t="shared" si="0"/>
        <v>6.1326369999999999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 t="s">
        <v>655</v>
      </c>
      <c r="H55" s="51">
        <v>2134</v>
      </c>
      <c r="I55" s="45">
        <v>3048</v>
      </c>
      <c r="J55" s="52">
        <v>1</v>
      </c>
      <c r="K55" s="53">
        <f t="shared" si="0"/>
        <v>6.5044319999999995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656</v>
      </c>
      <c r="B57" s="45" t="s">
        <v>639</v>
      </c>
      <c r="C57" s="46">
        <v>22</v>
      </c>
      <c r="D57" s="47" t="s">
        <v>634</v>
      </c>
      <c r="E57" s="48">
        <v>120</v>
      </c>
      <c r="F57" s="49">
        <v>96.75</v>
      </c>
      <c r="G57" s="50" t="s">
        <v>636</v>
      </c>
      <c r="H57" s="51">
        <v>2590</v>
      </c>
      <c r="I57" s="45">
        <v>3353</v>
      </c>
      <c r="J57" s="52">
        <v>12</v>
      </c>
      <c r="K57" s="53">
        <f t="shared" si="0"/>
        <v>104.21123999999998</v>
      </c>
      <c r="L57" s="54"/>
    </row>
    <row r="58" spans="1:12" s="55" customFormat="1" ht="19.5" customHeight="1" x14ac:dyDescent="0.3">
      <c r="A58" s="44"/>
      <c r="B58" s="76"/>
      <c r="C58" s="77"/>
      <c r="D58" s="78"/>
      <c r="E58" s="48"/>
      <c r="F58" s="49"/>
      <c r="G58" s="50" t="s">
        <v>19</v>
      </c>
      <c r="H58" s="51">
        <v>1981</v>
      </c>
      <c r="I58" s="45">
        <v>3353</v>
      </c>
      <c r="J58" s="52">
        <v>16</v>
      </c>
      <c r="K58" s="53">
        <f t="shared" si="0"/>
        <v>106.27668800000001</v>
      </c>
      <c r="L58" s="54"/>
    </row>
    <row r="59" spans="1:12" s="55" customFormat="1" ht="19.5" customHeight="1" x14ac:dyDescent="0.3">
      <c r="A59" s="44"/>
      <c r="B59" s="76"/>
      <c r="C59" s="77"/>
      <c r="D59" s="78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657</v>
      </c>
      <c r="B60" s="45" t="s">
        <v>639</v>
      </c>
      <c r="C60" s="46">
        <v>22</v>
      </c>
      <c r="D60" s="47" t="s">
        <v>634</v>
      </c>
      <c r="E60" s="48">
        <v>125</v>
      </c>
      <c r="F60" s="49">
        <v>107.95</v>
      </c>
      <c r="G60" s="50" t="s">
        <v>19</v>
      </c>
      <c r="H60" s="51">
        <v>1981</v>
      </c>
      <c r="I60" s="45">
        <v>3353</v>
      </c>
      <c r="J60" s="52">
        <v>18</v>
      </c>
      <c r="K60" s="53">
        <f t="shared" si="0"/>
        <v>119.56127400000001</v>
      </c>
      <c r="L60" s="54" t="s">
        <v>658</v>
      </c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9" customFormat="1" ht="20.100000000000001" customHeight="1" x14ac:dyDescent="0.3">
      <c r="A63" s="44"/>
      <c r="B63" s="45"/>
      <c r="C63" s="46"/>
      <c r="D63" s="47"/>
      <c r="E63" s="56"/>
      <c r="F63" s="57"/>
      <c r="G63" s="50"/>
      <c r="H63" s="51"/>
      <c r="I63" s="45"/>
      <c r="J63" s="52"/>
      <c r="K63" s="53">
        <f t="shared" si="0"/>
        <v>0</v>
      </c>
      <c r="L63" s="58">
        <f>SUM(J36:J64)</f>
        <v>168</v>
      </c>
    </row>
    <row r="64" spans="1:12" s="59" customFormat="1" ht="20.100000000000001" customHeight="1" x14ac:dyDescent="0.3">
      <c r="A64" s="44"/>
      <c r="B64" s="45"/>
      <c r="C64" s="46"/>
      <c r="D64" s="47"/>
      <c r="E64" s="60"/>
      <c r="F64" s="61"/>
      <c r="G64" s="62"/>
      <c r="H64" s="51"/>
      <c r="I64" s="45"/>
      <c r="J64" s="63"/>
      <c r="K64" s="53">
        <f t="shared" si="0"/>
        <v>0</v>
      </c>
      <c r="L64" s="64">
        <f>SUM(K36:K64)</f>
        <v>1251.9926879999996</v>
      </c>
    </row>
    <row r="65" spans="1:12" s="59" customFormat="1" ht="20.100000000000001" customHeight="1" thickBot="1" x14ac:dyDescent="0.35">
      <c r="A65" s="114"/>
      <c r="B65" s="115"/>
      <c r="C65" s="115"/>
      <c r="D65" s="115"/>
      <c r="E65" s="115"/>
      <c r="F65" s="115"/>
      <c r="G65" s="115"/>
      <c r="H65" s="115"/>
      <c r="I65" s="115"/>
      <c r="J65" s="65">
        <f>SUM(J7:J64)</f>
        <v>373</v>
      </c>
      <c r="K65" s="66">
        <f>SUM(K7:K64)</f>
        <v>2514.0446800000009</v>
      </c>
      <c r="L65" s="67"/>
    </row>
    <row r="66" spans="1:12" s="59" customFormat="1" ht="20.100000000000001" customHeight="1" thickTop="1" thickBot="1" x14ac:dyDescent="0.35">
      <c r="A66" s="116" t="s">
        <v>52</v>
      </c>
      <c r="B66" s="117"/>
      <c r="C66" s="68"/>
      <c r="D66" s="118">
        <f>J65</f>
        <v>373</v>
      </c>
      <c r="E66" s="119"/>
      <c r="F66" s="119"/>
      <c r="G66" s="120"/>
      <c r="H66" s="121"/>
      <c r="I66" s="121"/>
      <c r="J66" s="122"/>
      <c r="K66" s="119"/>
      <c r="L66" s="123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71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69"/>
      <c r="B69" s="5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72"/>
      <c r="F72" s="5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5"/>
      <c r="G73" s="73"/>
      <c r="H73" s="5"/>
      <c r="I73" s="74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113"/>
      <c r="B76" s="113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113"/>
      <c r="B77" s="113"/>
      <c r="C77" s="5"/>
      <c r="D77" s="5"/>
      <c r="E77" s="5"/>
      <c r="F77" s="70"/>
      <c r="G77" s="5"/>
      <c r="H77" s="72"/>
      <c r="I77" s="72"/>
      <c r="J77" s="5"/>
      <c r="K77" s="5"/>
      <c r="L77" s="5"/>
    </row>
    <row r="78" spans="1:12" ht="20.100000000000001" customHeight="1" x14ac:dyDescent="0.3">
      <c r="A78" s="113"/>
      <c r="B78" s="113"/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A81" s="113"/>
      <c r="B81" s="113"/>
      <c r="H81" s="72"/>
      <c r="I81" s="72"/>
    </row>
    <row r="82" spans="1:12" ht="20.100000000000001" customHeight="1" x14ac:dyDescent="0.3">
      <c r="A82" s="113"/>
      <c r="B82" s="113"/>
      <c r="H82" s="72"/>
      <c r="I82" s="72"/>
    </row>
    <row r="83" spans="1:12" ht="20.100000000000001" customHeight="1" x14ac:dyDescent="0.3">
      <c r="H83" s="72"/>
      <c r="I83" s="72"/>
    </row>
    <row r="84" spans="1:12" ht="20.100000000000001" customHeight="1" x14ac:dyDescent="0.3">
      <c r="H84" s="72"/>
      <c r="I84" s="72"/>
    </row>
    <row r="85" spans="1:12" ht="20.100000000000001" customHeight="1" x14ac:dyDescent="0.3">
      <c r="H85" s="72"/>
      <c r="I85" s="72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J86" s="5"/>
      <c r="K86" s="5"/>
      <c r="L86" s="5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5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5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75" customFormat="1" ht="19.5" customHeight="1" x14ac:dyDescent="0.3">
      <c r="A90" s="69"/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72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72" customFormat="1" ht="20.100000000000001" customHeight="1" x14ac:dyDescent="0.3">
      <c r="A92" s="69"/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ht="19.5" customHeight="1" x14ac:dyDescent="0.3"/>
    <row r="94" spans="1:12" ht="19.5" customHeight="1" x14ac:dyDescent="0.3"/>
    <row r="95" spans="1:12" ht="19.5" customHeight="1" x14ac:dyDescent="0.3"/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>
        <v>2</v>
      </c>
      <c r="C156" s="5"/>
      <c r="D156" s="5"/>
      <c r="E156" s="5"/>
      <c r="F156" s="70"/>
      <c r="G156" s="5"/>
      <c r="H156" s="5"/>
      <c r="I156" s="5"/>
      <c r="J156" s="5"/>
      <c r="K156" s="5"/>
      <c r="L15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1:B7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5:I65"/>
    <mergeCell ref="A66:B66"/>
    <mergeCell ref="D66:G66"/>
    <mergeCell ref="H66:J66"/>
    <mergeCell ref="K66:L66"/>
    <mergeCell ref="A81:B81"/>
    <mergeCell ref="A82:B82"/>
    <mergeCell ref="A72:B72"/>
    <mergeCell ref="A73:B73"/>
    <mergeCell ref="A74:B74"/>
    <mergeCell ref="A76:B76"/>
    <mergeCell ref="A77:B77"/>
    <mergeCell ref="A78:B7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pageSetUpPr fitToPage="1"/>
  </sheetPr>
  <dimension ref="A1:L151"/>
  <sheetViews>
    <sheetView view="pageBreakPreview" topLeftCell="A28" zoomScale="85" zoomScaleSheetLayoutView="85" workbookViewId="0">
      <selection activeCell="C55" sqref="C55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46041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9" si="0">(H7/1000*I7/1000)*J7</f>
        <v>0</v>
      </c>
      <c r="L7" s="26">
        <f>SUM(J7:J27)</f>
        <v>188</v>
      </c>
    </row>
    <row r="8" spans="1:12" s="27" customFormat="1" ht="19.5" customHeight="1" x14ac:dyDescent="0.3">
      <c r="A8" s="28"/>
      <c r="B8" s="16"/>
      <c r="C8" s="17"/>
      <c r="D8" s="18"/>
      <c r="E8" s="32"/>
      <c r="F8" s="33"/>
      <c r="G8" s="34"/>
      <c r="H8" s="35"/>
      <c r="I8" s="36"/>
      <c r="J8" s="37"/>
      <c r="K8" s="38">
        <f t="shared" si="0"/>
        <v>0</v>
      </c>
      <c r="L8" s="39">
        <f>SUM(K7:K27)</f>
        <v>1152.9357559999999</v>
      </c>
    </row>
    <row r="9" spans="1:12" s="27" customFormat="1" ht="19.5" customHeight="1" x14ac:dyDescent="0.3">
      <c r="A9" s="28" t="s">
        <v>592</v>
      </c>
      <c r="B9" s="16" t="s">
        <v>353</v>
      </c>
      <c r="C9" s="17">
        <v>22</v>
      </c>
      <c r="D9" s="31" t="s">
        <v>307</v>
      </c>
      <c r="E9" s="41">
        <v>150</v>
      </c>
      <c r="F9" s="42">
        <v>118.4</v>
      </c>
      <c r="G9" s="34" t="s">
        <v>49</v>
      </c>
      <c r="H9" s="35">
        <v>1829</v>
      </c>
      <c r="I9" s="36">
        <v>3353</v>
      </c>
      <c r="J9" s="37">
        <v>20</v>
      </c>
      <c r="K9" s="38">
        <f t="shared" si="0"/>
        <v>122.65273999999999</v>
      </c>
      <c r="L9" s="39" t="s">
        <v>465</v>
      </c>
    </row>
    <row r="10" spans="1:12" s="27" customFormat="1" ht="19.5" customHeight="1" x14ac:dyDescent="0.3">
      <c r="A10" s="28"/>
      <c r="B10" s="16"/>
      <c r="C10" s="17">
        <v>22</v>
      </c>
      <c r="D10" s="18" t="s">
        <v>320</v>
      </c>
      <c r="E10" s="41">
        <v>150</v>
      </c>
      <c r="F10" s="42">
        <v>118.4</v>
      </c>
      <c r="G10" s="34" t="s">
        <v>18</v>
      </c>
      <c r="H10" s="35">
        <v>1829</v>
      </c>
      <c r="I10" s="36">
        <v>3353</v>
      </c>
      <c r="J10" s="37">
        <v>20</v>
      </c>
      <c r="K10" s="38">
        <f t="shared" si="0"/>
        <v>122.65273999999999</v>
      </c>
      <c r="L10" s="39" t="s">
        <v>321</v>
      </c>
    </row>
    <row r="11" spans="1:12" s="27" customFormat="1" ht="19.5" customHeight="1" x14ac:dyDescent="0.3">
      <c r="A11" s="28"/>
      <c r="B11" s="16"/>
      <c r="C11" s="17"/>
      <c r="D11" s="31"/>
      <c r="E11" s="41"/>
      <c r="F11" s="42"/>
      <c r="G11" s="34" t="s">
        <v>39</v>
      </c>
      <c r="H11" s="35">
        <v>1829</v>
      </c>
      <c r="I11" s="36">
        <v>3353</v>
      </c>
      <c r="J11" s="37">
        <v>22</v>
      </c>
      <c r="K11" s="38">
        <f t="shared" si="0"/>
        <v>134.918014</v>
      </c>
      <c r="L11" s="39" t="s">
        <v>321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594</v>
      </c>
      <c r="B13" s="16" t="s">
        <v>353</v>
      </c>
      <c r="C13" s="17">
        <v>22</v>
      </c>
      <c r="D13" s="18" t="s">
        <v>320</v>
      </c>
      <c r="E13" s="41">
        <v>288</v>
      </c>
      <c r="F13" s="42">
        <v>225.28</v>
      </c>
      <c r="G13" s="34" t="s">
        <v>39</v>
      </c>
      <c r="H13" s="35">
        <v>1829</v>
      </c>
      <c r="I13" s="36">
        <v>3353</v>
      </c>
      <c r="J13" s="37">
        <v>39</v>
      </c>
      <c r="K13" s="38">
        <f t="shared" si="0"/>
        <v>239.172843</v>
      </c>
      <c r="L13" s="39" t="s">
        <v>425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57</v>
      </c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594</v>
      </c>
      <c r="B16" s="16" t="s">
        <v>353</v>
      </c>
      <c r="C16" s="17">
        <v>22</v>
      </c>
      <c r="D16" s="18" t="s">
        <v>320</v>
      </c>
      <c r="E16" s="41">
        <v>288</v>
      </c>
      <c r="F16" s="42">
        <v>225.28</v>
      </c>
      <c r="G16" s="34" t="s">
        <v>600</v>
      </c>
      <c r="H16" s="35">
        <v>1829</v>
      </c>
      <c r="I16" s="36">
        <v>3353</v>
      </c>
      <c r="J16" s="37">
        <v>39</v>
      </c>
      <c r="K16" s="38">
        <f t="shared" si="0"/>
        <v>239.172843</v>
      </c>
      <c r="L16" s="39" t="s">
        <v>601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602</v>
      </c>
      <c r="B18" s="16" t="s">
        <v>353</v>
      </c>
      <c r="C18" s="17">
        <v>22</v>
      </c>
      <c r="D18" s="18" t="s">
        <v>320</v>
      </c>
      <c r="E18" s="41">
        <v>256</v>
      </c>
      <c r="F18" s="42">
        <v>194.88</v>
      </c>
      <c r="G18" s="34" t="s">
        <v>600</v>
      </c>
      <c r="H18" s="35">
        <v>1829</v>
      </c>
      <c r="I18" s="36">
        <v>3353</v>
      </c>
      <c r="J18" s="37">
        <v>34</v>
      </c>
      <c r="K18" s="38">
        <f t="shared" si="0"/>
        <v>208.509658</v>
      </c>
      <c r="L18" s="39" t="s">
        <v>601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602</v>
      </c>
      <c r="B20" s="16" t="s">
        <v>353</v>
      </c>
      <c r="C20" s="17">
        <v>22</v>
      </c>
      <c r="D20" s="18" t="s">
        <v>320</v>
      </c>
      <c r="E20" s="41">
        <v>96</v>
      </c>
      <c r="F20" s="42">
        <v>83.84</v>
      </c>
      <c r="G20" s="34" t="s">
        <v>39</v>
      </c>
      <c r="H20" s="35">
        <v>1829</v>
      </c>
      <c r="I20" s="36">
        <v>3353</v>
      </c>
      <c r="J20" s="37">
        <v>14</v>
      </c>
      <c r="K20" s="38">
        <f t="shared" si="0"/>
        <v>85.856917999999993</v>
      </c>
      <c r="L20" s="39" t="s">
        <v>603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16"/>
      <c r="C24" s="17"/>
      <c r="D24" s="31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16"/>
      <c r="C25" s="17"/>
      <c r="D25" s="31"/>
      <c r="E25" s="41"/>
      <c r="F25" s="42"/>
      <c r="G25" s="34"/>
      <c r="H25" s="35"/>
      <c r="I25" s="36"/>
      <c r="J25" s="37"/>
      <c r="K25" s="38"/>
      <c r="L25" s="39"/>
    </row>
    <row r="26" spans="1:12" s="27" customFormat="1" ht="19.5" customHeight="1" x14ac:dyDescent="0.3">
      <c r="A26" s="28"/>
      <c r="B26" s="16"/>
      <c r="C26" s="17"/>
      <c r="D26" s="31"/>
      <c r="E26" s="41"/>
      <c r="F26" s="42"/>
      <c r="G26" s="34"/>
      <c r="H26" s="35"/>
      <c r="I26" s="36"/>
      <c r="J26" s="37"/>
      <c r="K26" s="38"/>
      <c r="L26" s="39"/>
    </row>
    <row r="27" spans="1:12" s="27" customFormat="1" ht="19.5" customHeight="1" x14ac:dyDescent="0.3">
      <c r="A27" s="28"/>
      <c r="B27" s="29"/>
      <c r="C27" s="30"/>
      <c r="D27" s="31"/>
      <c r="E27" s="41"/>
      <c r="F27" s="42"/>
      <c r="G27" s="43"/>
      <c r="H27" s="35"/>
      <c r="I27" s="36"/>
      <c r="J27" s="37"/>
      <c r="K27" s="38">
        <f t="shared" si="0"/>
        <v>0</v>
      </c>
      <c r="L27" s="39"/>
    </row>
    <row r="28" spans="1:12" s="55" customFormat="1" ht="19.5" customHeight="1" x14ac:dyDescent="0.3">
      <c r="A28" s="44"/>
      <c r="B28" s="45"/>
      <c r="C28" s="46"/>
      <c r="D28" s="47"/>
      <c r="E28" s="48"/>
      <c r="F28" s="49"/>
      <c r="G28" s="50"/>
      <c r="H28" s="51"/>
      <c r="I28" s="45"/>
      <c r="J28" s="52"/>
      <c r="K28" s="53">
        <f t="shared" si="0"/>
        <v>0</v>
      </c>
      <c r="L28" s="54"/>
    </row>
    <row r="29" spans="1:12" s="55" customFormat="1" ht="19.5" customHeight="1" x14ac:dyDescent="0.3">
      <c r="A29" s="44" t="s">
        <v>595</v>
      </c>
      <c r="B29" s="76" t="s">
        <v>218</v>
      </c>
      <c r="C29" s="46">
        <v>24</v>
      </c>
      <c r="D29" s="47" t="s">
        <v>501</v>
      </c>
      <c r="E29" s="48">
        <v>48</v>
      </c>
      <c r="F29" s="49">
        <v>39.409999999999997</v>
      </c>
      <c r="G29" s="50" t="s">
        <v>56</v>
      </c>
      <c r="H29" s="51">
        <v>2438</v>
      </c>
      <c r="I29" s="45">
        <v>3353</v>
      </c>
      <c r="J29" s="52">
        <v>5</v>
      </c>
      <c r="K29" s="53">
        <f t="shared" si="0"/>
        <v>40.873069999999998</v>
      </c>
      <c r="L29" s="54"/>
    </row>
    <row r="30" spans="1:12" s="55" customFormat="1" ht="19.5" customHeight="1" x14ac:dyDescent="0.3">
      <c r="A30" s="44"/>
      <c r="B30" s="45"/>
      <c r="C30" s="77"/>
      <c r="D30" s="78"/>
      <c r="E30" s="48"/>
      <c r="F30" s="49"/>
      <c r="G30" s="50" t="s">
        <v>18</v>
      </c>
      <c r="H30" s="51">
        <v>2590</v>
      </c>
      <c r="I30" s="45">
        <v>3353</v>
      </c>
      <c r="J30" s="52">
        <v>5</v>
      </c>
      <c r="K30" s="53">
        <f t="shared" si="0"/>
        <v>43.42134999999999</v>
      </c>
      <c r="L30" s="54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596</v>
      </c>
      <c r="B32" s="76" t="s">
        <v>218</v>
      </c>
      <c r="C32" s="46">
        <v>24</v>
      </c>
      <c r="D32" s="47" t="s">
        <v>501</v>
      </c>
      <c r="E32" s="48">
        <v>64</v>
      </c>
      <c r="F32" s="49">
        <v>37.71</v>
      </c>
      <c r="G32" s="50" t="s">
        <v>56</v>
      </c>
      <c r="H32" s="51">
        <v>2438</v>
      </c>
      <c r="I32" s="45">
        <v>3353</v>
      </c>
      <c r="J32" s="52">
        <v>5</v>
      </c>
      <c r="K32" s="53">
        <f t="shared" si="0"/>
        <v>40.873069999999998</v>
      </c>
      <c r="L32" s="54"/>
    </row>
    <row r="33" spans="1:12" s="55" customFormat="1" ht="19.5" customHeight="1" x14ac:dyDescent="0.3">
      <c r="A33" s="44"/>
      <c r="B33" s="45"/>
      <c r="C33" s="77"/>
      <c r="D33" s="78"/>
      <c r="E33" s="48"/>
      <c r="F33" s="49"/>
      <c r="G33" s="50" t="s">
        <v>18</v>
      </c>
      <c r="H33" s="51">
        <v>2590</v>
      </c>
      <c r="I33" s="45">
        <v>3048</v>
      </c>
      <c r="J33" s="52">
        <v>5</v>
      </c>
      <c r="K33" s="53">
        <f t="shared" si="0"/>
        <v>39.471599999999995</v>
      </c>
      <c r="L33" s="54"/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597</v>
      </c>
      <c r="B35" s="76" t="s">
        <v>218</v>
      </c>
      <c r="C35" s="46">
        <v>24</v>
      </c>
      <c r="D35" s="47" t="s">
        <v>501</v>
      </c>
      <c r="E35" s="48">
        <v>200</v>
      </c>
      <c r="F35" s="49">
        <v>197.45</v>
      </c>
      <c r="G35" s="50" t="s">
        <v>56</v>
      </c>
      <c r="H35" s="51">
        <v>2438</v>
      </c>
      <c r="I35" s="45">
        <v>3353</v>
      </c>
      <c r="J35" s="52">
        <v>25</v>
      </c>
      <c r="K35" s="53">
        <f t="shared" si="0"/>
        <v>204.36535000000001</v>
      </c>
      <c r="L35" s="54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 t="s">
        <v>56</v>
      </c>
      <c r="H36" s="51">
        <v>1981</v>
      </c>
      <c r="I36" s="45">
        <v>3353</v>
      </c>
      <c r="J36" s="52">
        <v>1</v>
      </c>
      <c r="K36" s="53">
        <f t="shared" si="0"/>
        <v>6.6422930000000004</v>
      </c>
      <c r="L36" s="54"/>
    </row>
    <row r="37" spans="1:12" s="55" customFormat="1" ht="19.5" customHeight="1" x14ac:dyDescent="0.3">
      <c r="A37" s="44"/>
      <c r="B37" s="45"/>
      <c r="C37" s="77"/>
      <c r="D37" s="78"/>
      <c r="E37" s="48"/>
      <c r="F37" s="49"/>
      <c r="G37" s="50" t="s">
        <v>18</v>
      </c>
      <c r="H37" s="51">
        <v>2590</v>
      </c>
      <c r="I37" s="45">
        <v>3353</v>
      </c>
      <c r="J37" s="52">
        <v>25</v>
      </c>
      <c r="K37" s="53">
        <f t="shared" si="0"/>
        <v>217.10674999999995</v>
      </c>
      <c r="L37" s="54"/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598</v>
      </c>
      <c r="B39" s="76" t="s">
        <v>218</v>
      </c>
      <c r="C39" s="46">
        <v>24</v>
      </c>
      <c r="D39" s="47" t="s">
        <v>501</v>
      </c>
      <c r="E39" s="48">
        <v>68</v>
      </c>
      <c r="F39" s="49">
        <v>92.68</v>
      </c>
      <c r="G39" s="50" t="s">
        <v>56</v>
      </c>
      <c r="H39" s="51">
        <v>2438</v>
      </c>
      <c r="I39" s="45">
        <v>3353</v>
      </c>
      <c r="J39" s="52">
        <v>13</v>
      </c>
      <c r="K39" s="53">
        <f t="shared" si="0"/>
        <v>106.269982</v>
      </c>
      <c r="L39" s="54"/>
    </row>
    <row r="40" spans="1:12" s="55" customFormat="1" ht="19.5" customHeight="1" x14ac:dyDescent="0.3">
      <c r="A40" s="44"/>
      <c r="B40" s="45"/>
      <c r="C40" s="77"/>
      <c r="D40" s="78"/>
      <c r="E40" s="48"/>
      <c r="F40" s="49"/>
      <c r="G40" s="50" t="s">
        <v>18</v>
      </c>
      <c r="H40" s="51">
        <v>2590</v>
      </c>
      <c r="I40" s="45">
        <v>3048</v>
      </c>
      <c r="J40" s="52">
        <v>10</v>
      </c>
      <c r="K40" s="53">
        <f t="shared" si="0"/>
        <v>78.94319999999999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 t="s">
        <v>18</v>
      </c>
      <c r="H41" s="51">
        <v>2590</v>
      </c>
      <c r="I41" s="45">
        <v>3353</v>
      </c>
      <c r="J41" s="52">
        <v>3</v>
      </c>
      <c r="K41" s="53">
        <f t="shared" si="0"/>
        <v>26.052809999999994</v>
      </c>
      <c r="L41" s="54"/>
    </row>
    <row r="42" spans="1:12" s="55" customFormat="1" ht="19.5" customHeight="1" x14ac:dyDescent="0.3">
      <c r="A42" s="44"/>
      <c r="B42" s="45"/>
      <c r="C42" s="77"/>
      <c r="D42" s="78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330</v>
      </c>
      <c r="B43" s="45" t="s">
        <v>187</v>
      </c>
      <c r="C43" s="77">
        <v>28</v>
      </c>
      <c r="D43" s="78" t="s">
        <v>245</v>
      </c>
      <c r="E43" s="48">
        <v>1</v>
      </c>
      <c r="F43" s="49">
        <v>1.38</v>
      </c>
      <c r="G43" s="50"/>
      <c r="H43" s="51"/>
      <c r="I43" s="45"/>
      <c r="J43" s="52"/>
      <c r="K43" s="53">
        <f t="shared" si="0"/>
        <v>0</v>
      </c>
      <c r="L43" s="54" t="s">
        <v>599</v>
      </c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57</v>
      </c>
      <c r="B45" s="45"/>
      <c r="C45" s="77"/>
      <c r="D45" s="78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604</v>
      </c>
      <c r="B46" s="45" t="s">
        <v>605</v>
      </c>
      <c r="C46" s="77">
        <v>24</v>
      </c>
      <c r="D46" s="47" t="s">
        <v>501</v>
      </c>
      <c r="E46" s="48">
        <v>53</v>
      </c>
      <c r="F46" s="49">
        <v>49.43</v>
      </c>
      <c r="G46" s="50" t="s">
        <v>56</v>
      </c>
      <c r="H46" s="51">
        <v>2438</v>
      </c>
      <c r="I46" s="45">
        <v>3353</v>
      </c>
      <c r="J46" s="52">
        <v>5</v>
      </c>
      <c r="K46" s="53">
        <f t="shared" si="0"/>
        <v>40.873069999999998</v>
      </c>
      <c r="L46" s="54"/>
    </row>
    <row r="47" spans="1:12" s="55" customFormat="1" ht="19.5" customHeight="1" x14ac:dyDescent="0.3">
      <c r="A47" s="44"/>
      <c r="B47" s="45"/>
      <c r="C47" s="77"/>
      <c r="D47" s="78"/>
      <c r="E47" s="48"/>
      <c r="F47" s="49"/>
      <c r="G47" s="50" t="s">
        <v>56</v>
      </c>
      <c r="H47" s="51">
        <v>1981</v>
      </c>
      <c r="I47" s="45">
        <v>3353</v>
      </c>
      <c r="J47" s="52">
        <v>3</v>
      </c>
      <c r="K47" s="53">
        <f t="shared" ref="K47:K52" si="1">(H47/1000*I47/1000)*J47</f>
        <v>19.926879</v>
      </c>
      <c r="L47" s="54"/>
    </row>
    <row r="48" spans="1:12" s="55" customFormat="1" ht="19.5" customHeight="1" x14ac:dyDescent="0.3">
      <c r="A48" s="44"/>
      <c r="B48" s="45"/>
      <c r="C48" s="77"/>
      <c r="D48" s="78"/>
      <c r="E48" s="48"/>
      <c r="F48" s="49"/>
      <c r="G48" s="50" t="s">
        <v>18</v>
      </c>
      <c r="H48" s="51">
        <v>2590</v>
      </c>
      <c r="I48" s="45">
        <v>3048</v>
      </c>
      <c r="J48" s="52">
        <v>7</v>
      </c>
      <c r="K48" s="53">
        <f t="shared" si="1"/>
        <v>55.260239999999996</v>
      </c>
      <c r="L48" s="54"/>
    </row>
    <row r="49" spans="1:12" s="55" customFormat="1" ht="19.5" customHeight="1" x14ac:dyDescent="0.3">
      <c r="A49" s="44"/>
      <c r="B49" s="45"/>
      <c r="C49" s="77"/>
      <c r="D49" s="78"/>
      <c r="E49" s="48"/>
      <c r="F49" s="49"/>
      <c r="G49" s="50"/>
      <c r="H49" s="51"/>
      <c r="I49" s="45"/>
      <c r="J49" s="52"/>
      <c r="K49" s="53">
        <f t="shared" si="1"/>
        <v>0</v>
      </c>
      <c r="L49" s="54"/>
    </row>
    <row r="50" spans="1:12" s="55" customFormat="1" ht="19.5" customHeight="1" x14ac:dyDescent="0.3">
      <c r="A50" s="44" t="s">
        <v>606</v>
      </c>
      <c r="B50" s="45" t="s">
        <v>605</v>
      </c>
      <c r="C50" s="77">
        <v>24</v>
      </c>
      <c r="D50" s="47" t="s">
        <v>501</v>
      </c>
      <c r="E50" s="48">
        <v>158</v>
      </c>
      <c r="F50" s="49">
        <v>172.39</v>
      </c>
      <c r="G50" s="50" t="s">
        <v>600</v>
      </c>
      <c r="H50" s="51">
        <v>2590</v>
      </c>
      <c r="I50" s="45">
        <v>3353</v>
      </c>
      <c r="J50" s="52">
        <v>20</v>
      </c>
      <c r="K50" s="53">
        <f t="shared" si="1"/>
        <v>173.68539999999996</v>
      </c>
      <c r="L50" s="54" t="s">
        <v>607</v>
      </c>
    </row>
    <row r="51" spans="1:12" s="55" customFormat="1" ht="19.5" customHeight="1" x14ac:dyDescent="0.3">
      <c r="A51" s="44"/>
      <c r="B51" s="45"/>
      <c r="C51" s="77"/>
      <c r="D51" s="78"/>
      <c r="E51" s="48"/>
      <c r="F51" s="49"/>
      <c r="G51" s="50" t="s">
        <v>600</v>
      </c>
      <c r="H51" s="51">
        <v>2590</v>
      </c>
      <c r="I51" s="45">
        <v>3048</v>
      </c>
      <c r="J51" s="52">
        <v>1</v>
      </c>
      <c r="K51" s="53">
        <f t="shared" si="1"/>
        <v>7.8943199999999996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1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76"/>
      <c r="C55" s="77"/>
      <c r="D55" s="78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9" customFormat="1" ht="20.100000000000001" customHeight="1" x14ac:dyDescent="0.3">
      <c r="A58" s="44"/>
      <c r="B58" s="45"/>
      <c r="C58" s="46"/>
      <c r="D58" s="47"/>
      <c r="E58" s="56"/>
      <c r="F58" s="57"/>
      <c r="G58" s="50"/>
      <c r="H58" s="51"/>
      <c r="I58" s="45"/>
      <c r="J58" s="52"/>
      <c r="K58" s="53">
        <f t="shared" si="0"/>
        <v>0</v>
      </c>
      <c r="L58" s="58">
        <f>SUM(J28:J59)</f>
        <v>133</v>
      </c>
    </row>
    <row r="59" spans="1:12" s="59" customFormat="1" ht="20.100000000000001" customHeight="1" x14ac:dyDescent="0.3">
      <c r="A59" s="44"/>
      <c r="B59" s="45"/>
      <c r="C59" s="46"/>
      <c r="D59" s="47"/>
      <c r="E59" s="60"/>
      <c r="F59" s="61"/>
      <c r="G59" s="62"/>
      <c r="H59" s="51"/>
      <c r="I59" s="45"/>
      <c r="J59" s="63"/>
      <c r="K59" s="53">
        <f t="shared" si="0"/>
        <v>0</v>
      </c>
      <c r="L59" s="64">
        <f>SUM(K28:K59)</f>
        <v>1101.6593839999998</v>
      </c>
    </row>
    <row r="60" spans="1:12" s="59" customFormat="1" ht="20.100000000000001" customHeight="1" thickBot="1" x14ac:dyDescent="0.35">
      <c r="A60" s="114"/>
      <c r="B60" s="115"/>
      <c r="C60" s="115"/>
      <c r="D60" s="115"/>
      <c r="E60" s="115"/>
      <c r="F60" s="115"/>
      <c r="G60" s="115"/>
      <c r="H60" s="115"/>
      <c r="I60" s="115"/>
      <c r="J60" s="65">
        <f>SUM(J7:J59)</f>
        <v>321</v>
      </c>
      <c r="K60" s="66">
        <f>SUM(K7:K59)</f>
        <v>2254.5951399999999</v>
      </c>
      <c r="L60" s="67"/>
    </row>
    <row r="61" spans="1:12" s="59" customFormat="1" ht="20.100000000000001" customHeight="1" thickTop="1" thickBot="1" x14ac:dyDescent="0.35">
      <c r="A61" s="116" t="s">
        <v>52</v>
      </c>
      <c r="B61" s="117"/>
      <c r="C61" s="68"/>
      <c r="D61" s="118">
        <f>J60</f>
        <v>321</v>
      </c>
      <c r="E61" s="119"/>
      <c r="F61" s="119"/>
      <c r="G61" s="120"/>
      <c r="H61" s="121"/>
      <c r="I61" s="121"/>
      <c r="J61" s="122"/>
      <c r="K61" s="119"/>
      <c r="L61" s="123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71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72"/>
      <c r="F67" s="5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5"/>
      <c r="G68" s="73"/>
      <c r="H68" s="5"/>
      <c r="I68" s="74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72"/>
      <c r="I72" s="72"/>
      <c r="J72" s="5"/>
      <c r="K72" s="5"/>
      <c r="L72" s="5"/>
    </row>
    <row r="73" spans="1:12" ht="20.100000000000001" customHeight="1" x14ac:dyDescent="0.3">
      <c r="A73" s="113"/>
      <c r="B73" s="113"/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H75" s="72"/>
      <c r="I75" s="72"/>
    </row>
    <row r="76" spans="1:12" ht="20.100000000000001" customHeight="1" x14ac:dyDescent="0.3">
      <c r="A76" s="113"/>
      <c r="B76" s="113"/>
      <c r="H76" s="72"/>
      <c r="I76" s="72"/>
    </row>
    <row r="77" spans="1:12" ht="20.100000000000001" customHeight="1" x14ac:dyDescent="0.3">
      <c r="A77" s="113"/>
      <c r="B77" s="113"/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s="72" customFormat="1" ht="20.100000000000001" customHeight="1" x14ac:dyDescent="0.3">
      <c r="A81" s="69"/>
      <c r="B81" s="5"/>
      <c r="C81" s="5"/>
      <c r="D81" s="5"/>
      <c r="E81" s="5"/>
      <c r="F81" s="70"/>
      <c r="G81" s="5"/>
      <c r="J81" s="5"/>
      <c r="K81" s="5"/>
      <c r="L81" s="5"/>
    </row>
    <row r="82" spans="1:12" s="72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5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5" customFormat="1" ht="19.5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ht="19.5" customHeight="1" x14ac:dyDescent="0.3"/>
    <row r="89" spans="1:12" ht="19.5" customHeight="1" x14ac:dyDescent="0.3"/>
    <row r="90" spans="1:12" ht="19.5" customHeight="1" x14ac:dyDescent="0.3"/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>
        <v>2</v>
      </c>
      <c r="C151" s="5"/>
      <c r="D151" s="5"/>
      <c r="E151" s="5"/>
      <c r="F151" s="70"/>
      <c r="G151" s="5"/>
      <c r="H151" s="5"/>
      <c r="I151" s="5"/>
      <c r="J151" s="5"/>
      <c r="K151" s="5"/>
      <c r="L151" s="5"/>
    </row>
  </sheetData>
  <mergeCells count="30">
    <mergeCell ref="A76:B76"/>
    <mergeCell ref="A77:B77"/>
    <mergeCell ref="A67:B67"/>
    <mergeCell ref="A68:B68"/>
    <mergeCell ref="A69:B69"/>
    <mergeCell ref="A71:B71"/>
    <mergeCell ref="A72:B72"/>
    <mergeCell ref="A73:B73"/>
    <mergeCell ref="A66:B6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0:I60"/>
    <mergeCell ref="A61:B61"/>
    <mergeCell ref="D61:G61"/>
    <mergeCell ref="H61:J61"/>
    <mergeCell ref="K61:L61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pageSetUpPr fitToPage="1"/>
  </sheetPr>
  <dimension ref="A1:L153"/>
  <sheetViews>
    <sheetView view="pageBreakPreview" topLeftCell="A8" zoomScale="85" zoomScaleSheetLayoutView="85" workbookViewId="0">
      <selection activeCell="D37" sqref="D37:I3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46039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61" si="0">(H7/1000*I7/1000)*J7</f>
        <v>0</v>
      </c>
      <c r="L7" s="26">
        <f>SUM(J7:J34)</f>
        <v>128</v>
      </c>
    </row>
    <row r="8" spans="1:12" s="27" customFormat="1" ht="19.5" customHeight="1" x14ac:dyDescent="0.3">
      <c r="A8" s="28"/>
      <c r="B8" s="16"/>
      <c r="C8" s="17"/>
      <c r="D8" s="18"/>
      <c r="E8" s="32"/>
      <c r="F8" s="33"/>
      <c r="G8" s="34"/>
      <c r="H8" s="35"/>
      <c r="I8" s="36"/>
      <c r="J8" s="37"/>
      <c r="K8" s="38">
        <f t="shared" si="0"/>
        <v>0</v>
      </c>
      <c r="L8" s="39">
        <f>SUM(K7:K34)</f>
        <v>817.68477900000028</v>
      </c>
    </row>
    <row r="9" spans="1:12" s="27" customFormat="1" ht="19.5" customHeight="1" x14ac:dyDescent="0.3">
      <c r="A9" s="28" t="s">
        <v>568</v>
      </c>
      <c r="B9" s="16" t="s">
        <v>569</v>
      </c>
      <c r="C9" s="17">
        <v>12</v>
      </c>
      <c r="D9" s="31" t="s">
        <v>570</v>
      </c>
      <c r="E9" s="41">
        <v>10</v>
      </c>
      <c r="F9" s="42">
        <v>8.44</v>
      </c>
      <c r="G9" s="34" t="s">
        <v>571</v>
      </c>
      <c r="H9" s="35">
        <v>2743</v>
      </c>
      <c r="I9" s="36">
        <v>3658</v>
      </c>
      <c r="J9" s="37">
        <v>1</v>
      </c>
      <c r="K9" s="38">
        <f t="shared" si="0"/>
        <v>10.033894</v>
      </c>
      <c r="L9" s="39"/>
    </row>
    <row r="10" spans="1:12" s="27" customFormat="1" ht="19.5" customHeight="1" x14ac:dyDescent="0.3">
      <c r="A10" s="28"/>
      <c r="B10" s="16"/>
      <c r="C10" s="17"/>
      <c r="D10" s="18"/>
      <c r="E10" s="41"/>
      <c r="F10" s="4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572</v>
      </c>
      <c r="B11" s="16" t="s">
        <v>353</v>
      </c>
      <c r="C11" s="17">
        <v>22</v>
      </c>
      <c r="D11" s="31" t="s">
        <v>307</v>
      </c>
      <c r="E11" s="41">
        <v>160</v>
      </c>
      <c r="F11" s="42">
        <v>121.8</v>
      </c>
      <c r="G11" s="34" t="s">
        <v>49</v>
      </c>
      <c r="H11" s="35">
        <v>1829</v>
      </c>
      <c r="I11" s="36">
        <v>3353</v>
      </c>
      <c r="J11" s="37">
        <v>21</v>
      </c>
      <c r="K11" s="38">
        <f t="shared" si="0"/>
        <v>128.78537700000001</v>
      </c>
      <c r="L11" s="39" t="s">
        <v>321</v>
      </c>
    </row>
    <row r="12" spans="1:12" s="27" customFormat="1" ht="19.5" customHeight="1" x14ac:dyDescent="0.3">
      <c r="A12" s="28"/>
      <c r="B12" s="16"/>
      <c r="C12" s="17">
        <v>22</v>
      </c>
      <c r="D12" s="18" t="s">
        <v>320</v>
      </c>
      <c r="E12" s="41">
        <v>160</v>
      </c>
      <c r="F12" s="42">
        <v>121.8</v>
      </c>
      <c r="G12" s="34" t="s">
        <v>18</v>
      </c>
      <c r="H12" s="35">
        <v>1829</v>
      </c>
      <c r="I12" s="36">
        <v>3353</v>
      </c>
      <c r="J12" s="37">
        <v>21</v>
      </c>
      <c r="K12" s="38">
        <f t="shared" si="0"/>
        <v>128.78537700000001</v>
      </c>
      <c r="L12" s="39" t="s">
        <v>321</v>
      </c>
    </row>
    <row r="13" spans="1:12" s="27" customFormat="1" ht="19.5" customHeight="1" x14ac:dyDescent="0.3">
      <c r="A13" s="28"/>
      <c r="B13" s="16"/>
      <c r="C13" s="17"/>
      <c r="D13" s="31"/>
      <c r="E13" s="41"/>
      <c r="F13" s="42"/>
      <c r="G13" s="34" t="s">
        <v>39</v>
      </c>
      <c r="H13" s="35">
        <v>1829</v>
      </c>
      <c r="I13" s="36">
        <v>3353</v>
      </c>
      <c r="J13" s="37">
        <f>21+21</f>
        <v>42</v>
      </c>
      <c r="K13" s="38">
        <f t="shared" si="0"/>
        <v>257.57075400000002</v>
      </c>
      <c r="L13" s="39" t="s">
        <v>321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573</v>
      </c>
      <c r="B15" s="16" t="s">
        <v>574</v>
      </c>
      <c r="C15" s="17">
        <v>28</v>
      </c>
      <c r="D15" s="18" t="s">
        <v>575</v>
      </c>
      <c r="E15" s="41">
        <v>16</v>
      </c>
      <c r="F15" s="42">
        <v>15.85</v>
      </c>
      <c r="G15" s="34" t="s">
        <v>576</v>
      </c>
      <c r="H15" s="35">
        <v>2440</v>
      </c>
      <c r="I15" s="36">
        <v>3050</v>
      </c>
      <c r="J15" s="37">
        <v>3</v>
      </c>
      <c r="K15" s="38">
        <f t="shared" si="0"/>
        <v>22.326000000000001</v>
      </c>
      <c r="L15" s="39" t="s">
        <v>577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578</v>
      </c>
      <c r="B17" s="16" t="s">
        <v>574</v>
      </c>
      <c r="C17" s="17">
        <v>28</v>
      </c>
      <c r="D17" s="18" t="s">
        <v>575</v>
      </c>
      <c r="E17" s="41">
        <v>20</v>
      </c>
      <c r="F17" s="42">
        <v>19.45</v>
      </c>
      <c r="G17" s="34" t="s">
        <v>576</v>
      </c>
      <c r="H17" s="35">
        <v>2440</v>
      </c>
      <c r="I17" s="36">
        <v>3050</v>
      </c>
      <c r="J17" s="37">
        <v>3</v>
      </c>
      <c r="K17" s="38">
        <f t="shared" si="0"/>
        <v>22.326000000000001</v>
      </c>
      <c r="L17" s="39" t="s">
        <v>577</v>
      </c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 t="s">
        <v>579</v>
      </c>
      <c r="B19" s="16" t="s">
        <v>574</v>
      </c>
      <c r="C19" s="17">
        <v>28</v>
      </c>
      <c r="D19" s="18" t="s">
        <v>575</v>
      </c>
      <c r="E19" s="41">
        <v>20</v>
      </c>
      <c r="F19" s="42">
        <v>19.690000000000001</v>
      </c>
      <c r="G19" s="34" t="s">
        <v>576</v>
      </c>
      <c r="H19" s="35">
        <v>2440</v>
      </c>
      <c r="I19" s="36">
        <v>3050</v>
      </c>
      <c r="J19" s="37">
        <v>3</v>
      </c>
      <c r="K19" s="38">
        <f t="shared" si="0"/>
        <v>22.326000000000001</v>
      </c>
      <c r="L19" s="39" t="s">
        <v>577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580</v>
      </c>
      <c r="B21" s="16" t="s">
        <v>574</v>
      </c>
      <c r="C21" s="17">
        <v>28</v>
      </c>
      <c r="D21" s="18" t="s">
        <v>575</v>
      </c>
      <c r="E21" s="41">
        <v>15</v>
      </c>
      <c r="F21" s="42">
        <v>14.18</v>
      </c>
      <c r="G21" s="34" t="s">
        <v>576</v>
      </c>
      <c r="H21" s="35">
        <v>2440</v>
      </c>
      <c r="I21" s="36">
        <v>3050</v>
      </c>
      <c r="J21" s="37">
        <v>2</v>
      </c>
      <c r="K21" s="38">
        <f t="shared" si="0"/>
        <v>14.884</v>
      </c>
      <c r="L21" s="39" t="s">
        <v>577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587</v>
      </c>
      <c r="B23" s="16" t="s">
        <v>574</v>
      </c>
      <c r="C23" s="17">
        <v>28</v>
      </c>
      <c r="D23" s="18" t="s">
        <v>575</v>
      </c>
      <c r="E23" s="41">
        <v>15</v>
      </c>
      <c r="F23" s="42">
        <v>14.18</v>
      </c>
      <c r="G23" s="34" t="s">
        <v>576</v>
      </c>
      <c r="H23" s="35">
        <v>2440</v>
      </c>
      <c r="I23" s="36">
        <v>3050</v>
      </c>
      <c r="J23" s="37">
        <v>2</v>
      </c>
      <c r="K23" s="38">
        <f t="shared" si="0"/>
        <v>14.884</v>
      </c>
      <c r="L23" s="39" t="s">
        <v>577</v>
      </c>
    </row>
    <row r="24" spans="1:12" s="27" customFormat="1" ht="19.5" customHeight="1" x14ac:dyDescent="0.3">
      <c r="A24" s="28"/>
      <c r="B24" s="16"/>
      <c r="C24" s="17"/>
      <c r="D24" s="31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588</v>
      </c>
      <c r="B25" s="16" t="s">
        <v>574</v>
      </c>
      <c r="C25" s="17">
        <v>28</v>
      </c>
      <c r="D25" s="18" t="s">
        <v>575</v>
      </c>
      <c r="E25" s="41">
        <v>16</v>
      </c>
      <c r="F25" s="42">
        <v>15.85</v>
      </c>
      <c r="G25" s="34" t="s">
        <v>576</v>
      </c>
      <c r="H25" s="35">
        <v>2440</v>
      </c>
      <c r="I25" s="36">
        <v>3050</v>
      </c>
      <c r="J25" s="37">
        <v>3</v>
      </c>
      <c r="K25" s="38">
        <f t="shared" si="0"/>
        <v>22.326000000000001</v>
      </c>
      <c r="L25" s="39" t="s">
        <v>577</v>
      </c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 t="s">
        <v>589</v>
      </c>
      <c r="B27" s="16" t="s">
        <v>574</v>
      </c>
      <c r="C27" s="17">
        <v>28</v>
      </c>
      <c r="D27" s="18" t="s">
        <v>575</v>
      </c>
      <c r="E27" s="41">
        <v>15</v>
      </c>
      <c r="F27" s="42">
        <v>14.17</v>
      </c>
      <c r="G27" s="34" t="s">
        <v>576</v>
      </c>
      <c r="H27" s="35">
        <v>2440</v>
      </c>
      <c r="I27" s="36">
        <v>3050</v>
      </c>
      <c r="J27" s="37">
        <v>2</v>
      </c>
      <c r="K27" s="38">
        <f t="shared" si="0"/>
        <v>14.884</v>
      </c>
      <c r="L27" s="39" t="s">
        <v>577</v>
      </c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 t="s">
        <v>590</v>
      </c>
      <c r="B29" s="16" t="s">
        <v>574</v>
      </c>
      <c r="C29" s="17">
        <v>28</v>
      </c>
      <c r="D29" s="18" t="s">
        <v>575</v>
      </c>
      <c r="E29" s="41">
        <v>30</v>
      </c>
      <c r="F29" s="42">
        <v>25.34</v>
      </c>
      <c r="G29" s="34" t="s">
        <v>576</v>
      </c>
      <c r="H29" s="35">
        <v>2440</v>
      </c>
      <c r="I29" s="36">
        <v>3050</v>
      </c>
      <c r="J29" s="37">
        <v>4</v>
      </c>
      <c r="K29" s="38">
        <f t="shared" si="0"/>
        <v>29.768000000000001</v>
      </c>
      <c r="L29" s="39" t="s">
        <v>577</v>
      </c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 t="s">
        <v>592</v>
      </c>
      <c r="B31" s="16" t="s">
        <v>353</v>
      </c>
      <c r="C31" s="17">
        <v>22</v>
      </c>
      <c r="D31" s="31" t="s">
        <v>307</v>
      </c>
      <c r="E31" s="41">
        <v>150</v>
      </c>
      <c r="F31" s="42">
        <v>118.4</v>
      </c>
      <c r="G31" s="34" t="s">
        <v>39</v>
      </c>
      <c r="H31" s="35">
        <v>1829</v>
      </c>
      <c r="I31" s="36">
        <v>3353</v>
      </c>
      <c r="J31" s="37">
        <v>21</v>
      </c>
      <c r="K31" s="38">
        <f t="shared" si="0"/>
        <v>128.78537700000001</v>
      </c>
      <c r="L31" s="39" t="s">
        <v>425</v>
      </c>
    </row>
    <row r="32" spans="1:12" s="27" customFormat="1" ht="19.5" customHeight="1" x14ac:dyDescent="0.3">
      <c r="A32" s="28"/>
      <c r="B32" s="16"/>
      <c r="C32" s="17"/>
      <c r="D32" s="31"/>
      <c r="E32" s="41"/>
      <c r="F32" s="42"/>
      <c r="G32" s="34"/>
      <c r="H32" s="35"/>
      <c r="I32" s="36"/>
      <c r="J32" s="37"/>
      <c r="K32" s="38"/>
      <c r="L32" s="39"/>
    </row>
    <row r="33" spans="1:12" s="27" customFormat="1" ht="19.5" customHeight="1" x14ac:dyDescent="0.3">
      <c r="A33" s="28"/>
      <c r="B33" s="16"/>
      <c r="C33" s="17"/>
      <c r="D33" s="31"/>
      <c r="E33" s="41"/>
      <c r="F33" s="42"/>
      <c r="G33" s="34"/>
      <c r="H33" s="35"/>
      <c r="I33" s="36"/>
      <c r="J33" s="37"/>
      <c r="K33" s="38"/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43"/>
      <c r="H34" s="35"/>
      <c r="I34" s="36"/>
      <c r="J34" s="37"/>
      <c r="K34" s="38">
        <f t="shared" si="0"/>
        <v>0</v>
      </c>
      <c r="L34" s="39"/>
    </row>
    <row r="35" spans="1:12" s="55" customFormat="1" ht="19.5" customHeight="1" x14ac:dyDescent="0.3">
      <c r="A35" s="44" t="s">
        <v>553</v>
      </c>
      <c r="B35" s="45" t="s">
        <v>554</v>
      </c>
      <c r="C35" s="46">
        <v>28</v>
      </c>
      <c r="D35" s="47" t="s">
        <v>555</v>
      </c>
      <c r="E35" s="48">
        <v>61</v>
      </c>
      <c r="F35" s="49">
        <v>100.85</v>
      </c>
      <c r="G35" s="50" t="s">
        <v>556</v>
      </c>
      <c r="H35" s="51">
        <v>2134</v>
      </c>
      <c r="I35" s="45">
        <v>3353</v>
      </c>
      <c r="J35" s="52">
        <v>19</v>
      </c>
      <c r="K35" s="53">
        <f t="shared" si="0"/>
        <v>135.950738</v>
      </c>
      <c r="L35" s="54" t="s">
        <v>557</v>
      </c>
    </row>
    <row r="36" spans="1:12" s="55" customFormat="1" ht="19.5" customHeight="1" x14ac:dyDescent="0.3">
      <c r="A36" s="44"/>
      <c r="B36" s="76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558</v>
      </c>
      <c r="B37" s="45" t="s">
        <v>554</v>
      </c>
      <c r="C37" s="77">
        <v>28</v>
      </c>
      <c r="D37" s="78" t="s">
        <v>559</v>
      </c>
      <c r="E37" s="48">
        <v>20</v>
      </c>
      <c r="F37" s="49">
        <v>20.61</v>
      </c>
      <c r="G37" s="50" t="s">
        <v>560</v>
      </c>
      <c r="H37" s="51">
        <v>2440</v>
      </c>
      <c r="I37" s="45">
        <v>3050</v>
      </c>
      <c r="J37" s="52">
        <v>3</v>
      </c>
      <c r="K37" s="53">
        <f t="shared" si="0"/>
        <v>22.326000000000001</v>
      </c>
      <c r="L37" s="54" t="s">
        <v>561</v>
      </c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562</v>
      </c>
      <c r="B39" s="45" t="s">
        <v>554</v>
      </c>
      <c r="C39" s="77">
        <v>28</v>
      </c>
      <c r="D39" s="78" t="s">
        <v>559</v>
      </c>
      <c r="E39" s="48">
        <v>12</v>
      </c>
      <c r="F39" s="49">
        <v>11.67</v>
      </c>
      <c r="G39" s="50" t="s">
        <v>560</v>
      </c>
      <c r="H39" s="51">
        <v>2440</v>
      </c>
      <c r="I39" s="45">
        <v>3050</v>
      </c>
      <c r="J39" s="52">
        <v>3</v>
      </c>
      <c r="K39" s="53">
        <f t="shared" si="0"/>
        <v>22.326000000000001</v>
      </c>
      <c r="L39" s="54" t="s">
        <v>561</v>
      </c>
    </row>
    <row r="40" spans="1:12" s="55" customFormat="1" ht="19.5" customHeight="1" x14ac:dyDescent="0.3">
      <c r="A40" s="44" t="s">
        <v>563</v>
      </c>
      <c r="B40" s="45" t="s">
        <v>554</v>
      </c>
      <c r="C40" s="77">
        <v>28</v>
      </c>
      <c r="D40" s="78" t="s">
        <v>559</v>
      </c>
      <c r="E40" s="48">
        <v>6</v>
      </c>
      <c r="F40" s="49">
        <v>7.81</v>
      </c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566</v>
      </c>
      <c r="B42" s="45" t="s">
        <v>554</v>
      </c>
      <c r="C42" s="77">
        <v>28</v>
      </c>
      <c r="D42" s="78" t="s">
        <v>559</v>
      </c>
      <c r="E42" s="48">
        <v>20</v>
      </c>
      <c r="F42" s="49">
        <v>20.350000000000001</v>
      </c>
      <c r="G42" s="50" t="s">
        <v>560</v>
      </c>
      <c r="H42" s="51">
        <v>2440</v>
      </c>
      <c r="I42" s="45">
        <v>3050</v>
      </c>
      <c r="J42" s="52">
        <v>3</v>
      </c>
      <c r="K42" s="53">
        <f t="shared" si="0"/>
        <v>22.326000000000001</v>
      </c>
      <c r="L42" s="54" t="s">
        <v>561</v>
      </c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567</v>
      </c>
      <c r="B44" s="45" t="s">
        <v>554</v>
      </c>
      <c r="C44" s="77">
        <v>28</v>
      </c>
      <c r="D44" s="78" t="s">
        <v>559</v>
      </c>
      <c r="E44" s="48">
        <v>16</v>
      </c>
      <c r="F44" s="49">
        <v>15.85</v>
      </c>
      <c r="G44" s="50" t="s">
        <v>560</v>
      </c>
      <c r="H44" s="51">
        <v>2440</v>
      </c>
      <c r="I44" s="45">
        <v>3050</v>
      </c>
      <c r="J44" s="52">
        <v>3</v>
      </c>
      <c r="K44" s="53">
        <f t="shared" si="0"/>
        <v>22.326000000000001</v>
      </c>
      <c r="L44" s="54" t="s">
        <v>561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581</v>
      </c>
      <c r="B46" s="45" t="s">
        <v>554</v>
      </c>
      <c r="C46" s="77">
        <v>28</v>
      </c>
      <c r="D46" s="78" t="s">
        <v>559</v>
      </c>
      <c r="E46" s="48">
        <v>17</v>
      </c>
      <c r="F46" s="49">
        <v>17.899999999999999</v>
      </c>
      <c r="G46" s="50" t="s">
        <v>560</v>
      </c>
      <c r="H46" s="51">
        <v>3050</v>
      </c>
      <c r="I46" s="45">
        <v>4000</v>
      </c>
      <c r="J46" s="52">
        <v>4</v>
      </c>
      <c r="K46" s="53">
        <f t="shared" si="0"/>
        <v>48.8</v>
      </c>
      <c r="L46" s="54" t="s">
        <v>561</v>
      </c>
    </row>
    <row r="47" spans="1:12" s="55" customFormat="1" ht="19.5" customHeight="1" x14ac:dyDescent="0.3">
      <c r="A47" s="44" t="s">
        <v>582</v>
      </c>
      <c r="B47" s="45" t="s">
        <v>554</v>
      </c>
      <c r="C47" s="77">
        <v>28</v>
      </c>
      <c r="D47" s="78" t="s">
        <v>559</v>
      </c>
      <c r="E47" s="48">
        <v>10</v>
      </c>
      <c r="F47" s="49">
        <v>24.35</v>
      </c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583</v>
      </c>
      <c r="B49" s="45" t="s">
        <v>554</v>
      </c>
      <c r="C49" s="77">
        <v>28</v>
      </c>
      <c r="D49" s="78" t="s">
        <v>559</v>
      </c>
      <c r="E49" s="48">
        <v>16</v>
      </c>
      <c r="F49" s="49">
        <v>16.98</v>
      </c>
      <c r="G49" s="50" t="s">
        <v>560</v>
      </c>
      <c r="H49" s="51">
        <v>3050</v>
      </c>
      <c r="I49" s="45">
        <v>4000</v>
      </c>
      <c r="J49" s="52">
        <v>5</v>
      </c>
      <c r="K49" s="53">
        <f t="shared" si="0"/>
        <v>61</v>
      </c>
      <c r="L49" s="54" t="s">
        <v>561</v>
      </c>
    </row>
    <row r="50" spans="1:12" s="55" customFormat="1" ht="19.5" customHeight="1" x14ac:dyDescent="0.3">
      <c r="A50" s="44" t="s">
        <v>584</v>
      </c>
      <c r="B50" s="45" t="s">
        <v>554</v>
      </c>
      <c r="C50" s="77">
        <v>28</v>
      </c>
      <c r="D50" s="78" t="s">
        <v>559</v>
      </c>
      <c r="E50" s="48">
        <v>10</v>
      </c>
      <c r="F50" s="49">
        <v>24.35</v>
      </c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 t="s">
        <v>585</v>
      </c>
      <c r="B52" s="45" t="s">
        <v>554</v>
      </c>
      <c r="C52" s="77">
        <v>28</v>
      </c>
      <c r="D52" s="78" t="s">
        <v>559</v>
      </c>
      <c r="E52" s="48">
        <f>1+6+2+1+4+1</f>
        <v>15</v>
      </c>
      <c r="F52" s="49">
        <v>13.8</v>
      </c>
      <c r="G52" s="50" t="s">
        <v>560</v>
      </c>
      <c r="H52" s="51">
        <v>3050</v>
      </c>
      <c r="I52" s="45">
        <v>4000</v>
      </c>
      <c r="J52" s="52">
        <v>3</v>
      </c>
      <c r="K52" s="53">
        <f t="shared" si="0"/>
        <v>36.599999999999994</v>
      </c>
      <c r="L52" s="54" t="s">
        <v>561</v>
      </c>
    </row>
    <row r="53" spans="1:12" s="55" customFormat="1" ht="19.5" customHeight="1" x14ac:dyDescent="0.3">
      <c r="A53" s="44" t="s">
        <v>586</v>
      </c>
      <c r="B53" s="45" t="s">
        <v>554</v>
      </c>
      <c r="C53" s="77">
        <v>28</v>
      </c>
      <c r="D53" s="78" t="s">
        <v>559</v>
      </c>
      <c r="E53" s="48">
        <f>5+1+2+1+5+7</f>
        <v>21</v>
      </c>
      <c r="F53" s="49">
        <v>23.74</v>
      </c>
      <c r="G53" s="50" t="s">
        <v>560</v>
      </c>
      <c r="H53" s="51">
        <v>2440</v>
      </c>
      <c r="I53" s="45">
        <v>3050</v>
      </c>
      <c r="J53" s="52">
        <v>1</v>
      </c>
      <c r="K53" s="53">
        <f t="shared" si="0"/>
        <v>7.4420000000000002</v>
      </c>
      <c r="L53" s="54" t="s">
        <v>561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76"/>
      <c r="C57" s="77"/>
      <c r="D57" s="78"/>
      <c r="E57" s="48"/>
      <c r="F57" s="49"/>
      <c r="G57" s="50"/>
      <c r="H57" s="51"/>
      <c r="I57" s="45"/>
      <c r="J57" s="52"/>
      <c r="K57" s="53">
        <f t="shared" si="0"/>
        <v>0</v>
      </c>
      <c r="L57" s="54" t="s">
        <v>564</v>
      </c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 t="s">
        <v>565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 t="s">
        <v>591</v>
      </c>
    </row>
    <row r="60" spans="1:12" s="59" customFormat="1" ht="20.100000000000001" customHeight="1" x14ac:dyDescent="0.3">
      <c r="A60" s="44"/>
      <c r="B60" s="45"/>
      <c r="C60" s="46"/>
      <c r="D60" s="47"/>
      <c r="E60" s="56"/>
      <c r="F60" s="57"/>
      <c r="G60" s="50"/>
      <c r="H60" s="51"/>
      <c r="I60" s="45"/>
      <c r="J60" s="52"/>
      <c r="K60" s="53">
        <f t="shared" si="0"/>
        <v>0</v>
      </c>
      <c r="L60" s="58">
        <f>SUM(J35:J61)</f>
        <v>44</v>
      </c>
    </row>
    <row r="61" spans="1:12" s="59" customFormat="1" ht="20.100000000000001" customHeight="1" x14ac:dyDescent="0.3">
      <c r="A61" s="44"/>
      <c r="B61" s="45"/>
      <c r="C61" s="46"/>
      <c r="D61" s="47"/>
      <c r="E61" s="60"/>
      <c r="F61" s="61"/>
      <c r="G61" s="62"/>
      <c r="H61" s="51"/>
      <c r="I61" s="45"/>
      <c r="J61" s="63"/>
      <c r="K61" s="53">
        <f t="shared" si="0"/>
        <v>0</v>
      </c>
      <c r="L61" s="64">
        <f>SUM(K35:K61)</f>
        <v>379.09673799999996</v>
      </c>
    </row>
    <row r="62" spans="1:12" s="59" customFormat="1" ht="20.100000000000001" customHeight="1" thickBot="1" x14ac:dyDescent="0.35">
      <c r="A62" s="114"/>
      <c r="B62" s="115"/>
      <c r="C62" s="115"/>
      <c r="D62" s="115"/>
      <c r="E62" s="115"/>
      <c r="F62" s="115"/>
      <c r="G62" s="115"/>
      <c r="H62" s="115"/>
      <c r="I62" s="115"/>
      <c r="J62" s="65">
        <f>SUM(J7:J61)</f>
        <v>172</v>
      </c>
      <c r="K62" s="66">
        <f>SUM(K7:K61)</f>
        <v>1196.7815170000001</v>
      </c>
      <c r="L62" s="67"/>
    </row>
    <row r="63" spans="1:12" s="59" customFormat="1" ht="20.100000000000001" customHeight="1" thickTop="1" thickBot="1" x14ac:dyDescent="0.35">
      <c r="A63" s="116" t="s">
        <v>52</v>
      </c>
      <c r="B63" s="117"/>
      <c r="C63" s="68"/>
      <c r="D63" s="118">
        <f>J62</f>
        <v>172</v>
      </c>
      <c r="E63" s="119"/>
      <c r="F63" s="119"/>
      <c r="G63" s="120"/>
      <c r="H63" s="121"/>
      <c r="I63" s="121"/>
      <c r="J63" s="122"/>
      <c r="K63" s="119"/>
      <c r="L63" s="123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71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69"/>
      <c r="B66" s="5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69"/>
      <c r="B67" s="5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72"/>
      <c r="F69" s="5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5"/>
      <c r="G70" s="73"/>
      <c r="H70" s="5"/>
      <c r="I70" s="74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69"/>
      <c r="B72" s="5"/>
      <c r="C72" s="5"/>
      <c r="D72" s="5"/>
      <c r="E72" s="5"/>
      <c r="F72" s="70"/>
      <c r="G72" s="5"/>
      <c r="H72" s="5"/>
      <c r="I72" s="5"/>
      <c r="J72" s="5"/>
      <c r="K72" s="5"/>
      <c r="L72" s="5"/>
    </row>
    <row r="73" spans="1:12" s="59" customFormat="1" ht="20.100000000000001" customHeight="1" x14ac:dyDescent="0.3">
      <c r="A73" s="113"/>
      <c r="B73" s="113"/>
      <c r="C73" s="5"/>
      <c r="D73" s="5"/>
      <c r="E73" s="5"/>
      <c r="F73" s="70"/>
      <c r="G73" s="5"/>
      <c r="H73" s="5"/>
      <c r="I73" s="5"/>
      <c r="J73" s="5"/>
      <c r="K73" s="5"/>
      <c r="L73" s="5"/>
    </row>
    <row r="74" spans="1:12" s="59" customFormat="1" ht="20.100000000000001" customHeight="1" x14ac:dyDescent="0.3">
      <c r="A74" s="113"/>
      <c r="B74" s="113"/>
      <c r="C74" s="5"/>
      <c r="D74" s="5"/>
      <c r="E74" s="5"/>
      <c r="F74" s="70"/>
      <c r="G74" s="5"/>
      <c r="H74" s="72"/>
      <c r="I74" s="72"/>
      <c r="J74" s="5"/>
      <c r="K74" s="5"/>
      <c r="L74" s="5"/>
    </row>
    <row r="75" spans="1:12" ht="20.100000000000001" customHeight="1" x14ac:dyDescent="0.3">
      <c r="A75" s="113"/>
      <c r="B75" s="113"/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A78" s="113"/>
      <c r="B78" s="113"/>
      <c r="H78" s="72"/>
      <c r="I78" s="72"/>
    </row>
    <row r="79" spans="1:12" ht="20.100000000000001" customHeight="1" x14ac:dyDescent="0.3">
      <c r="A79" s="113"/>
      <c r="B79" s="113"/>
      <c r="H79" s="72"/>
      <c r="I79" s="72"/>
    </row>
    <row r="80" spans="1:12" ht="20.100000000000001" customHeight="1" x14ac:dyDescent="0.3">
      <c r="H80" s="72"/>
      <c r="I80" s="72"/>
    </row>
    <row r="81" spans="1:12" ht="20.100000000000001" customHeight="1" x14ac:dyDescent="0.3">
      <c r="H81" s="72"/>
      <c r="I81" s="72"/>
    </row>
    <row r="82" spans="1:12" ht="20.100000000000001" customHeight="1" x14ac:dyDescent="0.3">
      <c r="H82" s="72"/>
      <c r="I82" s="72"/>
    </row>
    <row r="83" spans="1:12" s="72" customFormat="1" ht="20.100000000000001" customHeight="1" x14ac:dyDescent="0.3">
      <c r="A83" s="69"/>
      <c r="B83" s="5"/>
      <c r="C83" s="5"/>
      <c r="D83" s="5"/>
      <c r="E83" s="5"/>
      <c r="F83" s="70"/>
      <c r="G83" s="5"/>
      <c r="J83" s="5"/>
      <c r="K83" s="5"/>
      <c r="L83" s="5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5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5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5" customFormat="1" ht="19.5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72" customFormat="1" ht="20.100000000000001" customHeight="1" x14ac:dyDescent="0.3">
      <c r="A88" s="69"/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1:12" s="72" customFormat="1" ht="20.100000000000001" customHeight="1" x14ac:dyDescent="0.3">
      <c r="A89" s="69"/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ht="19.5" customHeight="1" x14ac:dyDescent="0.3"/>
    <row r="91" spans="1:12" ht="19.5" customHeight="1" x14ac:dyDescent="0.3"/>
    <row r="92" spans="1:12" ht="19.5" customHeight="1" x14ac:dyDescent="0.3"/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2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ht="19.5" customHeight="1" x14ac:dyDescent="0.3"/>
    <row r="119" spans="2:12" ht="19.5" customHeight="1" x14ac:dyDescent="0.3"/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>
        <v>2</v>
      </c>
      <c r="C153" s="5"/>
      <c r="D153" s="5"/>
      <c r="E153" s="5"/>
      <c r="F153" s="70"/>
      <c r="G153" s="5"/>
      <c r="H153" s="5"/>
      <c r="I153" s="5"/>
      <c r="J153" s="5"/>
      <c r="K153" s="5"/>
      <c r="L153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8:B6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2:I62"/>
    <mergeCell ref="A63:B63"/>
    <mergeCell ref="D63:G63"/>
    <mergeCell ref="H63:J63"/>
    <mergeCell ref="K63:L63"/>
    <mergeCell ref="A78:B78"/>
    <mergeCell ref="A79:B79"/>
    <mergeCell ref="A69:B69"/>
    <mergeCell ref="A70:B70"/>
    <mergeCell ref="A71:B71"/>
    <mergeCell ref="A73:B73"/>
    <mergeCell ref="A74:B74"/>
    <mergeCell ref="A75:B75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pageSetUpPr fitToPage="1"/>
  </sheetPr>
  <dimension ref="A1:L149"/>
  <sheetViews>
    <sheetView view="pageBreakPreview" topLeftCell="A11" zoomScale="85" zoomScaleSheetLayoutView="85" workbookViewId="0">
      <selection activeCell="A42" sqref="A42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46038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7" si="0">(H7/1000*I7/1000)*J7</f>
        <v>0</v>
      </c>
      <c r="L7" s="26">
        <f>SUM(J7:J30)</f>
        <v>217</v>
      </c>
    </row>
    <row r="8" spans="1:12" s="27" customFormat="1" ht="19.5" customHeight="1" x14ac:dyDescent="0.3">
      <c r="A8" s="28"/>
      <c r="B8" s="16"/>
      <c r="C8" s="17"/>
      <c r="D8" s="18"/>
      <c r="E8" s="32"/>
      <c r="F8" s="33"/>
      <c r="G8" s="34"/>
      <c r="H8" s="35"/>
      <c r="I8" s="36"/>
      <c r="J8" s="37"/>
      <c r="K8" s="38">
        <f t="shared" si="0"/>
        <v>0</v>
      </c>
      <c r="L8" s="39">
        <f>SUM(K7:K30)</f>
        <v>1336.7157090000001</v>
      </c>
    </row>
    <row r="9" spans="1:12" s="27" customFormat="1" ht="19.5" customHeight="1" x14ac:dyDescent="0.3">
      <c r="A9" s="28" t="s">
        <v>513</v>
      </c>
      <c r="B9" s="16" t="s">
        <v>353</v>
      </c>
      <c r="C9" s="17">
        <v>22</v>
      </c>
      <c r="D9" s="31" t="s">
        <v>307</v>
      </c>
      <c r="E9" s="41">
        <v>140</v>
      </c>
      <c r="F9" s="42">
        <v>115</v>
      </c>
      <c r="G9" s="34" t="s">
        <v>49</v>
      </c>
      <c r="H9" s="35">
        <v>1829</v>
      </c>
      <c r="I9" s="36">
        <v>3353</v>
      </c>
      <c r="J9" s="37">
        <v>20</v>
      </c>
      <c r="K9" s="38">
        <f t="shared" si="0"/>
        <v>122.65273999999999</v>
      </c>
      <c r="L9" s="39" t="s">
        <v>321</v>
      </c>
    </row>
    <row r="10" spans="1:12" s="27" customFormat="1" ht="19.5" customHeight="1" x14ac:dyDescent="0.3">
      <c r="A10" s="28"/>
      <c r="B10" s="16"/>
      <c r="C10" s="17">
        <v>22</v>
      </c>
      <c r="D10" s="18" t="s">
        <v>320</v>
      </c>
      <c r="E10" s="41">
        <v>140</v>
      </c>
      <c r="F10" s="42">
        <v>115</v>
      </c>
      <c r="G10" s="34" t="s">
        <v>18</v>
      </c>
      <c r="H10" s="35">
        <v>1829</v>
      </c>
      <c r="I10" s="36">
        <v>3353</v>
      </c>
      <c r="J10" s="37">
        <v>20</v>
      </c>
      <c r="K10" s="38">
        <f t="shared" si="0"/>
        <v>122.65273999999999</v>
      </c>
      <c r="L10" s="39" t="s">
        <v>321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 t="s">
        <v>39</v>
      </c>
      <c r="H11" s="35">
        <v>1829</v>
      </c>
      <c r="I11" s="36">
        <v>3353</v>
      </c>
      <c r="J11" s="37">
        <v>40</v>
      </c>
      <c r="K11" s="38">
        <f t="shared" si="0"/>
        <v>245.30547999999999</v>
      </c>
      <c r="L11" s="39" t="s">
        <v>321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514</v>
      </c>
      <c r="B13" s="16" t="s">
        <v>353</v>
      </c>
      <c r="C13" s="17">
        <v>22</v>
      </c>
      <c r="D13" s="31" t="s">
        <v>307</v>
      </c>
      <c r="E13" s="41">
        <v>150</v>
      </c>
      <c r="F13" s="42">
        <v>131.1</v>
      </c>
      <c r="G13" s="34" t="s">
        <v>49</v>
      </c>
      <c r="H13" s="35">
        <v>1829</v>
      </c>
      <c r="I13" s="36">
        <v>3353</v>
      </c>
      <c r="J13" s="37">
        <v>23</v>
      </c>
      <c r="K13" s="38">
        <f t="shared" si="0"/>
        <v>141.05065099999999</v>
      </c>
      <c r="L13" s="39" t="s">
        <v>321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 t="s">
        <v>39</v>
      </c>
      <c r="H14" s="35">
        <v>1829</v>
      </c>
      <c r="I14" s="36">
        <v>3353</v>
      </c>
      <c r="J14" s="37">
        <v>23</v>
      </c>
      <c r="K14" s="38">
        <f t="shared" si="0"/>
        <v>141.05065099999999</v>
      </c>
      <c r="L14" s="39" t="s">
        <v>321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515</v>
      </c>
      <c r="B16" s="16"/>
      <c r="C16" s="17"/>
      <c r="D16" s="18"/>
      <c r="E16" s="41"/>
      <c r="F16" s="4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520</v>
      </c>
      <c r="B17" s="16" t="s">
        <v>353</v>
      </c>
      <c r="C17" s="17">
        <v>22</v>
      </c>
      <c r="D17" s="31" t="s">
        <v>307</v>
      </c>
      <c r="E17" s="41">
        <v>66</v>
      </c>
      <c r="F17" s="42">
        <v>57.26</v>
      </c>
      <c r="G17" s="34" t="s">
        <v>49</v>
      </c>
      <c r="H17" s="35">
        <v>1829</v>
      </c>
      <c r="I17" s="36">
        <v>3353</v>
      </c>
      <c r="J17" s="37">
        <v>10</v>
      </c>
      <c r="K17" s="38">
        <f t="shared" si="0"/>
        <v>61.326369999999997</v>
      </c>
      <c r="L17" s="39" t="s">
        <v>321</v>
      </c>
    </row>
    <row r="18" spans="1:12" s="27" customFormat="1" ht="19.5" customHeight="1" x14ac:dyDescent="0.3">
      <c r="A18" s="28"/>
      <c r="B18" s="16"/>
      <c r="C18" s="17">
        <v>22</v>
      </c>
      <c r="D18" s="18" t="s">
        <v>320</v>
      </c>
      <c r="E18" s="41">
        <v>66</v>
      </c>
      <c r="F18" s="42">
        <v>55.09</v>
      </c>
      <c r="G18" s="34" t="s">
        <v>18</v>
      </c>
      <c r="H18" s="35">
        <v>1829</v>
      </c>
      <c r="I18" s="36">
        <v>3353</v>
      </c>
      <c r="J18" s="37">
        <v>9</v>
      </c>
      <c r="K18" s="38">
        <f t="shared" si="0"/>
        <v>55.193733000000002</v>
      </c>
      <c r="L18" s="39" t="s">
        <v>321</v>
      </c>
    </row>
    <row r="19" spans="1:12" s="27" customFormat="1" ht="19.5" customHeight="1" x14ac:dyDescent="0.3">
      <c r="A19" s="28"/>
      <c r="B19" s="16"/>
      <c r="C19" s="17"/>
      <c r="D19" s="31"/>
      <c r="E19" s="41"/>
      <c r="F19" s="42"/>
      <c r="G19" s="34" t="s">
        <v>39</v>
      </c>
      <c r="H19" s="35">
        <v>1829</v>
      </c>
      <c r="I19" s="36">
        <v>3353</v>
      </c>
      <c r="J19" s="37">
        <f>10+9</f>
        <v>19</v>
      </c>
      <c r="K19" s="38">
        <f t="shared" si="0"/>
        <v>116.52010299999999</v>
      </c>
      <c r="L19" s="39" t="s">
        <v>321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521</v>
      </c>
      <c r="B21" s="16" t="s">
        <v>353</v>
      </c>
      <c r="C21" s="17">
        <v>22</v>
      </c>
      <c r="D21" s="18" t="s">
        <v>320</v>
      </c>
      <c r="E21" s="41">
        <v>150</v>
      </c>
      <c r="F21" s="42">
        <v>131.1</v>
      </c>
      <c r="G21" s="34" t="s">
        <v>18</v>
      </c>
      <c r="H21" s="35">
        <v>1829</v>
      </c>
      <c r="I21" s="36">
        <v>3353</v>
      </c>
      <c r="J21" s="37">
        <v>23</v>
      </c>
      <c r="K21" s="38">
        <f t="shared" ref="K21:K22" si="1">(H21/1000*I21/1000)*J21</f>
        <v>141.05065099999999</v>
      </c>
      <c r="L21" s="39" t="s">
        <v>321</v>
      </c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 t="s">
        <v>39</v>
      </c>
      <c r="H22" s="35">
        <v>1829</v>
      </c>
      <c r="I22" s="36">
        <v>3353</v>
      </c>
      <c r="J22" s="37">
        <v>23</v>
      </c>
      <c r="K22" s="38">
        <f t="shared" si="1"/>
        <v>141.05065099999999</v>
      </c>
      <c r="L22" s="39" t="s">
        <v>321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>
        <f t="shared" ref="K23:K24" si="2">(H23/1000*I23/1000)*J23</f>
        <v>0</v>
      </c>
      <c r="L23" s="39"/>
    </row>
    <row r="24" spans="1:12" s="27" customFormat="1" ht="19.5" customHeight="1" x14ac:dyDescent="0.3">
      <c r="A24" s="28" t="s">
        <v>522</v>
      </c>
      <c r="B24" s="16" t="s">
        <v>523</v>
      </c>
      <c r="C24" s="17">
        <v>43</v>
      </c>
      <c r="D24" s="31" t="s">
        <v>524</v>
      </c>
      <c r="E24" s="41">
        <v>4</v>
      </c>
      <c r="F24" s="42">
        <v>9.25</v>
      </c>
      <c r="G24" s="34" t="s">
        <v>18</v>
      </c>
      <c r="H24" s="35">
        <v>1981</v>
      </c>
      <c r="I24" s="36">
        <v>3048</v>
      </c>
      <c r="J24" s="37">
        <v>2</v>
      </c>
      <c r="K24" s="38">
        <f t="shared" si="2"/>
        <v>12.076176000000002</v>
      </c>
      <c r="L24" s="39"/>
    </row>
    <row r="25" spans="1:12" s="27" customFormat="1" ht="19.5" customHeight="1" x14ac:dyDescent="0.3">
      <c r="A25" s="28"/>
      <c r="B25" s="16"/>
      <c r="C25" s="17">
        <v>24</v>
      </c>
      <c r="D25" s="18" t="s">
        <v>526</v>
      </c>
      <c r="E25" s="41">
        <v>3</v>
      </c>
      <c r="F25" s="42">
        <v>6.25</v>
      </c>
      <c r="G25" s="34" t="s">
        <v>525</v>
      </c>
      <c r="H25" s="35">
        <v>1981</v>
      </c>
      <c r="I25" s="36">
        <v>3353</v>
      </c>
      <c r="J25" s="37">
        <v>3</v>
      </c>
      <c r="K25" s="38">
        <f t="shared" ref="K25:K27" si="3">(H25/1000*I25/1000)*J25</f>
        <v>19.926879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 t="s">
        <v>18</v>
      </c>
      <c r="H26" s="35">
        <v>2590</v>
      </c>
      <c r="I26" s="36">
        <v>3353</v>
      </c>
      <c r="J26" s="37">
        <v>1</v>
      </c>
      <c r="K26" s="38">
        <f t="shared" si="3"/>
        <v>8.6842699999999979</v>
      </c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 t="s">
        <v>527</v>
      </c>
      <c r="H27" s="35">
        <v>2438</v>
      </c>
      <c r="I27" s="36">
        <v>3353</v>
      </c>
      <c r="J27" s="37">
        <v>1</v>
      </c>
      <c r="K27" s="38">
        <f t="shared" si="3"/>
        <v>8.174614</v>
      </c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29"/>
      <c r="C29" s="30"/>
      <c r="D29" s="31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43"/>
      <c r="H30" s="35"/>
      <c r="I30" s="36"/>
      <c r="J30" s="37"/>
      <c r="K30" s="38">
        <f t="shared" si="0"/>
        <v>0</v>
      </c>
      <c r="L30" s="39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516</v>
      </c>
      <c r="B32" s="76" t="s">
        <v>353</v>
      </c>
      <c r="C32" s="46">
        <v>22</v>
      </c>
      <c r="D32" s="47" t="s">
        <v>307</v>
      </c>
      <c r="E32" s="48">
        <v>258</v>
      </c>
      <c r="F32" s="49">
        <v>210.27</v>
      </c>
      <c r="G32" s="50" t="s">
        <v>39</v>
      </c>
      <c r="H32" s="51">
        <v>1829</v>
      </c>
      <c r="I32" s="45">
        <v>3353</v>
      </c>
      <c r="J32" s="52">
        <f>36+37</f>
        <v>73</v>
      </c>
      <c r="K32" s="53">
        <f t="shared" si="0"/>
        <v>447.682501</v>
      </c>
      <c r="L32" s="54" t="s">
        <v>517</v>
      </c>
    </row>
    <row r="33" spans="1:12" s="55" customFormat="1" ht="19.5" customHeight="1" x14ac:dyDescent="0.3">
      <c r="A33" s="44"/>
      <c r="B33" s="76"/>
      <c r="C33" s="77">
        <v>22</v>
      </c>
      <c r="D33" s="78" t="s">
        <v>320</v>
      </c>
      <c r="E33" s="48">
        <v>259</v>
      </c>
      <c r="F33" s="49">
        <v>217.16</v>
      </c>
      <c r="G33" s="50" t="s">
        <v>18</v>
      </c>
      <c r="H33" s="51">
        <v>1829</v>
      </c>
      <c r="I33" s="45">
        <v>3353</v>
      </c>
      <c r="J33" s="52">
        <v>38</v>
      </c>
      <c r="K33" s="53">
        <f t="shared" si="0"/>
        <v>233.04020599999998</v>
      </c>
      <c r="L33" s="54" t="s">
        <v>518</v>
      </c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/>
      <c r="H34" s="51"/>
      <c r="I34" s="45"/>
      <c r="J34" s="52"/>
      <c r="K34" s="53">
        <f t="shared" si="0"/>
        <v>0</v>
      </c>
      <c r="L34" s="54"/>
    </row>
    <row r="35" spans="1:12" s="55" customFormat="1" ht="19.5" customHeight="1" x14ac:dyDescent="0.3">
      <c r="A35" s="44" t="s">
        <v>519</v>
      </c>
      <c r="B35" s="76" t="s">
        <v>353</v>
      </c>
      <c r="C35" s="46">
        <v>22</v>
      </c>
      <c r="D35" s="47" t="s">
        <v>307</v>
      </c>
      <c r="E35" s="48">
        <v>160</v>
      </c>
      <c r="F35" s="49">
        <v>121.8</v>
      </c>
      <c r="G35" s="50" t="s">
        <v>49</v>
      </c>
      <c r="H35" s="51">
        <v>1829</v>
      </c>
      <c r="I35" s="45">
        <v>3353</v>
      </c>
      <c r="J35" s="52">
        <v>21</v>
      </c>
      <c r="K35" s="53">
        <f t="shared" si="0"/>
        <v>128.78537700000001</v>
      </c>
      <c r="L35" s="54" t="s">
        <v>518</v>
      </c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 t="s">
        <v>39</v>
      </c>
      <c r="H36" s="51">
        <v>1829</v>
      </c>
      <c r="I36" s="45">
        <v>3353</v>
      </c>
      <c r="J36" s="52">
        <v>21</v>
      </c>
      <c r="K36" s="53">
        <f t="shared" si="0"/>
        <v>128.78537700000001</v>
      </c>
      <c r="L36" s="54" t="s">
        <v>518</v>
      </c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515</v>
      </c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0"/>
        <v>0</v>
      </c>
      <c r="L38" s="54"/>
    </row>
    <row r="39" spans="1:12" s="55" customFormat="1" ht="19.5" customHeight="1" x14ac:dyDescent="0.3">
      <c r="A39" s="44" t="s">
        <v>528</v>
      </c>
      <c r="B39" s="45" t="s">
        <v>529</v>
      </c>
      <c r="C39" s="46">
        <v>24</v>
      </c>
      <c r="D39" s="47" t="s">
        <v>530</v>
      </c>
      <c r="E39" s="48">
        <v>1</v>
      </c>
      <c r="F39" s="49">
        <v>0.62</v>
      </c>
      <c r="G39" s="50" t="s">
        <v>531</v>
      </c>
      <c r="H39" s="51"/>
      <c r="I39" s="45"/>
      <c r="J39" s="52"/>
      <c r="K39" s="53">
        <f t="shared" si="0"/>
        <v>0</v>
      </c>
      <c r="L39" s="54" t="s">
        <v>533</v>
      </c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 t="s">
        <v>532</v>
      </c>
      <c r="H40" s="51"/>
      <c r="I40" s="45"/>
      <c r="J40" s="52"/>
      <c r="K40" s="53">
        <f t="shared" si="0"/>
        <v>0</v>
      </c>
      <c r="L40" s="54" t="s">
        <v>534</v>
      </c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535</v>
      </c>
      <c r="B42" s="45" t="s">
        <v>536</v>
      </c>
      <c r="C42" s="46">
        <v>22</v>
      </c>
      <c r="D42" s="47" t="s">
        <v>537</v>
      </c>
      <c r="E42" s="48">
        <v>1</v>
      </c>
      <c r="F42" s="49">
        <v>0.28000000000000003</v>
      </c>
      <c r="G42" s="50" t="s">
        <v>532</v>
      </c>
      <c r="H42" s="51"/>
      <c r="I42" s="45"/>
      <c r="J42" s="52"/>
      <c r="K42" s="53">
        <f t="shared" si="0"/>
        <v>0</v>
      </c>
      <c r="L42" s="54" t="s">
        <v>534</v>
      </c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 t="s">
        <v>538</v>
      </c>
      <c r="H43" s="51"/>
      <c r="I43" s="45"/>
      <c r="J43" s="52"/>
      <c r="K43" s="53">
        <f t="shared" si="0"/>
        <v>0</v>
      </c>
      <c r="L43" s="54" t="s">
        <v>534</v>
      </c>
    </row>
    <row r="44" spans="1:12" s="55" customFormat="1" ht="19.5" customHeight="1" x14ac:dyDescent="0.3">
      <c r="A44" s="44"/>
      <c r="B44" s="45"/>
      <c r="C44" s="46">
        <v>24</v>
      </c>
      <c r="D44" s="47" t="s">
        <v>539</v>
      </c>
      <c r="E44" s="48">
        <v>1</v>
      </c>
      <c r="F44" s="49">
        <v>0.28000000000000003</v>
      </c>
      <c r="G44" s="50" t="s">
        <v>540</v>
      </c>
      <c r="H44" s="51"/>
      <c r="I44" s="45"/>
      <c r="J44" s="52"/>
      <c r="K44" s="53">
        <f t="shared" si="0"/>
        <v>0</v>
      </c>
      <c r="L44" s="54" t="s">
        <v>534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541</v>
      </c>
      <c r="H45" s="51"/>
      <c r="I45" s="45"/>
      <c r="J45" s="52"/>
      <c r="K45" s="53">
        <f t="shared" si="0"/>
        <v>0</v>
      </c>
      <c r="L45" s="54" t="s">
        <v>534</v>
      </c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542</v>
      </c>
      <c r="B47" s="45" t="s">
        <v>543</v>
      </c>
      <c r="C47" s="46">
        <v>24</v>
      </c>
      <c r="D47" s="47" t="s">
        <v>544</v>
      </c>
      <c r="E47" s="48">
        <v>1</v>
      </c>
      <c r="F47" s="49">
        <v>4.41</v>
      </c>
      <c r="G47" s="50" t="s">
        <v>532</v>
      </c>
      <c r="H47" s="51">
        <v>3048</v>
      </c>
      <c r="I47" s="45">
        <v>3658</v>
      </c>
      <c r="J47" s="52">
        <v>1</v>
      </c>
      <c r="K47" s="53">
        <f t="shared" si="0"/>
        <v>11.149584000000001</v>
      </c>
      <c r="L47" s="54" t="s">
        <v>545</v>
      </c>
    </row>
    <row r="48" spans="1:12" s="55" customFormat="1" ht="19.5" customHeight="1" x14ac:dyDescent="0.3">
      <c r="A48" s="44"/>
      <c r="B48" s="45"/>
      <c r="C48" s="46">
        <v>24</v>
      </c>
      <c r="D48" s="47" t="s">
        <v>546</v>
      </c>
      <c r="E48" s="48">
        <v>1</v>
      </c>
      <c r="F48" s="49">
        <v>1.21</v>
      </c>
      <c r="G48" s="50" t="s">
        <v>547</v>
      </c>
      <c r="H48" s="51"/>
      <c r="I48" s="45"/>
      <c r="J48" s="52"/>
      <c r="K48" s="53">
        <f t="shared" si="0"/>
        <v>0</v>
      </c>
      <c r="L48" s="54" t="s">
        <v>534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548</v>
      </c>
      <c r="B50" s="45" t="s">
        <v>549</v>
      </c>
      <c r="C50" s="46">
        <v>24</v>
      </c>
      <c r="D50" s="47" t="s">
        <v>550</v>
      </c>
      <c r="E50" s="48">
        <v>1</v>
      </c>
      <c r="F50" s="49">
        <v>0.87</v>
      </c>
      <c r="G50" s="50" t="s">
        <v>551</v>
      </c>
      <c r="H50" s="51"/>
      <c r="I50" s="45"/>
      <c r="J50" s="52"/>
      <c r="K50" s="53">
        <f t="shared" si="0"/>
        <v>0</v>
      </c>
      <c r="L50" s="54" t="s">
        <v>533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 t="s">
        <v>532</v>
      </c>
      <c r="H51" s="51"/>
      <c r="I51" s="45"/>
      <c r="J51" s="52"/>
      <c r="K51" s="53">
        <f t="shared" si="0"/>
        <v>0</v>
      </c>
      <c r="L51" s="54" t="s">
        <v>533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552</v>
      </c>
      <c r="B53" s="76" t="s">
        <v>353</v>
      </c>
      <c r="C53" s="77">
        <v>22</v>
      </c>
      <c r="D53" s="78" t="s">
        <v>320</v>
      </c>
      <c r="E53" s="48">
        <v>160</v>
      </c>
      <c r="F53" s="49">
        <v>121.8</v>
      </c>
      <c r="G53" s="50" t="s">
        <v>39</v>
      </c>
      <c r="H53" s="51">
        <v>1829</v>
      </c>
      <c r="I53" s="45">
        <v>3353</v>
      </c>
      <c r="J53" s="52">
        <v>21</v>
      </c>
      <c r="K53" s="53">
        <f t="shared" si="0"/>
        <v>128.78537700000001</v>
      </c>
      <c r="L53" s="54" t="s">
        <v>518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 t="s">
        <v>18</v>
      </c>
      <c r="H54" s="51">
        <v>1829</v>
      </c>
      <c r="I54" s="45">
        <v>3353</v>
      </c>
      <c r="J54" s="52">
        <v>21</v>
      </c>
      <c r="K54" s="53">
        <f t="shared" si="0"/>
        <v>128.78537700000001</v>
      </c>
      <c r="L54" s="54" t="s">
        <v>518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9" customFormat="1" ht="20.100000000000001" customHeight="1" x14ac:dyDescent="0.3">
      <c r="A56" s="44"/>
      <c r="B56" s="45"/>
      <c r="C56" s="46"/>
      <c r="D56" s="47"/>
      <c r="E56" s="56"/>
      <c r="F56" s="57"/>
      <c r="G56" s="50"/>
      <c r="H56" s="51"/>
      <c r="I56" s="45"/>
      <c r="J56" s="52"/>
      <c r="K56" s="53">
        <f t="shared" si="0"/>
        <v>0</v>
      </c>
      <c r="L56" s="58">
        <f>SUM(J31:J57)</f>
        <v>196</v>
      </c>
    </row>
    <row r="57" spans="1:12" s="59" customFormat="1" ht="20.100000000000001" customHeight="1" x14ac:dyDescent="0.3">
      <c r="A57" s="44"/>
      <c r="B57" s="45"/>
      <c r="C57" s="46"/>
      <c r="D57" s="47"/>
      <c r="E57" s="60"/>
      <c r="F57" s="61"/>
      <c r="G57" s="62"/>
      <c r="H57" s="51"/>
      <c r="I57" s="45"/>
      <c r="J57" s="63"/>
      <c r="K57" s="53">
        <f t="shared" si="0"/>
        <v>0</v>
      </c>
      <c r="L57" s="64">
        <f>SUM(K31:K57)</f>
        <v>1207.0137990000001</v>
      </c>
    </row>
    <row r="58" spans="1:12" s="59" customFormat="1" ht="20.100000000000001" customHeight="1" thickBot="1" x14ac:dyDescent="0.35">
      <c r="A58" s="114"/>
      <c r="B58" s="115"/>
      <c r="C58" s="115"/>
      <c r="D58" s="115"/>
      <c r="E58" s="115"/>
      <c r="F58" s="115"/>
      <c r="G58" s="115"/>
      <c r="H58" s="115"/>
      <c r="I58" s="115"/>
      <c r="J58" s="65">
        <f>SUM(J7:J57)</f>
        <v>413</v>
      </c>
      <c r="K58" s="66">
        <f>SUM(K7:K57)</f>
        <v>2543.7295080000004</v>
      </c>
      <c r="L58" s="67"/>
    </row>
    <row r="59" spans="1:12" s="59" customFormat="1" ht="20.100000000000001" customHeight="1" thickTop="1" thickBot="1" x14ac:dyDescent="0.35">
      <c r="A59" s="116" t="s">
        <v>52</v>
      </c>
      <c r="B59" s="117"/>
      <c r="C59" s="68"/>
      <c r="D59" s="118">
        <f>J58</f>
        <v>413</v>
      </c>
      <c r="E59" s="119"/>
      <c r="F59" s="119"/>
      <c r="G59" s="120"/>
      <c r="H59" s="121"/>
      <c r="I59" s="121"/>
      <c r="J59" s="122"/>
      <c r="K59" s="119"/>
      <c r="L59" s="123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71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72"/>
      <c r="F65" s="5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5"/>
      <c r="G66" s="73"/>
      <c r="H66" s="5"/>
      <c r="I66" s="74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72"/>
      <c r="I70" s="72"/>
      <c r="J70" s="5"/>
      <c r="K70" s="5"/>
      <c r="L70" s="5"/>
    </row>
    <row r="71" spans="1:12" ht="20.100000000000001" customHeight="1" x14ac:dyDescent="0.3">
      <c r="A71" s="113"/>
      <c r="B71" s="113"/>
      <c r="H71" s="72"/>
      <c r="I71" s="72"/>
    </row>
    <row r="72" spans="1:12" ht="20.100000000000001" customHeight="1" x14ac:dyDescent="0.3"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A74" s="113"/>
      <c r="B74" s="113"/>
      <c r="H74" s="72"/>
      <c r="I74" s="72"/>
    </row>
    <row r="75" spans="1:12" ht="20.100000000000001" customHeight="1" x14ac:dyDescent="0.3">
      <c r="A75" s="113"/>
      <c r="B75" s="113"/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H78" s="72"/>
      <c r="I78" s="72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J79" s="5"/>
      <c r="K79" s="5"/>
      <c r="L79" s="5"/>
    </row>
    <row r="80" spans="1:12" s="72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5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5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19.5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ht="19.5" customHeight="1" x14ac:dyDescent="0.3"/>
    <row r="87" spans="1:12" ht="19.5" customHeight="1" x14ac:dyDescent="0.3"/>
    <row r="88" spans="1:12" ht="19.5" customHeight="1" x14ac:dyDescent="0.3"/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>
        <v>2</v>
      </c>
      <c r="C149" s="5"/>
      <c r="D149" s="5"/>
      <c r="E149" s="5"/>
      <c r="F149" s="70"/>
      <c r="G149" s="5"/>
      <c r="H149" s="5"/>
      <c r="I149" s="5"/>
      <c r="J149" s="5"/>
      <c r="K149" s="5"/>
      <c r="L149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4:B6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8:I58"/>
    <mergeCell ref="A59:B59"/>
    <mergeCell ref="D59:G59"/>
    <mergeCell ref="H59:J59"/>
    <mergeCell ref="K59:L59"/>
    <mergeCell ref="A74:B74"/>
    <mergeCell ref="A75:B75"/>
    <mergeCell ref="A65:B65"/>
    <mergeCell ref="A66:B66"/>
    <mergeCell ref="A67:B67"/>
    <mergeCell ref="A69:B69"/>
    <mergeCell ref="A70:B70"/>
    <mergeCell ref="A71:B71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pageSetUpPr fitToPage="1"/>
  </sheetPr>
  <dimension ref="A1:L164"/>
  <sheetViews>
    <sheetView view="pageBreakPreview" topLeftCell="A43" zoomScale="85" zoomScaleSheetLayoutView="85" workbookViewId="0">
      <selection activeCell="B67" sqref="B6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46037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2" si="0">(H7/1000*I7/1000)*J7</f>
        <v>0</v>
      </c>
      <c r="L7" s="26">
        <f>SUM(J7:J30)</f>
        <v>215</v>
      </c>
    </row>
    <row r="8" spans="1:12" s="27" customFormat="1" ht="19.5" customHeight="1" x14ac:dyDescent="0.3">
      <c r="A8" s="28"/>
      <c r="B8" s="16"/>
      <c r="C8" s="17"/>
      <c r="D8" s="18"/>
      <c r="E8" s="32"/>
      <c r="F8" s="33"/>
      <c r="G8" s="34"/>
      <c r="H8" s="35"/>
      <c r="I8" s="36"/>
      <c r="J8" s="37"/>
      <c r="K8" s="38">
        <f t="shared" si="0"/>
        <v>0</v>
      </c>
      <c r="L8" s="39">
        <f>SUM(K7:K30)</f>
        <v>1319.0266109999998</v>
      </c>
    </row>
    <row r="9" spans="1:12" s="27" customFormat="1" ht="19.5" customHeight="1" x14ac:dyDescent="0.3">
      <c r="A9" s="28" t="s">
        <v>457</v>
      </c>
      <c r="B9" s="16" t="s">
        <v>458</v>
      </c>
      <c r="C9" s="17">
        <v>22</v>
      </c>
      <c r="D9" s="31" t="s">
        <v>307</v>
      </c>
      <c r="E9" s="41">
        <v>140</v>
      </c>
      <c r="F9" s="42">
        <v>115</v>
      </c>
      <c r="G9" s="34" t="s">
        <v>459</v>
      </c>
      <c r="H9" s="35">
        <v>1829</v>
      </c>
      <c r="I9" s="36">
        <v>3353</v>
      </c>
      <c r="J9" s="37">
        <v>20</v>
      </c>
      <c r="K9" s="38">
        <f t="shared" si="0"/>
        <v>122.65273999999999</v>
      </c>
      <c r="L9" s="39" t="s">
        <v>462</v>
      </c>
    </row>
    <row r="10" spans="1:12" s="27" customFormat="1" ht="19.5" customHeight="1" x14ac:dyDescent="0.3">
      <c r="A10" s="28"/>
      <c r="B10" s="16"/>
      <c r="C10" s="17">
        <v>22</v>
      </c>
      <c r="D10" s="18" t="s">
        <v>320</v>
      </c>
      <c r="E10" s="41">
        <v>140</v>
      </c>
      <c r="F10" s="42">
        <v>115</v>
      </c>
      <c r="G10" s="34" t="s">
        <v>460</v>
      </c>
      <c r="H10" s="35">
        <v>1829</v>
      </c>
      <c r="I10" s="36">
        <v>3353</v>
      </c>
      <c r="J10" s="37">
        <v>20</v>
      </c>
      <c r="K10" s="38">
        <f t="shared" si="0"/>
        <v>122.65273999999999</v>
      </c>
      <c r="L10" s="39" t="s">
        <v>462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 t="s">
        <v>461</v>
      </c>
      <c r="H11" s="35">
        <v>1829</v>
      </c>
      <c r="I11" s="36">
        <v>3353</v>
      </c>
      <c r="J11" s="37">
        <v>39</v>
      </c>
      <c r="K11" s="38">
        <f t="shared" si="0"/>
        <v>239.172843</v>
      </c>
      <c r="L11" s="39" t="s">
        <v>462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 t="s">
        <v>461</v>
      </c>
      <c r="H12" s="35">
        <v>1981</v>
      </c>
      <c r="I12" s="36">
        <v>3353</v>
      </c>
      <c r="J12" s="37">
        <v>1</v>
      </c>
      <c r="K12" s="38">
        <f t="shared" si="0"/>
        <v>6.6422930000000004</v>
      </c>
      <c r="L12" s="39" t="s">
        <v>462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423</v>
      </c>
      <c r="B14" s="16" t="s">
        <v>353</v>
      </c>
      <c r="C14" s="17">
        <v>22</v>
      </c>
      <c r="D14" s="18" t="s">
        <v>320</v>
      </c>
      <c r="E14" s="41">
        <v>105</v>
      </c>
      <c r="F14" s="42">
        <v>46.25</v>
      </c>
      <c r="G14" s="34" t="s">
        <v>18</v>
      </c>
      <c r="H14" s="35">
        <v>1829</v>
      </c>
      <c r="I14" s="36">
        <v>3353</v>
      </c>
      <c r="J14" s="37">
        <v>10</v>
      </c>
      <c r="K14" s="38">
        <f t="shared" si="0"/>
        <v>61.326369999999997</v>
      </c>
      <c r="L14" s="39" t="s">
        <v>464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463</v>
      </c>
      <c r="B16" s="16" t="s">
        <v>458</v>
      </c>
      <c r="C16" s="17">
        <v>22</v>
      </c>
      <c r="D16" s="31" t="s">
        <v>307</v>
      </c>
      <c r="E16" s="41">
        <v>205</v>
      </c>
      <c r="F16" s="42">
        <v>177.15</v>
      </c>
      <c r="G16" s="34" t="s">
        <v>459</v>
      </c>
      <c r="H16" s="35">
        <v>1829</v>
      </c>
      <c r="I16" s="36">
        <v>3353</v>
      </c>
      <c r="J16" s="37">
        <v>31</v>
      </c>
      <c r="K16" s="38">
        <f t="shared" si="0"/>
        <v>190.11174700000001</v>
      </c>
      <c r="L16" s="39" t="s">
        <v>465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466</v>
      </c>
      <c r="B18" s="16"/>
      <c r="C18" s="17"/>
      <c r="D18" s="18"/>
      <c r="E18" s="41"/>
      <c r="F18" s="4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 t="s">
        <v>504</v>
      </c>
      <c r="B19" s="16" t="s">
        <v>353</v>
      </c>
      <c r="C19" s="17">
        <v>22</v>
      </c>
      <c r="D19" s="31" t="s">
        <v>307</v>
      </c>
      <c r="E19" s="41">
        <v>205</v>
      </c>
      <c r="F19" s="42">
        <v>177.15</v>
      </c>
      <c r="G19" s="34" t="s">
        <v>39</v>
      </c>
      <c r="H19" s="35">
        <v>1829</v>
      </c>
      <c r="I19" s="36">
        <v>3353</v>
      </c>
      <c r="J19" s="37">
        <v>63</v>
      </c>
      <c r="K19" s="38">
        <f t="shared" si="0"/>
        <v>386.356131</v>
      </c>
      <c r="L19" s="39" t="s">
        <v>425</v>
      </c>
    </row>
    <row r="20" spans="1:12" s="27" customFormat="1" ht="19.5" customHeight="1" x14ac:dyDescent="0.3">
      <c r="A20" s="28"/>
      <c r="B20" s="16"/>
      <c r="C20" s="17">
        <v>22</v>
      </c>
      <c r="D20" s="18" t="s">
        <v>320</v>
      </c>
      <c r="E20" s="41">
        <v>205</v>
      </c>
      <c r="F20" s="42">
        <v>177.15</v>
      </c>
      <c r="G20" s="34" t="s">
        <v>18</v>
      </c>
      <c r="H20" s="35">
        <v>1829</v>
      </c>
      <c r="I20" s="36">
        <v>3353</v>
      </c>
      <c r="J20" s="37">
        <v>31</v>
      </c>
      <c r="K20" s="38">
        <f t="shared" si="0"/>
        <v>190.11174700000001</v>
      </c>
      <c r="L20" s="39" t="s">
        <v>505</v>
      </c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/>
      <c r="B22" s="16"/>
      <c r="C22" s="17"/>
      <c r="D22" s="18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/>
      <c r="H23" s="35"/>
      <c r="I23" s="36"/>
      <c r="J23" s="37"/>
      <c r="K23" s="38"/>
      <c r="L23" s="39"/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/>
      <c r="H24" s="35"/>
      <c r="I24" s="36"/>
      <c r="J24" s="37"/>
      <c r="K24" s="38">
        <f t="shared" ref="K24" si="1">(H24/1000*I24/1000)*J24</f>
        <v>0</v>
      </c>
      <c r="L24" s="39"/>
    </row>
    <row r="25" spans="1:12" s="27" customFormat="1" ht="19.5" customHeight="1" x14ac:dyDescent="0.3">
      <c r="A25" s="28"/>
      <c r="B25" s="16"/>
      <c r="C25" s="17"/>
      <c r="D25" s="31"/>
      <c r="E25" s="41"/>
      <c r="F25" s="42"/>
      <c r="G25" s="34"/>
      <c r="H25" s="35"/>
      <c r="I25" s="36"/>
      <c r="J25" s="37"/>
      <c r="K25" s="38">
        <f t="shared" ref="K25" si="2">(H25/1000*I25/1000)*J25</f>
        <v>0</v>
      </c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/>
      <c r="L26" s="39"/>
    </row>
    <row r="27" spans="1:12" s="27" customFormat="1" ht="19.5" customHeight="1" x14ac:dyDescent="0.3">
      <c r="A27" s="28"/>
      <c r="B27" s="16"/>
      <c r="C27" s="17"/>
      <c r="D27" s="18"/>
      <c r="E27" s="41"/>
      <c r="F27" s="42"/>
      <c r="G27" s="34"/>
      <c r="H27" s="35"/>
      <c r="I27" s="36"/>
      <c r="J27" s="37"/>
      <c r="K27" s="38"/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29"/>
      <c r="C29" s="30"/>
      <c r="D29" s="31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43"/>
      <c r="H30" s="35"/>
      <c r="I30" s="36"/>
      <c r="J30" s="37"/>
      <c r="K30" s="38">
        <f t="shared" si="0"/>
        <v>0</v>
      </c>
      <c r="L30" s="39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432</v>
      </c>
      <c r="B32" s="45" t="s">
        <v>16</v>
      </c>
      <c r="C32" s="46">
        <v>22</v>
      </c>
      <c r="D32" s="47" t="s">
        <v>45</v>
      </c>
      <c r="E32" s="48">
        <v>161</v>
      </c>
      <c r="F32" s="49">
        <v>122.3</v>
      </c>
      <c r="G32" s="50" t="s">
        <v>459</v>
      </c>
      <c r="H32" s="51">
        <v>1829</v>
      </c>
      <c r="I32" s="45">
        <v>3353</v>
      </c>
      <c r="J32" s="52">
        <v>21</v>
      </c>
      <c r="K32" s="53">
        <f t="shared" si="0"/>
        <v>128.78537700000001</v>
      </c>
      <c r="L32" s="54" t="s">
        <v>202</v>
      </c>
    </row>
    <row r="33" spans="1:12" s="55" customFormat="1" ht="19.5" customHeight="1" x14ac:dyDescent="0.3">
      <c r="A33" s="44"/>
      <c r="B33" s="45"/>
      <c r="C33" s="46">
        <v>22</v>
      </c>
      <c r="D33" s="47" t="s">
        <v>17</v>
      </c>
      <c r="E33" s="48">
        <v>135</v>
      </c>
      <c r="F33" s="49">
        <v>106.2</v>
      </c>
      <c r="G33" s="50" t="s">
        <v>460</v>
      </c>
      <c r="H33" s="51">
        <v>2590</v>
      </c>
      <c r="I33" s="45">
        <v>3048</v>
      </c>
      <c r="J33" s="52">
        <v>14</v>
      </c>
      <c r="K33" s="53">
        <f t="shared" si="0"/>
        <v>110.52047999999999</v>
      </c>
      <c r="L33" s="54" t="s">
        <v>100</v>
      </c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 t="s">
        <v>460</v>
      </c>
      <c r="H34" s="51">
        <v>1981</v>
      </c>
      <c r="I34" s="45">
        <v>3048</v>
      </c>
      <c r="J34" s="52">
        <v>1</v>
      </c>
      <c r="K34" s="53">
        <f t="shared" si="0"/>
        <v>6.038088000000001</v>
      </c>
      <c r="L34" s="54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468</v>
      </c>
      <c r="B36" s="45" t="s">
        <v>469</v>
      </c>
      <c r="C36" s="46">
        <v>24</v>
      </c>
      <c r="D36" s="47" t="s">
        <v>470</v>
      </c>
      <c r="E36" s="48">
        <v>1</v>
      </c>
      <c r="F36" s="49">
        <v>1.96</v>
      </c>
      <c r="G36" s="50"/>
      <c r="H36" s="51"/>
      <c r="I36" s="45"/>
      <c r="J36" s="52"/>
      <c r="K36" s="53">
        <f t="shared" si="0"/>
        <v>0</v>
      </c>
      <c r="L36" s="54" t="s">
        <v>471</v>
      </c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472</v>
      </c>
      <c r="B38" s="45" t="s">
        <v>473</v>
      </c>
      <c r="C38" s="46">
        <v>16</v>
      </c>
      <c r="D38" s="47" t="s">
        <v>474</v>
      </c>
      <c r="E38" s="48">
        <v>1</v>
      </c>
      <c r="F38" s="49">
        <v>1.04</v>
      </c>
      <c r="G38" s="50"/>
      <c r="H38" s="51"/>
      <c r="I38" s="45"/>
      <c r="J38" s="52"/>
      <c r="K38" s="53">
        <f t="shared" si="0"/>
        <v>0</v>
      </c>
      <c r="L38" s="54" t="s">
        <v>471</v>
      </c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/>
      <c r="H39" s="51"/>
      <c r="I39" s="45"/>
      <c r="J39" s="52"/>
      <c r="K39" s="53">
        <f t="shared" si="0"/>
        <v>0</v>
      </c>
      <c r="L39" s="54"/>
    </row>
    <row r="40" spans="1:12" s="55" customFormat="1" ht="19.5" customHeight="1" x14ac:dyDescent="0.3">
      <c r="A40" s="44" t="s">
        <v>475</v>
      </c>
      <c r="B40" s="45" t="s">
        <v>476</v>
      </c>
      <c r="C40" s="46">
        <v>16</v>
      </c>
      <c r="D40" s="47" t="s">
        <v>477</v>
      </c>
      <c r="E40" s="48">
        <v>1</v>
      </c>
      <c r="F40" s="49">
        <v>2.1</v>
      </c>
      <c r="G40" s="50" t="s">
        <v>460</v>
      </c>
      <c r="H40" s="51">
        <v>1981</v>
      </c>
      <c r="I40" s="45">
        <v>3048</v>
      </c>
      <c r="J40" s="52">
        <v>1</v>
      </c>
      <c r="K40" s="53">
        <f t="shared" si="0"/>
        <v>6.038088000000001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 t="s">
        <v>459</v>
      </c>
      <c r="H41" s="51">
        <v>1981</v>
      </c>
      <c r="I41" s="45">
        <v>3048</v>
      </c>
      <c r="J41" s="52">
        <v>1</v>
      </c>
      <c r="K41" s="53">
        <f t="shared" si="0"/>
        <v>6.038088000000001</v>
      </c>
      <c r="L41" s="54"/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478</v>
      </c>
      <c r="B43" s="45" t="s">
        <v>479</v>
      </c>
      <c r="C43" s="46">
        <v>24</v>
      </c>
      <c r="D43" s="47" t="s">
        <v>480</v>
      </c>
      <c r="E43" s="48">
        <v>26</v>
      </c>
      <c r="F43" s="49">
        <v>20.87</v>
      </c>
      <c r="G43" s="50" t="s">
        <v>481</v>
      </c>
      <c r="H43" s="51">
        <v>2438</v>
      </c>
      <c r="I43" s="45">
        <v>3353</v>
      </c>
      <c r="J43" s="52">
        <v>3</v>
      </c>
      <c r="K43" s="53">
        <f t="shared" si="0"/>
        <v>24.523842000000002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 t="s">
        <v>460</v>
      </c>
      <c r="H44" s="51">
        <v>2438</v>
      </c>
      <c r="I44" s="45">
        <v>3048</v>
      </c>
      <c r="J44" s="52">
        <v>3</v>
      </c>
      <c r="K44" s="53">
        <f t="shared" si="0"/>
        <v>22.293072000000002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482</v>
      </c>
      <c r="B46" s="45" t="s">
        <v>483</v>
      </c>
      <c r="C46" s="46">
        <v>24</v>
      </c>
      <c r="D46" s="47" t="s">
        <v>484</v>
      </c>
      <c r="E46" s="48">
        <v>1</v>
      </c>
      <c r="F46" s="49">
        <v>1.1299999999999999</v>
      </c>
      <c r="G46" s="50"/>
      <c r="H46" s="51"/>
      <c r="I46" s="45"/>
      <c r="J46" s="52"/>
      <c r="K46" s="53">
        <f t="shared" si="0"/>
        <v>0</v>
      </c>
      <c r="L46" s="54" t="s">
        <v>471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485</v>
      </c>
      <c r="B48" s="45" t="s">
        <v>486</v>
      </c>
      <c r="C48" s="46">
        <v>22</v>
      </c>
      <c r="D48" s="47" t="s">
        <v>487</v>
      </c>
      <c r="E48" s="48">
        <v>3</v>
      </c>
      <c r="F48" s="49">
        <v>2.59</v>
      </c>
      <c r="G48" s="50" t="s">
        <v>460</v>
      </c>
      <c r="H48" s="51">
        <v>1981</v>
      </c>
      <c r="I48" s="45">
        <v>3048</v>
      </c>
      <c r="J48" s="52">
        <v>1</v>
      </c>
      <c r="K48" s="53">
        <f t="shared" si="0"/>
        <v>6.038088000000001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488</v>
      </c>
      <c r="B50" s="45" t="s">
        <v>467</v>
      </c>
      <c r="C50" s="46">
        <v>22</v>
      </c>
      <c r="D50" s="47" t="s">
        <v>487</v>
      </c>
      <c r="E50" s="48">
        <v>16</v>
      </c>
      <c r="F50" s="49">
        <v>18.64</v>
      </c>
      <c r="G50" s="50" t="s">
        <v>460</v>
      </c>
      <c r="H50" s="51">
        <v>2590</v>
      </c>
      <c r="I50" s="45">
        <v>3353</v>
      </c>
      <c r="J50" s="52">
        <v>2</v>
      </c>
      <c r="K50" s="53">
        <f t="shared" ref="K50:K64" si="3">(H50/1000*I50/1000)*J50</f>
        <v>17.368539999999996</v>
      </c>
      <c r="L50" s="54" t="s">
        <v>490</v>
      </c>
    </row>
    <row r="51" spans="1:12" s="55" customFormat="1" ht="19.5" customHeight="1" x14ac:dyDescent="0.3">
      <c r="A51" s="44" t="s">
        <v>489</v>
      </c>
      <c r="B51" s="45" t="s">
        <v>467</v>
      </c>
      <c r="C51" s="46">
        <v>22</v>
      </c>
      <c r="D51" s="47" t="s">
        <v>487</v>
      </c>
      <c r="E51" s="48">
        <v>12</v>
      </c>
      <c r="F51" s="49">
        <v>19.68</v>
      </c>
      <c r="G51" s="50" t="s">
        <v>460</v>
      </c>
      <c r="H51" s="51">
        <v>2438</v>
      </c>
      <c r="I51" s="45">
        <v>3048</v>
      </c>
      <c r="J51" s="52">
        <v>9</v>
      </c>
      <c r="K51" s="53">
        <f t="shared" si="3"/>
        <v>66.879216000000014</v>
      </c>
      <c r="L51" s="54" t="s">
        <v>490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3"/>
        <v>0</v>
      </c>
      <c r="L52" s="54"/>
    </row>
    <row r="53" spans="1:12" s="55" customFormat="1" ht="19.5" customHeight="1" x14ac:dyDescent="0.3">
      <c r="A53" s="44" t="s">
        <v>491</v>
      </c>
      <c r="B53" s="45" t="s">
        <v>492</v>
      </c>
      <c r="C53" s="46">
        <v>24</v>
      </c>
      <c r="D53" s="47" t="s">
        <v>493</v>
      </c>
      <c r="E53" s="48">
        <v>2</v>
      </c>
      <c r="F53" s="49">
        <v>7.24</v>
      </c>
      <c r="G53" s="50" t="s">
        <v>459</v>
      </c>
      <c r="H53" s="51">
        <v>1981</v>
      </c>
      <c r="I53" s="45">
        <v>3353</v>
      </c>
      <c r="J53" s="52">
        <v>5</v>
      </c>
      <c r="K53" s="53">
        <f t="shared" si="3"/>
        <v>33.211465000000004</v>
      </c>
      <c r="L53" s="54" t="s">
        <v>498</v>
      </c>
    </row>
    <row r="54" spans="1:12" s="55" customFormat="1" ht="19.5" customHeight="1" x14ac:dyDescent="0.3">
      <c r="A54" s="44" t="s">
        <v>494</v>
      </c>
      <c r="B54" s="45" t="s">
        <v>495</v>
      </c>
      <c r="C54" s="46">
        <v>22</v>
      </c>
      <c r="D54" s="47" t="s">
        <v>496</v>
      </c>
      <c r="E54" s="48">
        <v>28</v>
      </c>
      <c r="F54" s="49">
        <v>25.38</v>
      </c>
      <c r="G54" s="50" t="s">
        <v>460</v>
      </c>
      <c r="H54" s="51">
        <v>2590</v>
      </c>
      <c r="I54" s="45">
        <v>3353</v>
      </c>
      <c r="J54" s="52">
        <v>3</v>
      </c>
      <c r="K54" s="53">
        <f t="shared" si="3"/>
        <v>26.052809999999994</v>
      </c>
      <c r="L54" s="54" t="s">
        <v>498</v>
      </c>
    </row>
    <row r="55" spans="1:12" s="55" customFormat="1" ht="19.5" customHeight="1" x14ac:dyDescent="0.3">
      <c r="A55" s="44"/>
      <c r="B55" s="45"/>
      <c r="C55" s="46">
        <v>22</v>
      </c>
      <c r="D55" s="47" t="s">
        <v>493</v>
      </c>
      <c r="E55" s="48">
        <v>28</v>
      </c>
      <c r="F55" s="49">
        <v>25.38</v>
      </c>
      <c r="G55" s="50" t="s">
        <v>497</v>
      </c>
      <c r="H55" s="51">
        <v>1981</v>
      </c>
      <c r="I55" s="45">
        <v>3353</v>
      </c>
      <c r="J55" s="52">
        <v>9</v>
      </c>
      <c r="K55" s="53">
        <f t="shared" si="3"/>
        <v>59.780637000000006</v>
      </c>
      <c r="L55" s="54" t="s">
        <v>498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3"/>
        <v>0</v>
      </c>
      <c r="L56" s="54"/>
    </row>
    <row r="57" spans="1:12" s="55" customFormat="1" ht="19.5" customHeight="1" x14ac:dyDescent="0.3">
      <c r="A57" s="44" t="s">
        <v>499</v>
      </c>
      <c r="B57" s="45" t="s">
        <v>500</v>
      </c>
      <c r="C57" s="46">
        <v>24</v>
      </c>
      <c r="D57" s="47" t="s">
        <v>501</v>
      </c>
      <c r="E57" s="48">
        <v>2</v>
      </c>
      <c r="F57" s="49">
        <v>3.26</v>
      </c>
      <c r="G57" s="50" t="s">
        <v>502</v>
      </c>
      <c r="H57" s="51">
        <v>1981</v>
      </c>
      <c r="I57" s="45">
        <v>3353</v>
      </c>
      <c r="J57" s="52">
        <v>1</v>
      </c>
      <c r="K57" s="53">
        <f t="shared" si="3"/>
        <v>6.6422930000000004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 t="s">
        <v>460</v>
      </c>
      <c r="H58" s="51">
        <v>1981</v>
      </c>
      <c r="I58" s="45">
        <v>3048</v>
      </c>
      <c r="J58" s="52">
        <v>1</v>
      </c>
      <c r="K58" s="53">
        <f t="shared" si="3"/>
        <v>6.038088000000001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3"/>
        <v>0</v>
      </c>
      <c r="L59" s="54"/>
    </row>
    <row r="60" spans="1:12" s="55" customFormat="1" ht="19.5" customHeight="1" x14ac:dyDescent="0.3">
      <c r="A60" s="44" t="s">
        <v>503</v>
      </c>
      <c r="B60" s="45" t="s">
        <v>467</v>
      </c>
      <c r="C60" s="46">
        <v>22</v>
      </c>
      <c r="D60" s="47" t="s">
        <v>45</v>
      </c>
      <c r="E60" s="48">
        <v>180</v>
      </c>
      <c r="F60" s="49">
        <v>137.30000000000001</v>
      </c>
      <c r="G60" s="50" t="s">
        <v>459</v>
      </c>
      <c r="H60" s="51">
        <v>1829</v>
      </c>
      <c r="I60" s="45">
        <v>3353</v>
      </c>
      <c r="J60" s="52">
        <v>23</v>
      </c>
      <c r="K60" s="53">
        <f t="shared" si="3"/>
        <v>141.05065099999999</v>
      </c>
      <c r="L60" s="54" t="s">
        <v>202</v>
      </c>
    </row>
    <row r="61" spans="1:12" s="55" customFormat="1" ht="19.5" customHeight="1" x14ac:dyDescent="0.3">
      <c r="A61" s="44"/>
      <c r="B61" s="45"/>
      <c r="C61" s="46">
        <v>22</v>
      </c>
      <c r="D61" s="47" t="s">
        <v>17</v>
      </c>
      <c r="E61" s="48">
        <v>150</v>
      </c>
      <c r="F61" s="49">
        <v>118</v>
      </c>
      <c r="G61" s="50" t="s">
        <v>460</v>
      </c>
      <c r="H61" s="51">
        <v>2590</v>
      </c>
      <c r="I61" s="45">
        <v>3048</v>
      </c>
      <c r="J61" s="52">
        <v>16</v>
      </c>
      <c r="K61" s="53">
        <f t="shared" si="3"/>
        <v>126.30911999999999</v>
      </c>
      <c r="L61" s="54" t="s">
        <v>100</v>
      </c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3"/>
        <v>0</v>
      </c>
      <c r="L62" s="54"/>
    </row>
    <row r="63" spans="1:12" s="55" customFormat="1" ht="19.5" customHeight="1" x14ac:dyDescent="0.3">
      <c r="A63" s="44" t="s">
        <v>466</v>
      </c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3"/>
        <v>0</v>
      </c>
      <c r="L63" s="54"/>
    </row>
    <row r="64" spans="1:12" s="55" customFormat="1" ht="19.5" customHeight="1" x14ac:dyDescent="0.3">
      <c r="A64" s="44" t="s">
        <v>506</v>
      </c>
      <c r="B64" s="45" t="s">
        <v>16</v>
      </c>
      <c r="C64" s="46">
        <v>22</v>
      </c>
      <c r="D64" s="47" t="s">
        <v>45</v>
      </c>
      <c r="E64" s="48">
        <v>180</v>
      </c>
      <c r="F64" s="49">
        <v>137.30000000000001</v>
      </c>
      <c r="G64" s="50" t="s">
        <v>508</v>
      </c>
      <c r="H64" s="51">
        <v>1829</v>
      </c>
      <c r="I64" s="45">
        <v>3353</v>
      </c>
      <c r="J64" s="52">
        <v>43</v>
      </c>
      <c r="K64" s="53">
        <f t="shared" si="3"/>
        <v>263.70339100000001</v>
      </c>
      <c r="L64" s="54" t="s">
        <v>507</v>
      </c>
    </row>
    <row r="65" spans="1:12" s="55" customFormat="1" ht="19.5" customHeight="1" x14ac:dyDescent="0.3">
      <c r="A65" s="44"/>
      <c r="B65" s="45"/>
      <c r="C65" s="46">
        <v>22</v>
      </c>
      <c r="D65" s="47" t="s">
        <v>17</v>
      </c>
      <c r="E65" s="48">
        <v>150</v>
      </c>
      <c r="F65" s="49">
        <v>118</v>
      </c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509</v>
      </c>
      <c r="B67" s="45" t="s">
        <v>510</v>
      </c>
      <c r="C67" s="46">
        <v>22</v>
      </c>
      <c r="D67" s="47" t="s">
        <v>511</v>
      </c>
      <c r="E67" s="48">
        <v>258</v>
      </c>
      <c r="F67" s="49">
        <v>210.27</v>
      </c>
      <c r="G67" s="50" t="s">
        <v>512</v>
      </c>
      <c r="H67" s="51">
        <v>1829</v>
      </c>
      <c r="I67" s="45">
        <v>3353</v>
      </c>
      <c r="J67" s="52">
        <v>36</v>
      </c>
      <c r="K67" s="53">
        <f t="shared" si="0"/>
        <v>220.77493200000001</v>
      </c>
      <c r="L67" s="54" t="s">
        <v>465</v>
      </c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9" customFormat="1" ht="20.100000000000001" customHeight="1" x14ac:dyDescent="0.3">
      <c r="A71" s="44"/>
      <c r="B71" s="45"/>
      <c r="C71" s="46"/>
      <c r="D71" s="47"/>
      <c r="E71" s="56"/>
      <c r="F71" s="57"/>
      <c r="G71" s="50"/>
      <c r="H71" s="51"/>
      <c r="I71" s="45"/>
      <c r="J71" s="52"/>
      <c r="K71" s="53">
        <f t="shared" si="0"/>
        <v>0</v>
      </c>
      <c r="L71" s="58">
        <f>SUM(J31:J72)</f>
        <v>193</v>
      </c>
    </row>
    <row r="72" spans="1:12" s="59" customFormat="1" ht="20.100000000000001" customHeight="1" x14ac:dyDescent="0.3">
      <c r="A72" s="44"/>
      <c r="B72" s="45"/>
      <c r="C72" s="46"/>
      <c r="D72" s="47"/>
      <c r="E72" s="60"/>
      <c r="F72" s="61"/>
      <c r="G72" s="62"/>
      <c r="H72" s="51"/>
      <c r="I72" s="45"/>
      <c r="J72" s="63"/>
      <c r="K72" s="53">
        <f t="shared" si="0"/>
        <v>0</v>
      </c>
      <c r="L72" s="64">
        <f>SUM(K31:K72)</f>
        <v>1278.086266</v>
      </c>
    </row>
    <row r="73" spans="1:12" s="59" customFormat="1" ht="20.100000000000001" customHeight="1" thickBot="1" x14ac:dyDescent="0.35">
      <c r="A73" s="114"/>
      <c r="B73" s="115"/>
      <c r="C73" s="115"/>
      <c r="D73" s="115"/>
      <c r="E73" s="115"/>
      <c r="F73" s="115"/>
      <c r="G73" s="115"/>
      <c r="H73" s="115"/>
      <c r="I73" s="115"/>
      <c r="J73" s="65">
        <f>SUM(J7:J72)</f>
        <v>408</v>
      </c>
      <c r="K73" s="66">
        <f>SUM(K7:K72)</f>
        <v>2597.1128769999996</v>
      </c>
      <c r="L73" s="67"/>
    </row>
    <row r="74" spans="1:12" s="59" customFormat="1" ht="20.100000000000001" customHeight="1" thickTop="1" thickBot="1" x14ac:dyDescent="0.35">
      <c r="A74" s="116" t="s">
        <v>52</v>
      </c>
      <c r="B74" s="117"/>
      <c r="C74" s="68"/>
      <c r="D74" s="118">
        <f>J73</f>
        <v>408</v>
      </c>
      <c r="E74" s="119"/>
      <c r="F74" s="119"/>
      <c r="G74" s="120"/>
      <c r="H74" s="121"/>
      <c r="I74" s="121"/>
      <c r="J74" s="122"/>
      <c r="K74" s="119"/>
      <c r="L74" s="123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71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72"/>
      <c r="F80" s="5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5"/>
      <c r="G81" s="73"/>
      <c r="H81" s="5"/>
      <c r="I81" s="74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70"/>
      <c r="G85" s="5"/>
      <c r="H85" s="72"/>
      <c r="I85" s="72"/>
      <c r="J85" s="5"/>
      <c r="K85" s="5"/>
      <c r="L85" s="5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A89" s="113"/>
      <c r="B89" s="113"/>
      <c r="H89" s="72"/>
      <c r="I89" s="72"/>
    </row>
    <row r="90" spans="1:12" ht="20.100000000000001" customHeight="1" x14ac:dyDescent="0.3">
      <c r="A90" s="113"/>
      <c r="B90" s="113"/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H93" s="72"/>
      <c r="I93" s="72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5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5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5" customFormat="1" ht="19.5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2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ht="19.5" customHeight="1" x14ac:dyDescent="0.3"/>
    <row r="102" spans="1:12" ht="19.5" customHeight="1" x14ac:dyDescent="0.3"/>
    <row r="103" spans="1:12" ht="19.5" customHeight="1" x14ac:dyDescent="0.3"/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>
        <v>2</v>
      </c>
      <c r="C164" s="5"/>
      <c r="D164" s="5"/>
      <c r="E164" s="5"/>
      <c r="F164" s="70"/>
      <c r="G164" s="5"/>
      <c r="H164" s="5"/>
      <c r="I164" s="5"/>
      <c r="J164" s="5"/>
      <c r="K164" s="5"/>
      <c r="L164" s="5"/>
    </row>
  </sheetData>
  <mergeCells count="30">
    <mergeCell ref="A89:B89"/>
    <mergeCell ref="A90:B90"/>
    <mergeCell ref="A80:B80"/>
    <mergeCell ref="A81:B81"/>
    <mergeCell ref="A82:B82"/>
    <mergeCell ref="A84:B84"/>
    <mergeCell ref="A85:B85"/>
    <mergeCell ref="A86:B86"/>
    <mergeCell ref="A79:B7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3:I73"/>
    <mergeCell ref="A74:B74"/>
    <mergeCell ref="D74:G74"/>
    <mergeCell ref="H74:J74"/>
    <mergeCell ref="K74:L74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pageSetUpPr fitToPage="1"/>
  </sheetPr>
  <dimension ref="A1:L149"/>
  <sheetViews>
    <sheetView view="pageBreakPreview" topLeftCell="A25" zoomScale="85" zoomScaleSheetLayoutView="85" workbookViewId="0">
      <selection activeCell="A52" sqref="A52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46036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7" si="0">(H7/1000*I7/1000)*J7</f>
        <v>0</v>
      </c>
      <c r="L7" s="26">
        <f>SUM(J7:J29)</f>
        <v>144</v>
      </c>
    </row>
    <row r="8" spans="1:12" s="27" customFormat="1" ht="19.5" customHeight="1" x14ac:dyDescent="0.3">
      <c r="A8" s="28"/>
      <c r="B8" s="16"/>
      <c r="C8" s="17"/>
      <c r="D8" s="18"/>
      <c r="E8" s="32"/>
      <c r="F8" s="33"/>
      <c r="G8" s="34"/>
      <c r="H8" s="35"/>
      <c r="I8" s="36"/>
      <c r="J8" s="37"/>
      <c r="K8" s="38">
        <f t="shared" si="0"/>
        <v>0</v>
      </c>
      <c r="L8" s="39">
        <f>SUM(K7:K29)</f>
        <v>943.58527200000003</v>
      </c>
    </row>
    <row r="9" spans="1:12" s="27" customFormat="1" ht="19.5" customHeight="1" x14ac:dyDescent="0.3">
      <c r="A9" s="28" t="s">
        <v>423</v>
      </c>
      <c r="B9" s="16" t="s">
        <v>424</v>
      </c>
      <c r="C9" s="17">
        <v>22</v>
      </c>
      <c r="D9" s="31" t="s">
        <v>307</v>
      </c>
      <c r="E9" s="41">
        <v>151</v>
      </c>
      <c r="F9" s="42">
        <v>119.11</v>
      </c>
      <c r="G9" s="34" t="s">
        <v>49</v>
      </c>
      <c r="H9" s="35">
        <v>1829</v>
      </c>
      <c r="I9" s="36">
        <v>3353</v>
      </c>
      <c r="J9" s="37">
        <v>20</v>
      </c>
      <c r="K9" s="38">
        <f t="shared" ref="K9:K13" si="1">(H9/1000*I9/1000)*J9</f>
        <v>122.65273999999999</v>
      </c>
      <c r="L9" s="39" t="s">
        <v>415</v>
      </c>
    </row>
    <row r="10" spans="1:12" s="27" customFormat="1" ht="19.5" customHeight="1" x14ac:dyDescent="0.3">
      <c r="A10" s="28"/>
      <c r="B10" s="16"/>
      <c r="C10" s="17">
        <v>22</v>
      </c>
      <c r="D10" s="18" t="s">
        <v>320</v>
      </c>
      <c r="E10" s="41">
        <v>150</v>
      </c>
      <c r="F10" s="42">
        <v>118.4</v>
      </c>
      <c r="G10" s="34" t="s">
        <v>384</v>
      </c>
      <c r="H10" s="35">
        <v>1829</v>
      </c>
      <c r="I10" s="36">
        <v>3353</v>
      </c>
      <c r="J10" s="37">
        <v>41</v>
      </c>
      <c r="K10" s="38">
        <f t="shared" si="1"/>
        <v>251.43811700000001</v>
      </c>
      <c r="L10" s="39" t="s">
        <v>425</v>
      </c>
    </row>
    <row r="11" spans="1:12" s="27" customFormat="1" ht="19.5" customHeight="1" x14ac:dyDescent="0.3">
      <c r="A11" s="28"/>
      <c r="B11" s="16"/>
      <c r="C11" s="17"/>
      <c r="D11" s="18"/>
      <c r="E11" s="41"/>
      <c r="F11" s="42"/>
      <c r="G11" s="34"/>
      <c r="H11" s="35"/>
      <c r="I11" s="36"/>
      <c r="J11" s="37"/>
      <c r="K11" s="38">
        <f t="shared" si="1"/>
        <v>0</v>
      </c>
      <c r="L11" s="39"/>
    </row>
    <row r="12" spans="1:12" s="27" customFormat="1" ht="19.5" customHeight="1" x14ac:dyDescent="0.3">
      <c r="A12" s="28" t="s">
        <v>423</v>
      </c>
      <c r="B12" s="16" t="s">
        <v>353</v>
      </c>
      <c r="C12" s="17">
        <v>22</v>
      </c>
      <c r="D12" s="18" t="s">
        <v>320</v>
      </c>
      <c r="E12" s="41">
        <v>45</v>
      </c>
      <c r="F12" s="42">
        <v>72.150000000000006</v>
      </c>
      <c r="G12" s="34" t="s">
        <v>455</v>
      </c>
      <c r="H12" s="35">
        <v>1829</v>
      </c>
      <c r="I12" s="36">
        <v>3353</v>
      </c>
      <c r="J12" s="37">
        <v>12</v>
      </c>
      <c r="K12" s="38">
        <f t="shared" si="1"/>
        <v>73.591644000000002</v>
      </c>
      <c r="L12" s="39" t="s">
        <v>456</v>
      </c>
    </row>
    <row r="13" spans="1:12" s="27" customFormat="1" ht="19.5" customHeight="1" x14ac:dyDescent="0.3">
      <c r="A13" s="28"/>
      <c r="B13" s="16"/>
      <c r="C13" s="17"/>
      <c r="D13" s="18"/>
      <c r="E13" s="41"/>
      <c r="F13" s="42"/>
      <c r="G13" s="34"/>
      <c r="H13" s="35"/>
      <c r="I13" s="36"/>
      <c r="J13" s="37"/>
      <c r="K13" s="38">
        <f t="shared" si="1"/>
        <v>0</v>
      </c>
      <c r="L13" s="39"/>
    </row>
    <row r="14" spans="1:12" s="27" customFormat="1" ht="19.5" customHeight="1" x14ac:dyDescent="0.3">
      <c r="A14" s="28" t="s">
        <v>426</v>
      </c>
      <c r="B14" s="16" t="s">
        <v>427</v>
      </c>
      <c r="C14" s="17">
        <v>22</v>
      </c>
      <c r="D14" s="18" t="s">
        <v>320</v>
      </c>
      <c r="E14" s="41">
        <v>160</v>
      </c>
      <c r="F14" s="42">
        <v>121.8</v>
      </c>
      <c r="G14" s="34" t="s">
        <v>409</v>
      </c>
      <c r="H14" s="35">
        <v>1829</v>
      </c>
      <c r="I14" s="36">
        <v>3353</v>
      </c>
      <c r="J14" s="37">
        <v>21</v>
      </c>
      <c r="K14" s="38">
        <f t="shared" ref="K14:K15" si="2">(H14/1000*I14/1000)*J14</f>
        <v>128.78537700000001</v>
      </c>
      <c r="L14" s="39" t="s">
        <v>415</v>
      </c>
    </row>
    <row r="15" spans="1:12" s="27" customFormat="1" ht="19.5" customHeight="1" x14ac:dyDescent="0.3">
      <c r="A15" s="28"/>
      <c r="B15" s="16"/>
      <c r="C15" s="17"/>
      <c r="D15" s="18"/>
      <c r="E15" s="41"/>
      <c r="F15" s="42"/>
      <c r="G15" s="34" t="s">
        <v>384</v>
      </c>
      <c r="H15" s="35">
        <v>1829</v>
      </c>
      <c r="I15" s="36">
        <v>3353</v>
      </c>
      <c r="J15" s="37">
        <v>21</v>
      </c>
      <c r="K15" s="38">
        <f t="shared" si="2"/>
        <v>128.78537700000001</v>
      </c>
      <c r="L15" s="39" t="s">
        <v>415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38"/>
      <c r="L16" s="39"/>
    </row>
    <row r="17" spans="1:12" s="27" customFormat="1" ht="19.5" customHeight="1" x14ac:dyDescent="0.3">
      <c r="A17" s="28" t="s">
        <v>428</v>
      </c>
      <c r="B17" s="16" t="s">
        <v>429</v>
      </c>
      <c r="C17" s="17">
        <v>5</v>
      </c>
      <c r="D17" s="18" t="s">
        <v>430</v>
      </c>
      <c r="E17" s="41">
        <v>398</v>
      </c>
      <c r="F17" s="42">
        <v>194.95</v>
      </c>
      <c r="G17" s="34" t="s">
        <v>409</v>
      </c>
      <c r="H17" s="35">
        <v>2590</v>
      </c>
      <c r="I17" s="36">
        <v>3353</v>
      </c>
      <c r="J17" s="37">
        <v>19</v>
      </c>
      <c r="K17" s="38">
        <f t="shared" ref="K17:K20" si="3">(H17/1000*I17/1000)*J17</f>
        <v>165.00112999999996</v>
      </c>
      <c r="L17" s="39"/>
    </row>
    <row r="18" spans="1:12" s="27" customFormat="1" ht="19.5" customHeight="1" x14ac:dyDescent="0.3">
      <c r="A18" s="28"/>
      <c r="B18" s="16"/>
      <c r="C18" s="17"/>
      <c r="D18" s="18"/>
      <c r="E18" s="41"/>
      <c r="F18" s="42"/>
      <c r="G18" s="34" t="s">
        <v>409</v>
      </c>
      <c r="H18" s="35">
        <v>1981</v>
      </c>
      <c r="I18" s="36">
        <v>3048</v>
      </c>
      <c r="J18" s="37">
        <v>1</v>
      </c>
      <c r="K18" s="38">
        <f t="shared" si="3"/>
        <v>6.038088000000001</v>
      </c>
      <c r="L18" s="39"/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 t="s">
        <v>18</v>
      </c>
      <c r="H19" s="35">
        <v>2590</v>
      </c>
      <c r="I19" s="36">
        <v>3048</v>
      </c>
      <c r="J19" s="37">
        <v>5</v>
      </c>
      <c r="K19" s="38">
        <f t="shared" si="3"/>
        <v>39.471599999999995</v>
      </c>
      <c r="L19" s="39"/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3"/>
        <v>0</v>
      </c>
      <c r="L20" s="39"/>
    </row>
    <row r="21" spans="1:12" s="27" customFormat="1" ht="19.5" customHeight="1" x14ac:dyDescent="0.3">
      <c r="A21" s="28"/>
      <c r="B21" s="16"/>
      <c r="C21" s="17"/>
      <c r="D21" s="18"/>
      <c r="E21" s="41"/>
      <c r="F21" s="42"/>
      <c r="G21" s="34"/>
      <c r="H21" s="35"/>
      <c r="I21" s="36"/>
      <c r="J21" s="37"/>
      <c r="K21" s="38"/>
      <c r="L21" s="39"/>
    </row>
    <row r="22" spans="1:12" s="27" customFormat="1" ht="19.5" customHeight="1" x14ac:dyDescent="0.3">
      <c r="A22" s="28" t="s">
        <v>453</v>
      </c>
      <c r="B22" s="16" t="s">
        <v>431</v>
      </c>
      <c r="C22" s="17">
        <v>22</v>
      </c>
      <c r="D22" s="18" t="s">
        <v>320</v>
      </c>
      <c r="E22" s="41">
        <v>12</v>
      </c>
      <c r="F22" s="42">
        <v>7.76</v>
      </c>
      <c r="G22" s="34" t="s">
        <v>409</v>
      </c>
      <c r="H22" s="35">
        <v>2590</v>
      </c>
      <c r="I22" s="36">
        <v>3048</v>
      </c>
      <c r="J22" s="37">
        <v>1</v>
      </c>
      <c r="K22" s="38">
        <f t="shared" ref="K22:K24" si="4">(H22/1000*I22/1000)*J22</f>
        <v>7.8943199999999996</v>
      </c>
      <c r="L22" s="39"/>
    </row>
    <row r="23" spans="1:12" s="27" customFormat="1" ht="19.5" customHeight="1" x14ac:dyDescent="0.3">
      <c r="A23" s="28"/>
      <c r="B23" s="16"/>
      <c r="C23" s="17">
        <v>22</v>
      </c>
      <c r="D23" s="31" t="s">
        <v>307</v>
      </c>
      <c r="E23" s="41">
        <v>8</v>
      </c>
      <c r="F23" s="42">
        <v>6.64</v>
      </c>
      <c r="G23" s="34" t="s">
        <v>19</v>
      </c>
      <c r="H23" s="35">
        <v>1981</v>
      </c>
      <c r="I23" s="36">
        <v>3353</v>
      </c>
      <c r="J23" s="37">
        <v>2</v>
      </c>
      <c r="K23" s="38">
        <f t="shared" si="4"/>
        <v>13.284586000000001</v>
      </c>
      <c r="L23" s="39"/>
    </row>
    <row r="24" spans="1:12" s="27" customFormat="1" ht="19.5" customHeight="1" x14ac:dyDescent="0.3">
      <c r="A24" s="28"/>
      <c r="B24" s="16"/>
      <c r="C24" s="17"/>
      <c r="D24" s="31"/>
      <c r="E24" s="41"/>
      <c r="F24" s="42"/>
      <c r="G24" s="34" t="s">
        <v>49</v>
      </c>
      <c r="H24" s="35">
        <v>1981</v>
      </c>
      <c r="I24" s="36">
        <v>3353</v>
      </c>
      <c r="J24" s="37">
        <v>1</v>
      </c>
      <c r="K24" s="38">
        <f t="shared" si="4"/>
        <v>6.6422930000000004</v>
      </c>
      <c r="L24" s="39"/>
    </row>
    <row r="25" spans="1:12" s="27" customFormat="1" ht="19.5" customHeight="1" x14ac:dyDescent="0.3">
      <c r="A25" s="28"/>
      <c r="B25" s="16"/>
      <c r="C25" s="17"/>
      <c r="D25" s="18"/>
      <c r="E25" s="41"/>
      <c r="F25" s="42"/>
      <c r="G25" s="34"/>
      <c r="H25" s="35"/>
      <c r="I25" s="36"/>
      <c r="J25" s="37"/>
      <c r="K25" s="38"/>
      <c r="L25" s="39"/>
    </row>
    <row r="26" spans="1:12" s="27" customFormat="1" ht="19.5" customHeight="1" x14ac:dyDescent="0.3">
      <c r="A26" s="28"/>
      <c r="B26" s="16"/>
      <c r="C26" s="17"/>
      <c r="D26" s="18"/>
      <c r="E26" s="41"/>
      <c r="F26" s="42"/>
      <c r="G26" s="34"/>
      <c r="H26" s="35"/>
      <c r="I26" s="36"/>
      <c r="J26" s="37"/>
      <c r="K26" s="38"/>
      <c r="L26" s="39"/>
    </row>
    <row r="27" spans="1:12" s="27" customFormat="1" ht="19.5" customHeight="1" x14ac:dyDescent="0.3">
      <c r="A27" s="28"/>
      <c r="B27" s="29"/>
      <c r="C27" s="30"/>
      <c r="D27" s="31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29"/>
      <c r="C29" s="30"/>
      <c r="D29" s="31"/>
      <c r="E29" s="41"/>
      <c r="F29" s="42"/>
      <c r="G29" s="43"/>
      <c r="H29" s="35"/>
      <c r="I29" s="36"/>
      <c r="J29" s="37"/>
      <c r="K29" s="38">
        <f t="shared" si="0"/>
        <v>0</v>
      </c>
      <c r="L29" s="39"/>
    </row>
    <row r="30" spans="1:12" s="55" customFormat="1" ht="19.5" customHeight="1" x14ac:dyDescent="0.3">
      <c r="A30" s="44"/>
      <c r="B30" s="45"/>
      <c r="C30" s="46"/>
      <c r="D30" s="47"/>
      <c r="E30" s="48"/>
      <c r="F30" s="49"/>
      <c r="G30" s="50"/>
      <c r="H30" s="51"/>
      <c r="I30" s="45"/>
      <c r="J30" s="52"/>
      <c r="K30" s="53">
        <f t="shared" si="0"/>
        <v>0</v>
      </c>
      <c r="L30" s="54"/>
    </row>
    <row r="31" spans="1:12" s="55" customFormat="1" ht="19.5" customHeight="1" x14ac:dyDescent="0.3">
      <c r="A31" s="44" t="s">
        <v>432</v>
      </c>
      <c r="B31" s="45" t="s">
        <v>433</v>
      </c>
      <c r="C31" s="46">
        <v>22</v>
      </c>
      <c r="D31" s="47" t="s">
        <v>388</v>
      </c>
      <c r="E31" s="48">
        <v>161</v>
      </c>
      <c r="F31" s="49">
        <v>122.3</v>
      </c>
      <c r="G31" s="50" t="s">
        <v>62</v>
      </c>
      <c r="H31" s="51">
        <v>1829</v>
      </c>
      <c r="I31" s="45">
        <v>3353</v>
      </c>
      <c r="J31" s="52">
        <v>39</v>
      </c>
      <c r="K31" s="53">
        <f t="shared" si="0"/>
        <v>239.172843</v>
      </c>
      <c r="L31" s="54" t="s">
        <v>434</v>
      </c>
    </row>
    <row r="32" spans="1:12" s="55" customFormat="1" ht="19.5" customHeight="1" x14ac:dyDescent="0.3">
      <c r="A32" s="44"/>
      <c r="B32" s="45"/>
      <c r="C32" s="46">
        <v>22</v>
      </c>
      <c r="D32" s="47" t="s">
        <v>389</v>
      </c>
      <c r="E32" s="48">
        <v>135</v>
      </c>
      <c r="F32" s="49">
        <v>106.2</v>
      </c>
      <c r="G32" s="50"/>
      <c r="H32" s="51"/>
      <c r="I32" s="45"/>
      <c r="J32" s="52"/>
      <c r="K32" s="53">
        <f t="shared" si="0"/>
        <v>0</v>
      </c>
      <c r="L32" s="54" t="s">
        <v>434</v>
      </c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435</v>
      </c>
      <c r="B34" s="45" t="s">
        <v>436</v>
      </c>
      <c r="C34" s="46">
        <v>24</v>
      </c>
      <c r="D34" s="47" t="s">
        <v>389</v>
      </c>
      <c r="E34" s="48">
        <v>1</v>
      </c>
      <c r="F34" s="49">
        <v>3.14</v>
      </c>
      <c r="G34" s="50" t="s">
        <v>437</v>
      </c>
      <c r="H34" s="51">
        <v>1981</v>
      </c>
      <c r="I34" s="45">
        <v>3048</v>
      </c>
      <c r="J34" s="52">
        <v>1</v>
      </c>
      <c r="K34" s="53">
        <f t="shared" si="0"/>
        <v>6.038088000000001</v>
      </c>
      <c r="L34" s="54" t="s">
        <v>439</v>
      </c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 t="s">
        <v>438</v>
      </c>
      <c r="H35" s="51">
        <v>1981</v>
      </c>
      <c r="I35" s="45">
        <v>3353</v>
      </c>
      <c r="J35" s="52">
        <v>1</v>
      </c>
      <c r="K35" s="53">
        <f t="shared" si="0"/>
        <v>6.6422930000000004</v>
      </c>
      <c r="L35" s="54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0"/>
        <v>0</v>
      </c>
      <c r="L36" s="54"/>
    </row>
    <row r="37" spans="1:12" s="55" customFormat="1" ht="19.5" customHeight="1" x14ac:dyDescent="0.3">
      <c r="A37" s="44" t="s">
        <v>443</v>
      </c>
      <c r="B37" s="45" t="s">
        <v>440</v>
      </c>
      <c r="C37" s="46">
        <v>24</v>
      </c>
      <c r="D37" s="47" t="s">
        <v>441</v>
      </c>
      <c r="E37" s="48">
        <v>42</v>
      </c>
      <c r="F37" s="49">
        <v>34.479999999999997</v>
      </c>
      <c r="G37" s="50" t="s">
        <v>442</v>
      </c>
      <c r="H37" s="51">
        <v>1981</v>
      </c>
      <c r="I37" s="45">
        <v>3353</v>
      </c>
      <c r="J37" s="52">
        <v>6</v>
      </c>
      <c r="K37" s="53">
        <f t="shared" si="0"/>
        <v>39.853757999999999</v>
      </c>
      <c r="L37" s="54" t="s">
        <v>446</v>
      </c>
    </row>
    <row r="38" spans="1:12" s="55" customFormat="1" ht="19.5" customHeight="1" x14ac:dyDescent="0.3">
      <c r="A38" s="44" t="s">
        <v>444</v>
      </c>
      <c r="B38" s="45" t="s">
        <v>445</v>
      </c>
      <c r="C38" s="46">
        <v>24</v>
      </c>
      <c r="D38" s="47" t="s">
        <v>441</v>
      </c>
      <c r="E38" s="48">
        <v>2</v>
      </c>
      <c r="F38" s="49">
        <v>3.13</v>
      </c>
      <c r="G38" s="50" t="s">
        <v>437</v>
      </c>
      <c r="H38" s="51">
        <v>2590</v>
      </c>
      <c r="I38" s="45">
        <v>3048</v>
      </c>
      <c r="J38" s="52">
        <v>1</v>
      </c>
      <c r="K38" s="53">
        <f t="shared" si="0"/>
        <v>7.8943199999999996</v>
      </c>
      <c r="L38" s="54" t="s">
        <v>446</v>
      </c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 t="s">
        <v>437</v>
      </c>
      <c r="H39" s="51">
        <v>1981</v>
      </c>
      <c r="I39" s="45">
        <v>3048</v>
      </c>
      <c r="J39" s="52">
        <v>6</v>
      </c>
      <c r="K39" s="53">
        <f t="shared" si="0"/>
        <v>36.228528000000004</v>
      </c>
      <c r="L39" s="54" t="s">
        <v>446</v>
      </c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447</v>
      </c>
      <c r="B41" s="45" t="s">
        <v>440</v>
      </c>
      <c r="C41" s="46">
        <v>24</v>
      </c>
      <c r="D41" s="47" t="s">
        <v>441</v>
      </c>
      <c r="E41" s="48">
        <v>59</v>
      </c>
      <c r="F41" s="49">
        <v>53.56</v>
      </c>
      <c r="G41" s="50" t="s">
        <v>442</v>
      </c>
      <c r="H41" s="51">
        <v>1981</v>
      </c>
      <c r="I41" s="45">
        <v>3353</v>
      </c>
      <c r="J41" s="52">
        <v>9</v>
      </c>
      <c r="K41" s="53">
        <f t="shared" si="0"/>
        <v>59.780637000000006</v>
      </c>
      <c r="L41" s="54" t="s">
        <v>454</v>
      </c>
    </row>
    <row r="42" spans="1:12" s="55" customFormat="1" ht="19.5" customHeight="1" x14ac:dyDescent="0.3">
      <c r="A42" s="44" t="s">
        <v>448</v>
      </c>
      <c r="B42" s="45" t="s">
        <v>449</v>
      </c>
      <c r="C42" s="46">
        <v>22</v>
      </c>
      <c r="D42" s="47" t="s">
        <v>78</v>
      </c>
      <c r="E42" s="48">
        <v>12</v>
      </c>
      <c r="F42" s="49">
        <v>3.36</v>
      </c>
      <c r="G42" s="50" t="s">
        <v>437</v>
      </c>
      <c r="H42" s="51">
        <v>2590</v>
      </c>
      <c r="I42" s="45">
        <v>3048</v>
      </c>
      <c r="J42" s="52">
        <v>4</v>
      </c>
      <c r="K42" s="53">
        <f t="shared" si="0"/>
        <v>31.577279999999998</v>
      </c>
      <c r="L42" s="54" t="s">
        <v>454</v>
      </c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 t="s">
        <v>437</v>
      </c>
      <c r="H43" s="51">
        <v>1981</v>
      </c>
      <c r="I43" s="45">
        <v>3048</v>
      </c>
      <c r="J43" s="52">
        <v>6</v>
      </c>
      <c r="K43" s="53">
        <f t="shared" si="0"/>
        <v>36.228528000000004</v>
      </c>
      <c r="L43" s="54" t="s">
        <v>454</v>
      </c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450</v>
      </c>
      <c r="B45" s="45" t="s">
        <v>451</v>
      </c>
      <c r="C45" s="46">
        <v>22</v>
      </c>
      <c r="D45" s="47" t="s">
        <v>388</v>
      </c>
      <c r="E45" s="48">
        <v>180</v>
      </c>
      <c r="F45" s="49">
        <v>137.30000000000001</v>
      </c>
      <c r="G45" s="50" t="s">
        <v>452</v>
      </c>
      <c r="H45" s="51">
        <v>1829</v>
      </c>
      <c r="I45" s="45">
        <v>3353</v>
      </c>
      <c r="J45" s="52">
        <v>23</v>
      </c>
      <c r="K45" s="53">
        <f t="shared" si="0"/>
        <v>141.05065099999999</v>
      </c>
      <c r="L45" s="54"/>
    </row>
    <row r="46" spans="1:12" s="55" customFormat="1" ht="19.5" customHeight="1" x14ac:dyDescent="0.3">
      <c r="A46" s="44"/>
      <c r="B46" s="45"/>
      <c r="C46" s="46">
        <v>22</v>
      </c>
      <c r="D46" s="47" t="s">
        <v>17</v>
      </c>
      <c r="E46" s="48">
        <v>150</v>
      </c>
      <c r="F46" s="49">
        <v>118</v>
      </c>
      <c r="G46" s="50" t="s">
        <v>62</v>
      </c>
      <c r="H46" s="51">
        <v>1829</v>
      </c>
      <c r="I46" s="45">
        <v>3353</v>
      </c>
      <c r="J46" s="52">
        <v>43</v>
      </c>
      <c r="K46" s="53">
        <f t="shared" si="0"/>
        <v>263.70339100000001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 t="s">
        <v>437</v>
      </c>
      <c r="H47" s="51">
        <v>2590</v>
      </c>
      <c r="I47" s="45">
        <v>3048</v>
      </c>
      <c r="J47" s="52">
        <v>16</v>
      </c>
      <c r="K47" s="53">
        <f t="shared" si="0"/>
        <v>126.30911999999999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9" customFormat="1" ht="20.100000000000001" customHeight="1" x14ac:dyDescent="0.3">
      <c r="A56" s="44"/>
      <c r="B56" s="45"/>
      <c r="C56" s="46"/>
      <c r="D56" s="47"/>
      <c r="E56" s="56"/>
      <c r="F56" s="57"/>
      <c r="G56" s="50"/>
      <c r="H56" s="51"/>
      <c r="I56" s="45"/>
      <c r="J56" s="52"/>
      <c r="K56" s="53">
        <f t="shared" si="0"/>
        <v>0</v>
      </c>
      <c r="L56" s="58">
        <f>SUM(J30:J57)</f>
        <v>155</v>
      </c>
    </row>
    <row r="57" spans="1:12" s="59" customFormat="1" ht="20.100000000000001" customHeight="1" x14ac:dyDescent="0.3">
      <c r="A57" s="44"/>
      <c r="B57" s="45"/>
      <c r="C57" s="46"/>
      <c r="D57" s="47"/>
      <c r="E57" s="60"/>
      <c r="F57" s="61"/>
      <c r="G57" s="62"/>
      <c r="H57" s="51"/>
      <c r="I57" s="45"/>
      <c r="J57" s="63"/>
      <c r="K57" s="53">
        <f t="shared" si="0"/>
        <v>0</v>
      </c>
      <c r="L57" s="64">
        <f>SUM(K30:K57)</f>
        <v>994.47943699999996</v>
      </c>
    </row>
    <row r="58" spans="1:12" s="59" customFormat="1" ht="20.100000000000001" customHeight="1" thickBot="1" x14ac:dyDescent="0.35">
      <c r="A58" s="114"/>
      <c r="B58" s="115"/>
      <c r="C58" s="115"/>
      <c r="D58" s="115"/>
      <c r="E58" s="115"/>
      <c r="F58" s="115"/>
      <c r="G58" s="115"/>
      <c r="H58" s="115"/>
      <c r="I58" s="115"/>
      <c r="J58" s="65">
        <f>SUM(J7:J57)</f>
        <v>299</v>
      </c>
      <c r="K58" s="66">
        <f>SUM(K7:K57)</f>
        <v>1938.0647090000004</v>
      </c>
      <c r="L58" s="67"/>
    </row>
    <row r="59" spans="1:12" s="59" customFormat="1" ht="20.100000000000001" customHeight="1" thickTop="1" thickBot="1" x14ac:dyDescent="0.35">
      <c r="A59" s="116" t="s">
        <v>52</v>
      </c>
      <c r="B59" s="117"/>
      <c r="C59" s="68"/>
      <c r="D59" s="118">
        <f>J58</f>
        <v>299</v>
      </c>
      <c r="E59" s="119"/>
      <c r="F59" s="119"/>
      <c r="G59" s="120"/>
      <c r="H59" s="121"/>
      <c r="I59" s="121"/>
      <c r="J59" s="122"/>
      <c r="K59" s="119"/>
      <c r="L59" s="123"/>
    </row>
    <row r="60" spans="1:12" s="59" customFormat="1" ht="20.100000000000001" customHeight="1" x14ac:dyDescent="0.3">
      <c r="A60" s="69"/>
      <c r="B60" s="5"/>
      <c r="C60" s="5"/>
      <c r="D60" s="5"/>
      <c r="E60" s="5"/>
      <c r="F60" s="70"/>
      <c r="G60" s="5"/>
      <c r="H60" s="5"/>
      <c r="I60" s="5"/>
      <c r="J60" s="5"/>
      <c r="K60" s="5"/>
      <c r="L60" s="71"/>
    </row>
    <row r="61" spans="1:12" s="59" customFormat="1" ht="20.100000000000001" customHeight="1" x14ac:dyDescent="0.3">
      <c r="A61" s="69"/>
      <c r="B61" s="5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113"/>
      <c r="B65" s="113"/>
      <c r="C65" s="5"/>
      <c r="D65" s="5"/>
      <c r="E65" s="72"/>
      <c r="F65" s="5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5"/>
      <c r="G66" s="73"/>
      <c r="H66" s="5"/>
      <c r="I66" s="74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5"/>
      <c r="F67" s="70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69"/>
      <c r="B68" s="5"/>
      <c r="C68" s="5"/>
      <c r="D68" s="5"/>
      <c r="E68" s="5"/>
      <c r="F68" s="70"/>
      <c r="G68" s="5"/>
      <c r="H68" s="5"/>
      <c r="I68" s="5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113"/>
      <c r="B70" s="113"/>
      <c r="C70" s="5"/>
      <c r="D70" s="5"/>
      <c r="E70" s="5"/>
      <c r="F70" s="70"/>
      <c r="G70" s="5"/>
      <c r="H70" s="72"/>
      <c r="I70" s="72"/>
      <c r="J70" s="5"/>
      <c r="K70" s="5"/>
      <c r="L70" s="5"/>
    </row>
    <row r="71" spans="1:12" ht="20.100000000000001" customHeight="1" x14ac:dyDescent="0.3">
      <c r="A71" s="113"/>
      <c r="B71" s="113"/>
      <c r="H71" s="72"/>
      <c r="I71" s="72"/>
    </row>
    <row r="72" spans="1:12" ht="20.100000000000001" customHeight="1" x14ac:dyDescent="0.3">
      <c r="H72" s="72"/>
      <c r="I72" s="72"/>
    </row>
    <row r="73" spans="1:12" ht="20.100000000000001" customHeight="1" x14ac:dyDescent="0.3">
      <c r="H73" s="72"/>
      <c r="I73" s="72"/>
    </row>
    <row r="74" spans="1:12" ht="20.100000000000001" customHeight="1" x14ac:dyDescent="0.3">
      <c r="A74" s="113"/>
      <c r="B74" s="113"/>
      <c r="H74" s="72"/>
      <c r="I74" s="72"/>
    </row>
    <row r="75" spans="1:12" ht="20.100000000000001" customHeight="1" x14ac:dyDescent="0.3">
      <c r="A75" s="113"/>
      <c r="B75" s="113"/>
      <c r="H75" s="72"/>
      <c r="I75" s="72"/>
    </row>
    <row r="76" spans="1:12" ht="20.100000000000001" customHeight="1" x14ac:dyDescent="0.3">
      <c r="H76" s="72"/>
      <c r="I76" s="72"/>
    </row>
    <row r="77" spans="1:12" ht="20.100000000000001" customHeight="1" x14ac:dyDescent="0.3">
      <c r="H77" s="72"/>
      <c r="I77" s="72"/>
    </row>
    <row r="78" spans="1:12" ht="20.100000000000001" customHeight="1" x14ac:dyDescent="0.3">
      <c r="H78" s="72"/>
      <c r="I78" s="72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J79" s="5"/>
      <c r="K79" s="5"/>
      <c r="L79" s="5"/>
    </row>
    <row r="80" spans="1:12" s="72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75" customFormat="1" ht="20.100000000000001" customHeight="1" x14ac:dyDescent="0.3">
      <c r="A81" s="69"/>
      <c r="B81" s="5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75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19.5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2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2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ht="19.5" customHeight="1" x14ac:dyDescent="0.3"/>
    <row r="87" spans="1:12" ht="19.5" customHeight="1" x14ac:dyDescent="0.3"/>
    <row r="88" spans="1:12" ht="19.5" customHeight="1" x14ac:dyDescent="0.3"/>
    <row r="89" spans="1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1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>
        <v>2</v>
      </c>
      <c r="C149" s="5"/>
      <c r="D149" s="5"/>
      <c r="E149" s="5"/>
      <c r="F149" s="70"/>
      <c r="G149" s="5"/>
      <c r="H149" s="5"/>
      <c r="I149" s="5"/>
      <c r="J149" s="5"/>
      <c r="K149" s="5"/>
      <c r="L149" s="5"/>
    </row>
  </sheetData>
  <mergeCells count="30">
    <mergeCell ref="A74:B74"/>
    <mergeCell ref="A75:B75"/>
    <mergeCell ref="A65:B65"/>
    <mergeCell ref="A66:B66"/>
    <mergeCell ref="A67:B67"/>
    <mergeCell ref="A69:B69"/>
    <mergeCell ref="A70:B70"/>
    <mergeCell ref="A71:B71"/>
    <mergeCell ref="A64:B64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8:I58"/>
    <mergeCell ref="A59:B59"/>
    <mergeCell ref="D59:G59"/>
    <mergeCell ref="H59:J59"/>
    <mergeCell ref="K59:L59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pageSetUpPr fitToPage="1"/>
  </sheetPr>
  <dimension ref="A1:L172"/>
  <sheetViews>
    <sheetView view="pageBreakPreview" topLeftCell="A25" zoomScale="85" zoomScaleSheetLayoutView="85" workbookViewId="0">
      <selection activeCell="Q27" sqref="Q2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46035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0" si="0">(H7/1000*I7/1000)*J7</f>
        <v>0</v>
      </c>
      <c r="L7" s="26">
        <f>SUM(J7:J45)</f>
        <v>233</v>
      </c>
    </row>
    <row r="8" spans="1:12" s="27" customFormat="1" ht="19.5" customHeight="1" x14ac:dyDescent="0.3">
      <c r="A8" s="28"/>
      <c r="B8" s="16"/>
      <c r="C8" s="17"/>
      <c r="D8" s="18"/>
      <c r="E8" s="32"/>
      <c r="F8" s="33"/>
      <c r="G8" s="34"/>
      <c r="H8" s="35"/>
      <c r="I8" s="36"/>
      <c r="J8" s="37"/>
      <c r="K8" s="38">
        <f t="shared" si="0"/>
        <v>0</v>
      </c>
      <c r="L8" s="39">
        <f>SUM(K7:K45)</f>
        <v>1445.5406770000004</v>
      </c>
    </row>
    <row r="9" spans="1:12" s="27" customFormat="1" ht="19.5" customHeight="1" x14ac:dyDescent="0.3">
      <c r="A9" s="28" t="s">
        <v>348</v>
      </c>
      <c r="B9" s="16" t="s">
        <v>145</v>
      </c>
      <c r="C9" s="17">
        <v>24</v>
      </c>
      <c r="D9" s="18" t="s">
        <v>45</v>
      </c>
      <c r="E9" s="41">
        <v>45</v>
      </c>
      <c r="F9" s="42">
        <v>20.05</v>
      </c>
      <c r="G9" s="34" t="s">
        <v>49</v>
      </c>
      <c r="H9" s="35">
        <v>1981</v>
      </c>
      <c r="I9" s="36">
        <v>3353</v>
      </c>
      <c r="J9" s="37">
        <v>5</v>
      </c>
      <c r="K9" s="38">
        <f t="shared" si="0"/>
        <v>33.211465000000004</v>
      </c>
      <c r="L9" s="39" t="s">
        <v>379</v>
      </c>
    </row>
    <row r="10" spans="1:12" s="27" customFormat="1" ht="19.5" customHeight="1" x14ac:dyDescent="0.3">
      <c r="A10" s="28"/>
      <c r="B10" s="16"/>
      <c r="C10" s="17">
        <v>22</v>
      </c>
      <c r="D10" s="18" t="s">
        <v>45</v>
      </c>
      <c r="E10" s="32">
        <v>10</v>
      </c>
      <c r="F10" s="33">
        <v>11.7</v>
      </c>
      <c r="G10" s="34"/>
      <c r="H10" s="35"/>
      <c r="I10" s="36"/>
      <c r="J10" s="37"/>
      <c r="K10" s="38">
        <f t="shared" si="0"/>
        <v>0</v>
      </c>
      <c r="L10" s="39" t="s">
        <v>202</v>
      </c>
    </row>
    <row r="11" spans="1:12" s="27" customFormat="1" ht="19.5" customHeight="1" x14ac:dyDescent="0.3">
      <c r="A11" s="28"/>
      <c r="B11" s="16"/>
      <c r="C11" s="30"/>
      <c r="D11" s="31"/>
      <c r="E11" s="41"/>
      <c r="F11" s="4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347</v>
      </c>
      <c r="B12" s="16" t="s">
        <v>145</v>
      </c>
      <c r="C12" s="17">
        <v>24</v>
      </c>
      <c r="D12" s="18" t="s">
        <v>45</v>
      </c>
      <c r="E12" s="41">
        <v>100</v>
      </c>
      <c r="F12" s="42">
        <v>75.8</v>
      </c>
      <c r="G12" s="34" t="s">
        <v>49</v>
      </c>
      <c r="H12" s="35">
        <v>1981</v>
      </c>
      <c r="I12" s="36">
        <v>3353</v>
      </c>
      <c r="J12" s="37">
        <v>14</v>
      </c>
      <c r="K12" s="38">
        <f t="shared" si="0"/>
        <v>92.992102000000003</v>
      </c>
      <c r="L12" s="39" t="s">
        <v>381</v>
      </c>
    </row>
    <row r="13" spans="1:12" s="27" customFormat="1" ht="19.5" customHeight="1" x14ac:dyDescent="0.3">
      <c r="A13" s="28"/>
      <c r="B13" s="16"/>
      <c r="C13" s="17">
        <v>22</v>
      </c>
      <c r="D13" s="18" t="s">
        <v>45</v>
      </c>
      <c r="E13" s="41">
        <v>10</v>
      </c>
      <c r="F13" s="42">
        <v>11.7</v>
      </c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357</v>
      </c>
      <c r="B15" s="16" t="s">
        <v>353</v>
      </c>
      <c r="C15" s="30">
        <v>22</v>
      </c>
      <c r="D15" s="31" t="s">
        <v>307</v>
      </c>
      <c r="E15" s="41">
        <v>330</v>
      </c>
      <c r="F15" s="42">
        <v>231.26</v>
      </c>
      <c r="G15" s="21" t="s">
        <v>49</v>
      </c>
      <c r="H15" s="35">
        <v>1829</v>
      </c>
      <c r="I15" s="36">
        <v>3353</v>
      </c>
      <c r="J15" s="37">
        <v>41</v>
      </c>
      <c r="K15" s="38">
        <f t="shared" si="0"/>
        <v>251.43811700000001</v>
      </c>
      <c r="L15" s="39" t="s">
        <v>413</v>
      </c>
    </row>
    <row r="16" spans="1:12" s="27" customFormat="1" ht="19.5" customHeight="1" x14ac:dyDescent="0.3">
      <c r="A16" s="28"/>
      <c r="B16" s="16"/>
      <c r="C16" s="17">
        <v>22</v>
      </c>
      <c r="D16" s="18" t="s">
        <v>383</v>
      </c>
      <c r="E16" s="41">
        <v>395</v>
      </c>
      <c r="F16" s="42">
        <v>347.32</v>
      </c>
      <c r="G16" s="34" t="s">
        <v>384</v>
      </c>
      <c r="H16" s="35">
        <v>1829</v>
      </c>
      <c r="I16" s="36">
        <v>3353</v>
      </c>
      <c r="J16" s="37">
        <v>60</v>
      </c>
      <c r="K16" s="38">
        <f t="shared" si="0"/>
        <v>367.95821999999998</v>
      </c>
      <c r="L16" s="39" t="s">
        <v>355</v>
      </c>
    </row>
    <row r="17" spans="1:12" s="27" customFormat="1" ht="19.5" customHeight="1" x14ac:dyDescent="0.3">
      <c r="A17" s="28"/>
      <c r="B17" s="16"/>
      <c r="C17" s="17"/>
      <c r="D17" s="18"/>
      <c r="E17" s="41"/>
      <c r="F17" s="4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385</v>
      </c>
      <c r="B18" s="16"/>
      <c r="C18" s="17"/>
      <c r="D18" s="18"/>
      <c r="E18" s="41"/>
      <c r="F18" s="42"/>
      <c r="G18" s="34"/>
      <c r="H18" s="35"/>
      <c r="I18" s="36"/>
      <c r="J18" s="37"/>
      <c r="K18" s="38">
        <f t="shared" si="0"/>
        <v>0</v>
      </c>
      <c r="L18" s="39"/>
    </row>
    <row r="19" spans="1:12" s="27" customFormat="1" ht="19.5" customHeight="1" x14ac:dyDescent="0.3">
      <c r="A19" s="28" t="s">
        <v>407</v>
      </c>
      <c r="B19" s="16" t="s">
        <v>408</v>
      </c>
      <c r="C19" s="17">
        <v>22</v>
      </c>
      <c r="D19" s="18" t="s">
        <v>320</v>
      </c>
      <c r="E19" s="41">
        <v>395</v>
      </c>
      <c r="F19" s="42">
        <v>347.32</v>
      </c>
      <c r="G19" s="34" t="s">
        <v>409</v>
      </c>
      <c r="H19" s="35">
        <v>1829</v>
      </c>
      <c r="I19" s="36">
        <v>3353</v>
      </c>
      <c r="J19" s="37">
        <v>60</v>
      </c>
      <c r="K19" s="38">
        <f t="shared" si="0"/>
        <v>367.95821999999998</v>
      </c>
      <c r="L19" s="39" t="s">
        <v>414</v>
      </c>
    </row>
    <row r="20" spans="1:12" s="27" customFormat="1" ht="19.5" customHeight="1" x14ac:dyDescent="0.3">
      <c r="A20" s="28"/>
      <c r="B20" s="16"/>
      <c r="C20" s="17"/>
      <c r="D20" s="18"/>
      <c r="E20" s="41"/>
      <c r="F20" s="42"/>
      <c r="G20" s="34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410</v>
      </c>
      <c r="B21" s="16" t="s">
        <v>408</v>
      </c>
      <c r="C21" s="17">
        <v>22</v>
      </c>
      <c r="D21" s="18" t="s">
        <v>411</v>
      </c>
      <c r="E21" s="41">
        <v>170</v>
      </c>
      <c r="F21" s="42">
        <v>128.9</v>
      </c>
      <c r="G21" s="34" t="s">
        <v>412</v>
      </c>
      <c r="H21" s="35">
        <v>1829</v>
      </c>
      <c r="I21" s="36">
        <v>3353</v>
      </c>
      <c r="J21" s="37">
        <v>22</v>
      </c>
      <c r="K21" s="38">
        <f t="shared" si="0"/>
        <v>134.918014</v>
      </c>
      <c r="L21" s="39" t="s">
        <v>415</v>
      </c>
    </row>
    <row r="22" spans="1:12" s="27" customFormat="1" ht="19.5" customHeight="1" x14ac:dyDescent="0.3">
      <c r="A22" s="28"/>
      <c r="B22" s="29"/>
      <c r="C22" s="30"/>
      <c r="D22" s="31"/>
      <c r="E22" s="41"/>
      <c r="F22" s="42"/>
      <c r="G22" s="34" t="s">
        <v>412</v>
      </c>
      <c r="H22" s="35">
        <v>1981</v>
      </c>
      <c r="I22" s="36">
        <v>3353</v>
      </c>
      <c r="J22" s="37">
        <v>1</v>
      </c>
      <c r="K22" s="38">
        <f t="shared" si="0"/>
        <v>6.6422930000000004</v>
      </c>
      <c r="L22" s="39" t="s">
        <v>415</v>
      </c>
    </row>
    <row r="23" spans="1:12" s="27" customFormat="1" ht="19.5" customHeight="1" x14ac:dyDescent="0.3">
      <c r="A23" s="28"/>
      <c r="B23" s="16"/>
      <c r="C23" s="17"/>
      <c r="D23" s="18"/>
      <c r="E23" s="41"/>
      <c r="F23" s="42"/>
      <c r="G23" s="34" t="s">
        <v>39</v>
      </c>
      <c r="H23" s="35">
        <v>1829</v>
      </c>
      <c r="I23" s="36">
        <v>3353</v>
      </c>
      <c r="J23" s="37">
        <v>22</v>
      </c>
      <c r="K23" s="38">
        <f t="shared" si="0"/>
        <v>134.918014</v>
      </c>
      <c r="L23" s="39" t="s">
        <v>415</v>
      </c>
    </row>
    <row r="24" spans="1:12" s="27" customFormat="1" ht="19.5" customHeight="1" x14ac:dyDescent="0.3">
      <c r="A24" s="28"/>
      <c r="B24" s="16"/>
      <c r="C24" s="17"/>
      <c r="D24" s="18"/>
      <c r="E24" s="41"/>
      <c r="F24" s="42"/>
      <c r="G24" s="34" t="s">
        <v>39</v>
      </c>
      <c r="H24" s="35">
        <v>1981</v>
      </c>
      <c r="I24" s="36">
        <v>3353</v>
      </c>
      <c r="J24" s="37">
        <v>1</v>
      </c>
      <c r="K24" s="38">
        <f t="shared" si="0"/>
        <v>6.6422930000000004</v>
      </c>
      <c r="L24" s="39" t="s">
        <v>415</v>
      </c>
    </row>
    <row r="25" spans="1:12" s="27" customFormat="1" ht="19.5" customHeight="1" x14ac:dyDescent="0.3">
      <c r="A25" s="28"/>
      <c r="B25" s="29"/>
      <c r="C25" s="30"/>
      <c r="D25" s="31"/>
      <c r="E25" s="41"/>
      <c r="F25" s="42"/>
      <c r="G25" s="21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 t="s">
        <v>416</v>
      </c>
      <c r="B26" s="16" t="s">
        <v>417</v>
      </c>
      <c r="C26" s="17">
        <v>43</v>
      </c>
      <c r="D26" s="18" t="s">
        <v>418</v>
      </c>
      <c r="E26" s="41">
        <v>4</v>
      </c>
      <c r="F26" s="42">
        <v>9.25</v>
      </c>
      <c r="G26" s="34" t="s">
        <v>420</v>
      </c>
      <c r="H26" s="35">
        <v>1981</v>
      </c>
      <c r="I26" s="36">
        <v>3353</v>
      </c>
      <c r="J26" s="37">
        <v>3</v>
      </c>
      <c r="K26" s="38">
        <f t="shared" si="0"/>
        <v>19.926879</v>
      </c>
      <c r="L26" s="39"/>
    </row>
    <row r="27" spans="1:12" s="27" customFormat="1" ht="19.5" customHeight="1" x14ac:dyDescent="0.3">
      <c r="A27" s="28"/>
      <c r="B27" s="29"/>
      <c r="C27" s="30">
        <v>24</v>
      </c>
      <c r="D27" s="31" t="s">
        <v>419</v>
      </c>
      <c r="E27" s="41">
        <v>3</v>
      </c>
      <c r="F27" s="42">
        <v>6.25</v>
      </c>
      <c r="G27" s="43" t="s">
        <v>409</v>
      </c>
      <c r="H27" s="35">
        <v>1981</v>
      </c>
      <c r="I27" s="36">
        <v>3048</v>
      </c>
      <c r="J27" s="37">
        <v>2</v>
      </c>
      <c r="K27" s="38">
        <f t="shared" si="0"/>
        <v>12.076176000000002</v>
      </c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43" t="s">
        <v>409</v>
      </c>
      <c r="H28" s="35">
        <v>2590</v>
      </c>
      <c r="I28" s="36">
        <v>3353</v>
      </c>
      <c r="J28" s="37">
        <v>1</v>
      </c>
      <c r="K28" s="38">
        <f t="shared" si="0"/>
        <v>8.6842699999999979</v>
      </c>
      <c r="L28" s="39"/>
    </row>
    <row r="29" spans="1:12" s="27" customFormat="1" ht="19.5" customHeight="1" x14ac:dyDescent="0.3">
      <c r="A29" s="28"/>
      <c r="B29" s="29"/>
      <c r="C29" s="17"/>
      <c r="D29" s="18"/>
      <c r="E29" s="41"/>
      <c r="F29" s="42"/>
      <c r="G29" s="34" t="s">
        <v>421</v>
      </c>
      <c r="H29" s="35">
        <v>2438</v>
      </c>
      <c r="I29" s="36">
        <v>3353</v>
      </c>
      <c r="J29" s="37">
        <v>1</v>
      </c>
      <c r="K29" s="38">
        <f t="shared" si="0"/>
        <v>8.174614</v>
      </c>
      <c r="L29" s="39"/>
    </row>
    <row r="30" spans="1:12" s="27" customFormat="1" ht="19.5" customHeight="1" x14ac:dyDescent="0.3">
      <c r="A30" s="28"/>
      <c r="B30" s="29"/>
      <c r="C30" s="30"/>
      <c r="D30" s="18"/>
      <c r="E30" s="41"/>
      <c r="F30" s="42"/>
      <c r="G30" s="21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29"/>
      <c r="C31" s="30"/>
      <c r="D31" s="31"/>
      <c r="E31" s="41"/>
      <c r="F31" s="42"/>
      <c r="G31" s="21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16"/>
      <c r="C32" s="30"/>
      <c r="D32" s="31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29"/>
      <c r="C33" s="30"/>
      <c r="D33" s="31"/>
      <c r="E33" s="41"/>
      <c r="F33" s="42"/>
      <c r="G33" s="21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16"/>
      <c r="C34" s="30"/>
      <c r="D34" s="31"/>
      <c r="E34" s="41"/>
      <c r="F34" s="42"/>
      <c r="G34" s="21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29"/>
      <c r="C35" s="30"/>
      <c r="D35" s="31"/>
      <c r="E35" s="41"/>
      <c r="F35" s="42"/>
      <c r="G35" s="21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16"/>
      <c r="C36" s="17"/>
      <c r="D36" s="18"/>
      <c r="E36" s="41"/>
      <c r="F36" s="42"/>
      <c r="G36" s="34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21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/>
      <c r="B39" s="16"/>
      <c r="C39" s="17"/>
      <c r="D39" s="18"/>
      <c r="E39" s="41"/>
      <c r="F39" s="42"/>
      <c r="G39" s="34"/>
      <c r="H39" s="35"/>
      <c r="I39" s="36"/>
      <c r="J39" s="37"/>
      <c r="K39" s="38">
        <f t="shared" si="0"/>
        <v>0</v>
      </c>
      <c r="L39" s="39"/>
    </row>
    <row r="40" spans="1:12" s="27" customFormat="1" ht="19.5" customHeight="1" x14ac:dyDescent="0.3">
      <c r="A40" s="28"/>
      <c r="B40" s="16"/>
      <c r="C40" s="17"/>
      <c r="D40" s="18"/>
      <c r="E40" s="41"/>
      <c r="F40" s="42"/>
      <c r="G40" s="21"/>
      <c r="H40" s="35"/>
      <c r="I40" s="36"/>
      <c r="J40" s="37"/>
      <c r="K40" s="38">
        <f t="shared" si="0"/>
        <v>0</v>
      </c>
      <c r="L40" s="39"/>
    </row>
    <row r="41" spans="1:12" s="27" customFormat="1" ht="19.5" customHeight="1" x14ac:dyDescent="0.3">
      <c r="A41" s="28"/>
      <c r="B41" s="29"/>
      <c r="C41" s="30"/>
      <c r="D41" s="31"/>
      <c r="E41" s="41"/>
      <c r="F41" s="42"/>
      <c r="G41" s="34"/>
      <c r="H41" s="35"/>
      <c r="I41" s="36"/>
      <c r="J41" s="37"/>
      <c r="K41" s="38">
        <f t="shared" si="0"/>
        <v>0</v>
      </c>
      <c r="L41" s="39"/>
    </row>
    <row r="42" spans="1:12" s="27" customFormat="1" ht="19.5" customHeight="1" x14ac:dyDescent="0.3">
      <c r="A42" s="28"/>
      <c r="B42" s="29"/>
      <c r="C42" s="30"/>
      <c r="D42" s="31"/>
      <c r="E42" s="41"/>
      <c r="F42" s="42"/>
      <c r="G42" s="43"/>
      <c r="H42" s="35"/>
      <c r="I42" s="36"/>
      <c r="J42" s="37"/>
      <c r="K42" s="38">
        <f t="shared" si="0"/>
        <v>0</v>
      </c>
      <c r="L42" s="39"/>
    </row>
    <row r="43" spans="1:12" s="27" customFormat="1" ht="19.5" customHeight="1" x14ac:dyDescent="0.3">
      <c r="A43" s="28"/>
      <c r="B43" s="29"/>
      <c r="C43" s="30"/>
      <c r="D43" s="31"/>
      <c r="E43" s="41"/>
      <c r="F43" s="42"/>
      <c r="G43" s="34"/>
      <c r="H43" s="35"/>
      <c r="I43" s="36"/>
      <c r="J43" s="37"/>
      <c r="K43" s="38">
        <f t="shared" si="0"/>
        <v>0</v>
      </c>
      <c r="L43" s="39"/>
    </row>
    <row r="44" spans="1:12" s="27" customFormat="1" ht="19.5" customHeight="1" x14ac:dyDescent="0.3">
      <c r="A44" s="28"/>
      <c r="B44" s="29"/>
      <c r="C44" s="30"/>
      <c r="D44" s="31"/>
      <c r="E44" s="41"/>
      <c r="F44" s="42"/>
      <c r="G44" s="34"/>
      <c r="H44" s="35"/>
      <c r="I44" s="36"/>
      <c r="J44" s="37"/>
      <c r="K44" s="38">
        <f t="shared" si="0"/>
        <v>0</v>
      </c>
      <c r="L44" s="39"/>
    </row>
    <row r="45" spans="1:12" s="27" customFormat="1" ht="19.5" customHeight="1" x14ac:dyDescent="0.3">
      <c r="A45" s="28"/>
      <c r="B45" s="29"/>
      <c r="C45" s="30"/>
      <c r="D45" s="31"/>
      <c r="E45" s="41"/>
      <c r="F45" s="42"/>
      <c r="G45" s="43"/>
      <c r="H45" s="35"/>
      <c r="I45" s="36"/>
      <c r="J45" s="37"/>
      <c r="K45" s="38">
        <f t="shared" si="0"/>
        <v>0</v>
      </c>
      <c r="L45" s="39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386</v>
      </c>
      <c r="B47" s="45" t="s">
        <v>387</v>
      </c>
      <c r="C47" s="46">
        <v>22</v>
      </c>
      <c r="D47" s="47" t="s">
        <v>388</v>
      </c>
      <c r="E47" s="48">
        <v>180</v>
      </c>
      <c r="F47" s="49">
        <v>137.30000000000001</v>
      </c>
      <c r="G47" s="50" t="s">
        <v>390</v>
      </c>
      <c r="H47" s="51">
        <v>1829</v>
      </c>
      <c r="I47" s="45">
        <v>3353</v>
      </c>
      <c r="J47" s="52">
        <v>23</v>
      </c>
      <c r="K47" s="53">
        <f t="shared" si="0"/>
        <v>141.05065099999999</v>
      </c>
      <c r="L47" s="54"/>
    </row>
    <row r="48" spans="1:12" s="55" customFormat="1" ht="19.5" customHeight="1" x14ac:dyDescent="0.3">
      <c r="A48" s="44"/>
      <c r="B48" s="45"/>
      <c r="C48" s="46">
        <v>22</v>
      </c>
      <c r="D48" s="47" t="s">
        <v>389</v>
      </c>
      <c r="E48" s="48">
        <v>150</v>
      </c>
      <c r="F48" s="49">
        <v>118</v>
      </c>
      <c r="G48" s="50" t="s">
        <v>391</v>
      </c>
      <c r="H48" s="51">
        <v>2590</v>
      </c>
      <c r="I48" s="45">
        <v>3048</v>
      </c>
      <c r="J48" s="52">
        <v>16</v>
      </c>
      <c r="K48" s="53">
        <f t="shared" si="0"/>
        <v>126.30911999999999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404</v>
      </c>
      <c r="H49" s="51">
        <v>1829</v>
      </c>
      <c r="I49" s="45">
        <v>3353</v>
      </c>
      <c r="J49" s="52">
        <v>43</v>
      </c>
      <c r="K49" s="53">
        <f t="shared" si="0"/>
        <v>263.70339100000001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392</v>
      </c>
      <c r="B51" s="45" t="s">
        <v>393</v>
      </c>
      <c r="C51" s="46">
        <v>25.76</v>
      </c>
      <c r="D51" s="47" t="s">
        <v>394</v>
      </c>
      <c r="E51" s="48">
        <v>5</v>
      </c>
      <c r="F51" s="49">
        <v>3.54</v>
      </c>
      <c r="G51" s="50" t="s">
        <v>399</v>
      </c>
      <c r="H51" s="51">
        <v>2438</v>
      </c>
      <c r="I51" s="45">
        <v>3353</v>
      </c>
      <c r="J51" s="52">
        <v>2</v>
      </c>
      <c r="K51" s="53">
        <f t="shared" si="0"/>
        <v>16.349228</v>
      </c>
      <c r="L51" s="54" t="s">
        <v>402</v>
      </c>
    </row>
    <row r="52" spans="1:12" s="55" customFormat="1" ht="19.5" customHeight="1" x14ac:dyDescent="0.3">
      <c r="A52" s="44"/>
      <c r="B52" s="45"/>
      <c r="C52" s="46">
        <v>42.76</v>
      </c>
      <c r="D52" s="47" t="s">
        <v>395</v>
      </c>
      <c r="E52" s="48">
        <v>12</v>
      </c>
      <c r="F52" s="49">
        <v>12.04</v>
      </c>
      <c r="G52" s="50" t="s">
        <v>400</v>
      </c>
      <c r="H52" s="51">
        <v>1829</v>
      </c>
      <c r="I52" s="45">
        <v>3048</v>
      </c>
      <c r="J52" s="52">
        <v>3</v>
      </c>
      <c r="K52" s="53">
        <f t="shared" si="0"/>
        <v>16.724375999999999</v>
      </c>
      <c r="L52" s="54" t="s">
        <v>402</v>
      </c>
    </row>
    <row r="53" spans="1:12" s="55" customFormat="1" ht="19.5" customHeight="1" x14ac:dyDescent="0.3">
      <c r="A53" s="44" t="s">
        <v>396</v>
      </c>
      <c r="B53" s="45" t="s">
        <v>393</v>
      </c>
      <c r="C53" s="46">
        <v>27.76</v>
      </c>
      <c r="D53" s="47" t="s">
        <v>397</v>
      </c>
      <c r="E53" s="48">
        <v>8</v>
      </c>
      <c r="F53" s="49">
        <v>2.44</v>
      </c>
      <c r="G53" s="50" t="s">
        <v>401</v>
      </c>
      <c r="H53" s="51">
        <v>2134</v>
      </c>
      <c r="I53" s="45">
        <v>3048</v>
      </c>
      <c r="J53" s="52">
        <v>2</v>
      </c>
      <c r="K53" s="53">
        <f t="shared" si="0"/>
        <v>13.008863999999999</v>
      </c>
      <c r="L53" s="54" t="s">
        <v>402</v>
      </c>
    </row>
    <row r="54" spans="1:12" s="55" customFormat="1" ht="19.5" customHeight="1" x14ac:dyDescent="0.3">
      <c r="A54" s="44"/>
      <c r="B54" s="45"/>
      <c r="C54" s="46">
        <v>22</v>
      </c>
      <c r="D54" s="47" t="s">
        <v>398</v>
      </c>
      <c r="E54" s="48">
        <v>6</v>
      </c>
      <c r="F54" s="49">
        <v>5.28</v>
      </c>
      <c r="G54" s="50" t="s">
        <v>391</v>
      </c>
      <c r="H54" s="51">
        <v>1981</v>
      </c>
      <c r="I54" s="45">
        <v>3353</v>
      </c>
      <c r="J54" s="52">
        <v>1</v>
      </c>
      <c r="K54" s="53">
        <f t="shared" si="0"/>
        <v>6.6422930000000004</v>
      </c>
      <c r="L54" s="54" t="s">
        <v>402</v>
      </c>
    </row>
    <row r="55" spans="1:12" s="55" customFormat="1" ht="19.5" customHeight="1" x14ac:dyDescent="0.3">
      <c r="A55" s="44"/>
      <c r="B55" s="45"/>
      <c r="C55" s="46">
        <v>22</v>
      </c>
      <c r="D55" s="47" t="s">
        <v>398</v>
      </c>
      <c r="E55" s="48">
        <v>2</v>
      </c>
      <c r="F55" s="49">
        <v>1.42</v>
      </c>
      <c r="G55" s="50" t="s">
        <v>391</v>
      </c>
      <c r="H55" s="51">
        <v>1981</v>
      </c>
      <c r="I55" s="45">
        <v>3048</v>
      </c>
      <c r="J55" s="52">
        <v>1</v>
      </c>
      <c r="K55" s="53">
        <f t="shared" si="0"/>
        <v>6.038088000000001</v>
      </c>
      <c r="L55" s="54" t="s">
        <v>402</v>
      </c>
    </row>
    <row r="56" spans="1:12" s="55" customFormat="1" ht="19.5" customHeight="1" x14ac:dyDescent="0.3">
      <c r="A56" s="44"/>
      <c r="B56" s="45"/>
      <c r="C56" s="46">
        <v>43</v>
      </c>
      <c r="D56" s="47" t="s">
        <v>395</v>
      </c>
      <c r="E56" s="48">
        <v>3</v>
      </c>
      <c r="F56" s="49">
        <v>0.84</v>
      </c>
      <c r="G56" s="50"/>
      <c r="H56" s="51"/>
      <c r="I56" s="45"/>
      <c r="J56" s="52"/>
      <c r="K56" s="53">
        <f t="shared" si="0"/>
        <v>0</v>
      </c>
      <c r="L56" s="54" t="s">
        <v>402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403</v>
      </c>
      <c r="B58" s="45" t="s">
        <v>16</v>
      </c>
      <c r="C58" s="46">
        <v>22</v>
      </c>
      <c r="D58" s="47" t="s">
        <v>45</v>
      </c>
      <c r="E58" s="48">
        <v>180</v>
      </c>
      <c r="F58" s="49">
        <v>137.30000000000001</v>
      </c>
      <c r="G58" s="50" t="s">
        <v>404</v>
      </c>
      <c r="H58" s="51">
        <v>1829</v>
      </c>
      <c r="I58" s="45">
        <v>3353</v>
      </c>
      <c r="J58" s="52">
        <v>43</v>
      </c>
      <c r="K58" s="53">
        <f t="shared" si="0"/>
        <v>263.70339100000001</v>
      </c>
      <c r="L58" s="54" t="s">
        <v>382</v>
      </c>
    </row>
    <row r="59" spans="1:12" s="55" customFormat="1" ht="19.5" customHeight="1" x14ac:dyDescent="0.3">
      <c r="A59" s="44"/>
      <c r="B59" s="45"/>
      <c r="C59" s="46">
        <v>22</v>
      </c>
      <c r="D59" s="47" t="s">
        <v>17</v>
      </c>
      <c r="E59" s="48">
        <v>150</v>
      </c>
      <c r="F59" s="49">
        <v>118</v>
      </c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385</v>
      </c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422</v>
      </c>
      <c r="B62" s="45" t="s">
        <v>16</v>
      </c>
      <c r="C62" s="46">
        <v>22</v>
      </c>
      <c r="D62" s="47" t="s">
        <v>45</v>
      </c>
      <c r="E62" s="48">
        <v>180</v>
      </c>
      <c r="F62" s="49">
        <v>137.30000000000001</v>
      </c>
      <c r="G62" s="50" t="s">
        <v>49</v>
      </c>
      <c r="H62" s="51">
        <v>1829</v>
      </c>
      <c r="I62" s="45">
        <v>3353</v>
      </c>
      <c r="J62" s="52">
        <v>23</v>
      </c>
      <c r="K62" s="53">
        <f t="shared" si="0"/>
        <v>141.05065099999999</v>
      </c>
      <c r="L62" s="54"/>
    </row>
    <row r="63" spans="1:12" s="55" customFormat="1" ht="19.5" customHeight="1" x14ac:dyDescent="0.3">
      <c r="A63" s="44"/>
      <c r="B63" s="45"/>
      <c r="C63" s="46">
        <v>22</v>
      </c>
      <c r="D63" s="47" t="s">
        <v>17</v>
      </c>
      <c r="E63" s="48">
        <v>150</v>
      </c>
      <c r="F63" s="49">
        <v>118</v>
      </c>
      <c r="G63" s="50" t="s">
        <v>18</v>
      </c>
      <c r="H63" s="51">
        <v>2590</v>
      </c>
      <c r="I63" s="45">
        <v>3048</v>
      </c>
      <c r="J63" s="52">
        <v>16</v>
      </c>
      <c r="K63" s="53">
        <f t="shared" si="0"/>
        <v>126.30911999999999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 t="s">
        <v>62</v>
      </c>
      <c r="H64" s="51">
        <v>1829</v>
      </c>
      <c r="I64" s="45">
        <v>3353</v>
      </c>
      <c r="J64" s="52">
        <v>43</v>
      </c>
      <c r="K64" s="53">
        <f t="shared" si="0"/>
        <v>263.70339100000001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9" customFormat="1" ht="20.100000000000001" customHeight="1" x14ac:dyDescent="0.3">
      <c r="A79" s="44"/>
      <c r="B79" s="45"/>
      <c r="C79" s="46"/>
      <c r="D79" s="47"/>
      <c r="E79" s="56"/>
      <c r="F79" s="57"/>
      <c r="G79" s="50"/>
      <c r="H79" s="51"/>
      <c r="I79" s="45"/>
      <c r="J79" s="52"/>
      <c r="K79" s="53">
        <f t="shared" si="0"/>
        <v>0</v>
      </c>
      <c r="L79" s="58">
        <f>SUM(J46:J80)</f>
        <v>216</v>
      </c>
    </row>
    <row r="80" spans="1:12" s="59" customFormat="1" ht="20.100000000000001" customHeight="1" x14ac:dyDescent="0.3">
      <c r="A80" s="44"/>
      <c r="B80" s="45"/>
      <c r="C80" s="46"/>
      <c r="D80" s="47"/>
      <c r="E80" s="60"/>
      <c r="F80" s="61"/>
      <c r="G80" s="62"/>
      <c r="H80" s="51"/>
      <c r="I80" s="45"/>
      <c r="J80" s="63"/>
      <c r="K80" s="53">
        <f t="shared" si="0"/>
        <v>0</v>
      </c>
      <c r="L80" s="64">
        <f>SUM(K46:K80)</f>
        <v>1384.592564</v>
      </c>
    </row>
    <row r="81" spans="1:12" s="59" customFormat="1" ht="20.100000000000001" customHeight="1" thickBot="1" x14ac:dyDescent="0.35">
      <c r="A81" s="114"/>
      <c r="B81" s="115"/>
      <c r="C81" s="115"/>
      <c r="D81" s="115"/>
      <c r="E81" s="115"/>
      <c r="F81" s="115"/>
      <c r="G81" s="115"/>
      <c r="H81" s="115"/>
      <c r="I81" s="115"/>
      <c r="J81" s="65">
        <f>SUM(J7:J80)</f>
        <v>449</v>
      </c>
      <c r="K81" s="66">
        <f>SUM(K7:K80)</f>
        <v>2830.133241</v>
      </c>
      <c r="L81" s="67"/>
    </row>
    <row r="82" spans="1:12" s="59" customFormat="1" ht="20.100000000000001" customHeight="1" thickTop="1" thickBot="1" x14ac:dyDescent="0.35">
      <c r="A82" s="116" t="s">
        <v>52</v>
      </c>
      <c r="B82" s="117"/>
      <c r="C82" s="68"/>
      <c r="D82" s="118">
        <f>J81</f>
        <v>449</v>
      </c>
      <c r="E82" s="119"/>
      <c r="F82" s="119"/>
      <c r="G82" s="120"/>
      <c r="H82" s="121"/>
      <c r="I82" s="121"/>
      <c r="J82" s="122"/>
      <c r="K82" s="119"/>
      <c r="L82" s="123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71"/>
    </row>
    <row r="84" spans="1:12" s="59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72"/>
      <c r="F88" s="5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5"/>
      <c r="G89" s="73"/>
      <c r="H89" s="5"/>
      <c r="I89" s="74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70"/>
      <c r="G93" s="5"/>
      <c r="H93" s="72"/>
      <c r="I93" s="72"/>
      <c r="J93" s="5"/>
      <c r="K93" s="5"/>
      <c r="L93" s="5"/>
    </row>
    <row r="94" spans="1:12" ht="20.100000000000001" customHeight="1" x14ac:dyDescent="0.3">
      <c r="A94" s="113"/>
      <c r="B94" s="113"/>
      <c r="H94" s="72"/>
      <c r="I94" s="72"/>
    </row>
    <row r="95" spans="1:12" ht="20.100000000000001" customHeight="1" x14ac:dyDescent="0.3">
      <c r="H95" s="72"/>
      <c r="I95" s="72"/>
    </row>
    <row r="96" spans="1:12" ht="20.100000000000001" customHeight="1" x14ac:dyDescent="0.3">
      <c r="H96" s="72"/>
      <c r="I96" s="72"/>
    </row>
    <row r="97" spans="1:12" ht="20.100000000000001" customHeight="1" x14ac:dyDescent="0.3">
      <c r="A97" s="113"/>
      <c r="B97" s="113"/>
      <c r="H97" s="72"/>
      <c r="I97" s="72"/>
    </row>
    <row r="98" spans="1:12" ht="20.100000000000001" customHeight="1" x14ac:dyDescent="0.3">
      <c r="A98" s="113"/>
      <c r="B98" s="113"/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H101" s="72"/>
      <c r="I101" s="72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J102" s="5"/>
      <c r="K102" s="5"/>
      <c r="L102" s="5"/>
    </row>
    <row r="103" spans="1:12" s="72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5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5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75" customFormat="1" ht="19.5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2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ht="19.5" customHeight="1" x14ac:dyDescent="0.3"/>
    <row r="110" spans="1:12" ht="19.5" customHeight="1" x14ac:dyDescent="0.3"/>
    <row r="111" spans="1:12" ht="19.5" customHeight="1" x14ac:dyDescent="0.3"/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>
        <v>2</v>
      </c>
      <c r="C172" s="5"/>
      <c r="D172" s="5"/>
      <c r="E172" s="5"/>
      <c r="F172" s="70"/>
      <c r="G172" s="5"/>
      <c r="H172" s="5"/>
      <c r="I172" s="5"/>
      <c r="J172" s="5"/>
      <c r="K172" s="5"/>
      <c r="L172" s="5"/>
    </row>
  </sheetData>
  <mergeCells count="30">
    <mergeCell ref="A97:B97"/>
    <mergeCell ref="A98:B98"/>
    <mergeCell ref="A88:B88"/>
    <mergeCell ref="A89:B89"/>
    <mergeCell ref="A90:B90"/>
    <mergeCell ref="A92:B92"/>
    <mergeCell ref="A93:B93"/>
    <mergeCell ref="A94:B94"/>
    <mergeCell ref="A87:B87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1:I81"/>
    <mergeCell ref="A82:B82"/>
    <mergeCell ref="D82:G82"/>
    <mergeCell ref="H82:J82"/>
    <mergeCell ref="K82:L82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pageSetUpPr fitToPage="1"/>
  </sheetPr>
  <dimension ref="A1:L184"/>
  <sheetViews>
    <sheetView view="pageBreakPreview" topLeftCell="B28" zoomScale="85" zoomScaleSheetLayoutView="85" workbookViewId="0">
      <selection activeCell="B59" sqref="B5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46034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92" si="0">(H7/1000*I7/1000)*J7</f>
        <v>0</v>
      </c>
      <c r="L7" s="26">
        <f>SUM(J7:J42)</f>
        <v>197</v>
      </c>
    </row>
    <row r="8" spans="1:12" s="27" customFormat="1" ht="19.5" customHeight="1" x14ac:dyDescent="0.3">
      <c r="A8" s="28"/>
      <c r="B8" s="16"/>
      <c r="C8" s="17"/>
      <c r="D8" s="18"/>
      <c r="E8" s="32"/>
      <c r="F8" s="33"/>
      <c r="G8" s="34"/>
      <c r="H8" s="35"/>
      <c r="I8" s="36"/>
      <c r="J8" s="37"/>
      <c r="K8" s="38">
        <f t="shared" si="0"/>
        <v>0</v>
      </c>
      <c r="L8" s="39">
        <f>SUM(K7:K42)</f>
        <v>1240.1432680000003</v>
      </c>
    </row>
    <row r="9" spans="1:12" s="27" customFormat="1" ht="19.5" customHeight="1" x14ac:dyDescent="0.3">
      <c r="A9" s="15" t="s">
        <v>351</v>
      </c>
      <c r="B9" s="16" t="s">
        <v>352</v>
      </c>
      <c r="C9" s="17">
        <v>5</v>
      </c>
      <c r="D9" s="18" t="s">
        <v>219</v>
      </c>
      <c r="E9" s="19">
        <v>10</v>
      </c>
      <c r="F9" s="20">
        <v>4.4400000000000004</v>
      </c>
      <c r="G9" s="21" t="s">
        <v>18</v>
      </c>
      <c r="H9" s="22">
        <v>1981</v>
      </c>
      <c r="I9" s="23">
        <v>3048</v>
      </c>
      <c r="J9" s="24">
        <v>1</v>
      </c>
      <c r="K9" s="38">
        <f t="shared" si="0"/>
        <v>6.038088000000001</v>
      </c>
      <c r="L9" s="39"/>
    </row>
    <row r="10" spans="1:12" s="27" customFormat="1" ht="19.5" customHeight="1" x14ac:dyDescent="0.3">
      <c r="A10" s="28"/>
      <c r="B10" s="16"/>
      <c r="C10" s="17"/>
      <c r="D10" s="18"/>
      <c r="E10" s="32"/>
      <c r="F10" s="33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322</v>
      </c>
      <c r="B11" s="16" t="s">
        <v>353</v>
      </c>
      <c r="C11" s="30">
        <v>22</v>
      </c>
      <c r="D11" s="31" t="s">
        <v>320</v>
      </c>
      <c r="E11" s="41">
        <v>200</v>
      </c>
      <c r="F11" s="42">
        <v>92.6</v>
      </c>
      <c r="G11" s="34" t="s">
        <v>18</v>
      </c>
      <c r="H11" s="35">
        <v>1829</v>
      </c>
      <c r="I11" s="36">
        <v>3353</v>
      </c>
      <c r="J11" s="37">
        <v>17</v>
      </c>
      <c r="K11" s="38">
        <f t="shared" si="0"/>
        <v>104.254829</v>
      </c>
      <c r="L11" s="39" t="s">
        <v>356</v>
      </c>
    </row>
    <row r="12" spans="1:12" s="27" customFormat="1" ht="19.5" customHeight="1" x14ac:dyDescent="0.3">
      <c r="A12" s="28"/>
      <c r="B12" s="16"/>
      <c r="C12" s="17"/>
      <c r="D12" s="18"/>
      <c r="E12" s="41"/>
      <c r="F12" s="42"/>
      <c r="G12" s="34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322</v>
      </c>
      <c r="B13" s="16" t="s">
        <v>353</v>
      </c>
      <c r="C13" s="30">
        <v>22</v>
      </c>
      <c r="D13" s="31" t="s">
        <v>320</v>
      </c>
      <c r="E13" s="41">
        <v>275</v>
      </c>
      <c r="F13" s="42">
        <v>215.8</v>
      </c>
      <c r="G13" s="34" t="s">
        <v>39</v>
      </c>
      <c r="H13" s="35">
        <v>1829</v>
      </c>
      <c r="I13" s="36">
        <v>3353</v>
      </c>
      <c r="J13" s="37">
        <v>37</v>
      </c>
      <c r="K13" s="38">
        <f t="shared" si="0"/>
        <v>226.907569</v>
      </c>
      <c r="L13" s="39" t="s">
        <v>355</v>
      </c>
    </row>
    <row r="14" spans="1:12" s="27" customFormat="1" ht="19.5" customHeight="1" x14ac:dyDescent="0.3">
      <c r="A14" s="28"/>
      <c r="B14" s="16"/>
      <c r="C14" s="17"/>
      <c r="D14" s="18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357</v>
      </c>
      <c r="B15" s="16" t="s">
        <v>353</v>
      </c>
      <c r="C15" s="30">
        <v>22</v>
      </c>
      <c r="D15" s="31" t="s">
        <v>307</v>
      </c>
      <c r="E15" s="41">
        <v>161</v>
      </c>
      <c r="F15" s="42">
        <v>238.6</v>
      </c>
      <c r="G15" s="34" t="s">
        <v>39</v>
      </c>
      <c r="H15" s="35">
        <v>1829</v>
      </c>
      <c r="I15" s="36">
        <v>3353</v>
      </c>
      <c r="J15" s="37">
        <v>40</v>
      </c>
      <c r="K15" s="38">
        <f t="shared" si="0"/>
        <v>245.30547999999999</v>
      </c>
      <c r="L15" s="39" t="s">
        <v>376</v>
      </c>
    </row>
    <row r="16" spans="1:12" s="27" customFormat="1" ht="19.5" customHeight="1" x14ac:dyDescent="0.3">
      <c r="A16" s="28"/>
      <c r="B16" s="16"/>
      <c r="C16" s="17"/>
      <c r="D16" s="18"/>
      <c r="E16" s="41"/>
      <c r="F16" s="4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347</v>
      </c>
      <c r="B17" s="16" t="s">
        <v>145</v>
      </c>
      <c r="C17" s="17">
        <v>24</v>
      </c>
      <c r="D17" s="18" t="s">
        <v>45</v>
      </c>
      <c r="E17" s="41">
        <v>100</v>
      </c>
      <c r="F17" s="42">
        <v>75.8</v>
      </c>
      <c r="G17" s="34" t="s">
        <v>19</v>
      </c>
      <c r="H17" s="35">
        <v>1981</v>
      </c>
      <c r="I17" s="36">
        <v>3353</v>
      </c>
      <c r="J17" s="37">
        <v>14</v>
      </c>
      <c r="K17" s="38">
        <f t="shared" si="0"/>
        <v>92.992102000000003</v>
      </c>
      <c r="L17" s="39" t="s">
        <v>106</v>
      </c>
    </row>
    <row r="18" spans="1:12" s="27" customFormat="1" ht="19.5" customHeight="1" x14ac:dyDescent="0.3">
      <c r="A18" s="28"/>
      <c r="B18" s="16"/>
      <c r="C18" s="17">
        <v>22</v>
      </c>
      <c r="D18" s="18" t="s">
        <v>45</v>
      </c>
      <c r="E18" s="41">
        <v>10</v>
      </c>
      <c r="F18" s="42">
        <v>11.7</v>
      </c>
      <c r="G18" s="34"/>
      <c r="H18" s="35"/>
      <c r="I18" s="36"/>
      <c r="J18" s="37"/>
      <c r="K18" s="38">
        <f t="shared" si="0"/>
        <v>0</v>
      </c>
      <c r="L18" s="39" t="s">
        <v>106</v>
      </c>
    </row>
    <row r="19" spans="1:12" s="27" customFormat="1" ht="19.5" customHeight="1" x14ac:dyDescent="0.3">
      <c r="A19" s="28"/>
      <c r="B19" s="16"/>
      <c r="C19" s="17"/>
      <c r="D19" s="18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 t="s">
        <v>348</v>
      </c>
      <c r="B20" s="16" t="s">
        <v>145</v>
      </c>
      <c r="C20" s="17">
        <v>24</v>
      </c>
      <c r="D20" s="18" t="s">
        <v>45</v>
      </c>
      <c r="E20" s="41">
        <v>90</v>
      </c>
      <c r="F20" s="42">
        <v>75.599999999999994</v>
      </c>
      <c r="G20" s="34" t="s">
        <v>19</v>
      </c>
      <c r="H20" s="35">
        <v>1981</v>
      </c>
      <c r="I20" s="36">
        <v>3353</v>
      </c>
      <c r="J20" s="37">
        <v>14</v>
      </c>
      <c r="K20" s="38">
        <f t="shared" si="0"/>
        <v>92.992102000000003</v>
      </c>
      <c r="L20" s="39" t="s">
        <v>106</v>
      </c>
    </row>
    <row r="21" spans="1:12" s="27" customFormat="1" ht="19.5" customHeight="1" x14ac:dyDescent="0.3">
      <c r="A21" s="28"/>
      <c r="B21" s="16"/>
      <c r="C21" s="17">
        <v>22</v>
      </c>
      <c r="D21" s="18" t="s">
        <v>45</v>
      </c>
      <c r="E21" s="41">
        <v>10</v>
      </c>
      <c r="F21" s="42">
        <v>11.7</v>
      </c>
      <c r="G21" s="34"/>
      <c r="H21" s="35"/>
      <c r="I21" s="36"/>
      <c r="J21" s="37"/>
      <c r="K21" s="38">
        <f t="shared" si="0"/>
        <v>0</v>
      </c>
      <c r="L21" s="39" t="s">
        <v>106</v>
      </c>
    </row>
    <row r="22" spans="1:12" s="27" customFormat="1" ht="19.5" customHeight="1" x14ac:dyDescent="0.3">
      <c r="A22" s="28"/>
      <c r="B22" s="29"/>
      <c r="C22" s="30"/>
      <c r="D22" s="31"/>
      <c r="E22" s="41"/>
      <c r="F22" s="42"/>
      <c r="G22" s="43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 t="s">
        <v>349</v>
      </c>
      <c r="B23" s="16" t="s">
        <v>145</v>
      </c>
      <c r="C23" s="17">
        <v>24</v>
      </c>
      <c r="D23" s="18" t="s">
        <v>45</v>
      </c>
      <c r="E23" s="41">
        <v>80</v>
      </c>
      <c r="F23" s="42">
        <v>71.3</v>
      </c>
      <c r="G23" s="34" t="s">
        <v>19</v>
      </c>
      <c r="H23" s="35">
        <v>1981</v>
      </c>
      <c r="I23" s="36">
        <v>3353</v>
      </c>
      <c r="J23" s="37">
        <v>13</v>
      </c>
      <c r="K23" s="38">
        <f t="shared" si="0"/>
        <v>86.349809000000008</v>
      </c>
      <c r="L23" s="39" t="s">
        <v>106</v>
      </c>
    </row>
    <row r="24" spans="1:12" s="27" customFormat="1" ht="19.5" customHeight="1" x14ac:dyDescent="0.3">
      <c r="A24" s="28"/>
      <c r="B24" s="16"/>
      <c r="C24" s="17">
        <v>22</v>
      </c>
      <c r="D24" s="18" t="s">
        <v>45</v>
      </c>
      <c r="E24" s="41">
        <v>10</v>
      </c>
      <c r="F24" s="42">
        <v>11.7</v>
      </c>
      <c r="G24" s="34"/>
      <c r="H24" s="35"/>
      <c r="I24" s="36"/>
      <c r="J24" s="37"/>
      <c r="K24" s="38">
        <f t="shared" si="0"/>
        <v>0</v>
      </c>
      <c r="L24" s="39" t="s">
        <v>106</v>
      </c>
    </row>
    <row r="25" spans="1:12" s="27" customFormat="1" ht="19.5" customHeight="1" x14ac:dyDescent="0.3">
      <c r="A25" s="28"/>
      <c r="B25" s="29"/>
      <c r="C25" s="30"/>
      <c r="D25" s="31"/>
      <c r="E25" s="41"/>
      <c r="F25" s="42"/>
      <c r="G25" s="21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 t="s">
        <v>349</v>
      </c>
      <c r="B26" s="16" t="s">
        <v>145</v>
      </c>
      <c r="C26" s="17">
        <v>24</v>
      </c>
      <c r="D26" s="18" t="s">
        <v>45</v>
      </c>
      <c r="E26" s="41">
        <v>40</v>
      </c>
      <c r="F26" s="42">
        <v>49.7</v>
      </c>
      <c r="G26" s="34" t="s">
        <v>49</v>
      </c>
      <c r="H26" s="35">
        <v>1981</v>
      </c>
      <c r="I26" s="36">
        <v>3353</v>
      </c>
      <c r="J26" s="37">
        <v>8</v>
      </c>
      <c r="K26" s="38">
        <f t="shared" si="0"/>
        <v>53.138344000000004</v>
      </c>
      <c r="L26" s="39" t="s">
        <v>358</v>
      </c>
    </row>
    <row r="27" spans="1:12" s="27" customFormat="1" ht="19.5" customHeight="1" x14ac:dyDescent="0.3">
      <c r="A27" s="28"/>
      <c r="B27" s="29"/>
      <c r="C27" s="30"/>
      <c r="D27" s="31"/>
      <c r="E27" s="41"/>
      <c r="F27" s="42"/>
      <c r="G27" s="43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 t="s">
        <v>57</v>
      </c>
      <c r="B28" s="29"/>
      <c r="C28" s="30"/>
      <c r="D28" s="31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 t="s">
        <v>373</v>
      </c>
      <c r="B29" s="29" t="s">
        <v>372</v>
      </c>
      <c r="C29" s="17">
        <v>24</v>
      </c>
      <c r="D29" s="18" t="s">
        <v>45</v>
      </c>
      <c r="E29" s="41">
        <v>40</v>
      </c>
      <c r="F29" s="42">
        <v>49.7</v>
      </c>
      <c r="G29" s="34" t="s">
        <v>49</v>
      </c>
      <c r="H29" s="35">
        <v>1981</v>
      </c>
      <c r="I29" s="36">
        <v>3353</v>
      </c>
      <c r="J29" s="37">
        <v>5</v>
      </c>
      <c r="K29" s="38">
        <f t="shared" ref="K29" si="1">(H29/1000*I29/1000)*J29</f>
        <v>33.211465000000004</v>
      </c>
      <c r="L29" s="39" t="s">
        <v>374</v>
      </c>
    </row>
    <row r="30" spans="1:12" s="27" customFormat="1" ht="19.5" customHeight="1" x14ac:dyDescent="0.3">
      <c r="A30" s="28"/>
      <c r="B30" s="29"/>
      <c r="C30" s="30">
        <v>22</v>
      </c>
      <c r="D30" s="18" t="s">
        <v>45</v>
      </c>
      <c r="E30" s="41">
        <v>10</v>
      </c>
      <c r="F30" s="42">
        <v>11.7</v>
      </c>
      <c r="G30" s="21"/>
      <c r="H30" s="35"/>
      <c r="I30" s="36"/>
      <c r="J30" s="37"/>
      <c r="K30" s="38">
        <f t="shared" ref="K30:K34" si="2">(H30/1000*I30/1000)*J30</f>
        <v>0</v>
      </c>
      <c r="L30" s="39" t="s">
        <v>375</v>
      </c>
    </row>
    <row r="31" spans="1:12" s="27" customFormat="1" ht="19.5" customHeight="1" x14ac:dyDescent="0.3">
      <c r="A31" s="28"/>
      <c r="B31" s="29"/>
      <c r="C31" s="30"/>
      <c r="D31" s="31"/>
      <c r="E31" s="41"/>
      <c r="F31" s="42"/>
      <c r="G31" s="21"/>
      <c r="H31" s="35"/>
      <c r="I31" s="36"/>
      <c r="J31" s="37"/>
      <c r="K31" s="38">
        <f t="shared" si="2"/>
        <v>0</v>
      </c>
      <c r="L31" s="39"/>
    </row>
    <row r="32" spans="1:12" s="27" customFormat="1" ht="19.5" customHeight="1" x14ac:dyDescent="0.3">
      <c r="A32" s="28" t="s">
        <v>357</v>
      </c>
      <c r="B32" s="16" t="s">
        <v>353</v>
      </c>
      <c r="C32" s="30">
        <v>22</v>
      </c>
      <c r="D32" s="31" t="s">
        <v>307</v>
      </c>
      <c r="E32" s="41">
        <v>234</v>
      </c>
      <c r="F32" s="42">
        <v>108.72</v>
      </c>
      <c r="G32" s="34" t="s">
        <v>39</v>
      </c>
      <c r="H32" s="35">
        <v>1829</v>
      </c>
      <c r="I32" s="36">
        <v>3353</v>
      </c>
      <c r="J32" s="37">
        <v>20</v>
      </c>
      <c r="K32" s="38">
        <f t="shared" si="2"/>
        <v>122.65273999999999</v>
      </c>
      <c r="L32" s="39" t="s">
        <v>377</v>
      </c>
    </row>
    <row r="33" spans="1:12" s="27" customFormat="1" ht="19.5" customHeight="1" x14ac:dyDescent="0.3">
      <c r="A33" s="28"/>
      <c r="B33" s="29"/>
      <c r="C33" s="30"/>
      <c r="D33" s="31"/>
      <c r="E33" s="41"/>
      <c r="F33" s="42"/>
      <c r="G33" s="21"/>
      <c r="H33" s="35"/>
      <c r="I33" s="36"/>
      <c r="J33" s="37"/>
      <c r="K33" s="38">
        <f t="shared" si="2"/>
        <v>0</v>
      </c>
      <c r="L33" s="39"/>
    </row>
    <row r="34" spans="1:12" s="27" customFormat="1" ht="19.5" customHeight="1" x14ac:dyDescent="0.3">
      <c r="A34" s="28" t="s">
        <v>357</v>
      </c>
      <c r="B34" s="16" t="s">
        <v>353</v>
      </c>
      <c r="C34" s="30">
        <v>22</v>
      </c>
      <c r="D34" s="31" t="s">
        <v>307</v>
      </c>
      <c r="E34" s="41">
        <v>65</v>
      </c>
      <c r="F34" s="42">
        <v>116.06</v>
      </c>
      <c r="G34" s="21" t="s">
        <v>371</v>
      </c>
      <c r="H34" s="35">
        <v>1829</v>
      </c>
      <c r="I34" s="36">
        <v>3353</v>
      </c>
      <c r="J34" s="37">
        <v>19</v>
      </c>
      <c r="K34" s="38">
        <f t="shared" si="2"/>
        <v>116.52010299999999</v>
      </c>
      <c r="L34" s="39" t="s">
        <v>593</v>
      </c>
    </row>
    <row r="35" spans="1:12" s="27" customFormat="1" ht="19.5" customHeight="1" x14ac:dyDescent="0.3">
      <c r="A35" s="28"/>
      <c r="B35" s="29"/>
      <c r="C35" s="30"/>
      <c r="D35" s="31"/>
      <c r="E35" s="41"/>
      <c r="F35" s="42"/>
      <c r="G35" s="21"/>
      <c r="H35" s="35"/>
      <c r="I35" s="36"/>
      <c r="J35" s="37"/>
      <c r="K35" s="38">
        <f t="shared" ref="K35:K37" si="3">(H35/1000*I35/1000)*J35</f>
        <v>0</v>
      </c>
      <c r="L35" s="39"/>
    </row>
    <row r="36" spans="1:12" s="27" customFormat="1" ht="19.5" customHeight="1" x14ac:dyDescent="0.3">
      <c r="A36" s="28" t="s">
        <v>378</v>
      </c>
      <c r="B36" s="16" t="s">
        <v>145</v>
      </c>
      <c r="C36" s="17">
        <v>24</v>
      </c>
      <c r="D36" s="18" t="s">
        <v>45</v>
      </c>
      <c r="E36" s="41">
        <v>45</v>
      </c>
      <c r="F36" s="42">
        <v>55.55</v>
      </c>
      <c r="G36" s="34" t="s">
        <v>49</v>
      </c>
      <c r="H36" s="35">
        <v>1981</v>
      </c>
      <c r="I36" s="36">
        <v>3353</v>
      </c>
      <c r="J36" s="37">
        <v>9</v>
      </c>
      <c r="K36" s="38">
        <f t="shared" si="3"/>
        <v>59.780637000000006</v>
      </c>
      <c r="L36" s="39" t="s">
        <v>380</v>
      </c>
    </row>
    <row r="37" spans="1:12" s="27" customFormat="1" ht="19.5" customHeight="1" x14ac:dyDescent="0.3">
      <c r="A37" s="28"/>
      <c r="B37" s="16"/>
      <c r="C37" s="17"/>
      <c r="D37" s="18"/>
      <c r="E37" s="41"/>
      <c r="F37" s="42"/>
      <c r="G37" s="21"/>
      <c r="H37" s="35"/>
      <c r="I37" s="36"/>
      <c r="J37" s="37"/>
      <c r="K37" s="38">
        <f t="shared" si="3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/>
      <c r="B39" s="29"/>
      <c r="C39" s="30"/>
      <c r="D39" s="31"/>
      <c r="E39" s="41"/>
      <c r="F39" s="42"/>
      <c r="G39" s="43"/>
      <c r="H39" s="35"/>
      <c r="I39" s="36"/>
      <c r="J39" s="37"/>
      <c r="K39" s="38">
        <f t="shared" si="0"/>
        <v>0</v>
      </c>
      <c r="L39" s="39"/>
    </row>
    <row r="40" spans="1:12" s="27" customFormat="1" ht="19.5" customHeight="1" x14ac:dyDescent="0.3">
      <c r="A40" s="28"/>
      <c r="B40" s="29"/>
      <c r="C40" s="30"/>
      <c r="D40" s="31"/>
      <c r="E40" s="41"/>
      <c r="F40" s="42"/>
      <c r="G40" s="34"/>
      <c r="H40" s="35"/>
      <c r="I40" s="36"/>
      <c r="J40" s="37"/>
      <c r="K40" s="38">
        <f t="shared" si="0"/>
        <v>0</v>
      </c>
      <c r="L40" s="39"/>
    </row>
    <row r="41" spans="1:12" s="27" customFormat="1" ht="19.5" customHeight="1" x14ac:dyDescent="0.3">
      <c r="A41" s="28"/>
      <c r="B41" s="29"/>
      <c r="C41" s="30"/>
      <c r="D41" s="31"/>
      <c r="E41" s="41"/>
      <c r="F41" s="42"/>
      <c r="G41" s="34"/>
      <c r="H41" s="35"/>
      <c r="I41" s="36"/>
      <c r="J41" s="37"/>
      <c r="K41" s="38">
        <f t="shared" si="0"/>
        <v>0</v>
      </c>
      <c r="L41" s="39"/>
    </row>
    <row r="42" spans="1:12" s="27" customFormat="1" ht="19.5" customHeight="1" x14ac:dyDescent="0.3">
      <c r="A42" s="28"/>
      <c r="B42" s="29"/>
      <c r="C42" s="30"/>
      <c r="D42" s="31"/>
      <c r="E42" s="41"/>
      <c r="F42" s="42"/>
      <c r="G42" s="43"/>
      <c r="H42" s="35"/>
      <c r="I42" s="36"/>
      <c r="J42" s="37"/>
      <c r="K42" s="38">
        <f t="shared" si="0"/>
        <v>0</v>
      </c>
      <c r="L42" s="39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347</v>
      </c>
      <c r="B44" s="45" t="s">
        <v>145</v>
      </c>
      <c r="C44" s="46">
        <v>24</v>
      </c>
      <c r="D44" s="47" t="s">
        <v>17</v>
      </c>
      <c r="E44" s="48">
        <v>110</v>
      </c>
      <c r="F44" s="49">
        <v>107.2</v>
      </c>
      <c r="G44" s="50" t="s">
        <v>18</v>
      </c>
      <c r="H44" s="51">
        <v>2590</v>
      </c>
      <c r="I44" s="45">
        <v>3353</v>
      </c>
      <c r="J44" s="52">
        <v>13</v>
      </c>
      <c r="K44" s="53">
        <f t="shared" si="0"/>
        <v>112.89550999999997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19</v>
      </c>
      <c r="H45" s="51">
        <v>1981</v>
      </c>
      <c r="I45" s="45">
        <v>3353</v>
      </c>
      <c r="J45" s="52">
        <v>17</v>
      </c>
      <c r="K45" s="53">
        <f t="shared" si="0"/>
        <v>112.918981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348</v>
      </c>
      <c r="B47" s="45" t="s">
        <v>145</v>
      </c>
      <c r="C47" s="46">
        <v>24</v>
      </c>
      <c r="D47" s="47" t="s">
        <v>17</v>
      </c>
      <c r="E47" s="48">
        <v>100</v>
      </c>
      <c r="F47" s="49">
        <v>107</v>
      </c>
      <c r="G47" s="50" t="s">
        <v>18</v>
      </c>
      <c r="H47" s="51">
        <v>2590</v>
      </c>
      <c r="I47" s="45">
        <v>3353</v>
      </c>
      <c r="J47" s="52">
        <v>13</v>
      </c>
      <c r="K47" s="53">
        <f t="shared" si="0"/>
        <v>112.89550999999997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 t="s">
        <v>19</v>
      </c>
      <c r="H48" s="51">
        <v>1981</v>
      </c>
      <c r="I48" s="45">
        <v>3353</v>
      </c>
      <c r="J48" s="52">
        <v>17</v>
      </c>
      <c r="K48" s="53">
        <f t="shared" si="0"/>
        <v>112.918981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290</v>
      </c>
      <c r="B50" s="45" t="s">
        <v>288</v>
      </c>
      <c r="C50" s="46">
        <v>24</v>
      </c>
      <c r="D50" s="47" t="s">
        <v>55</v>
      </c>
      <c r="E50" s="48">
        <v>22</v>
      </c>
      <c r="F50" s="49">
        <v>12.54</v>
      </c>
      <c r="G50" s="50" t="s">
        <v>18</v>
      </c>
      <c r="H50" s="51">
        <v>1981</v>
      </c>
      <c r="I50" s="45">
        <v>3353</v>
      </c>
      <c r="J50" s="52">
        <v>2</v>
      </c>
      <c r="K50" s="53">
        <f t="shared" si="0"/>
        <v>13.284586000000001</v>
      </c>
      <c r="L50" s="54" t="s">
        <v>361</v>
      </c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 t="s">
        <v>56</v>
      </c>
      <c r="H51" s="51">
        <v>1981</v>
      </c>
      <c r="I51" s="45">
        <v>3048</v>
      </c>
      <c r="J51" s="52">
        <v>1</v>
      </c>
      <c r="K51" s="53">
        <f t="shared" si="0"/>
        <v>6.038088000000001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 t="s">
        <v>56</v>
      </c>
      <c r="H52" s="51">
        <v>1981</v>
      </c>
      <c r="I52" s="45">
        <v>3353</v>
      </c>
      <c r="J52" s="52">
        <v>1</v>
      </c>
      <c r="K52" s="53">
        <f t="shared" si="0"/>
        <v>6.6422930000000004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287</v>
      </c>
      <c r="B54" s="45" t="s">
        <v>288</v>
      </c>
      <c r="C54" s="46">
        <v>24</v>
      </c>
      <c r="D54" s="47" t="s">
        <v>55</v>
      </c>
      <c r="E54" s="48">
        <v>3</v>
      </c>
      <c r="F54" s="49">
        <v>0.84</v>
      </c>
      <c r="G54" s="50"/>
      <c r="H54" s="51"/>
      <c r="I54" s="45"/>
      <c r="J54" s="52"/>
      <c r="K54" s="53">
        <f t="shared" si="0"/>
        <v>0</v>
      </c>
      <c r="L54" s="54" t="s">
        <v>346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231</v>
      </c>
      <c r="B56" s="45" t="s">
        <v>21</v>
      </c>
      <c r="C56" s="46">
        <v>22</v>
      </c>
      <c r="D56" s="47" t="s">
        <v>228</v>
      </c>
      <c r="E56" s="48">
        <v>1</v>
      </c>
      <c r="F56" s="49">
        <v>2.06</v>
      </c>
      <c r="G56" s="50" t="s">
        <v>18</v>
      </c>
      <c r="H56" s="51">
        <v>2590</v>
      </c>
      <c r="I56" s="45">
        <v>3353</v>
      </c>
      <c r="J56" s="52">
        <v>1</v>
      </c>
      <c r="K56" s="53">
        <f t="shared" si="0"/>
        <v>8.6842699999999979</v>
      </c>
      <c r="L56" s="54" t="s">
        <v>359</v>
      </c>
    </row>
    <row r="57" spans="1:12" s="55" customFormat="1" ht="19.5" customHeight="1" x14ac:dyDescent="0.3">
      <c r="A57" s="44" t="s">
        <v>210</v>
      </c>
      <c r="B57" s="45" t="s">
        <v>194</v>
      </c>
      <c r="C57" s="46">
        <v>24</v>
      </c>
      <c r="D57" s="47" t="s">
        <v>195</v>
      </c>
      <c r="E57" s="48">
        <v>2</v>
      </c>
      <c r="F57" s="49">
        <v>4.66</v>
      </c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213</v>
      </c>
      <c r="B59" s="45" t="s">
        <v>214</v>
      </c>
      <c r="C59" s="46">
        <v>22</v>
      </c>
      <c r="D59" s="47" t="s">
        <v>215</v>
      </c>
      <c r="E59" s="48">
        <v>11</v>
      </c>
      <c r="F59" s="49">
        <v>7.37</v>
      </c>
      <c r="G59" s="50" t="s">
        <v>216</v>
      </c>
      <c r="H59" s="51">
        <v>2134</v>
      </c>
      <c r="I59" s="45">
        <v>3048</v>
      </c>
      <c r="J59" s="52">
        <v>1</v>
      </c>
      <c r="K59" s="53">
        <f t="shared" si="0"/>
        <v>6.5044319999999995</v>
      </c>
      <c r="L59" s="54" t="s">
        <v>360</v>
      </c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 t="s">
        <v>18</v>
      </c>
      <c r="H60" s="51">
        <v>2590</v>
      </c>
      <c r="I60" s="45">
        <v>3353</v>
      </c>
      <c r="J60" s="52">
        <v>1</v>
      </c>
      <c r="K60" s="53">
        <f t="shared" si="0"/>
        <v>8.6842699999999979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350</v>
      </c>
      <c r="B62" s="45" t="s">
        <v>145</v>
      </c>
      <c r="C62" s="46">
        <v>24</v>
      </c>
      <c r="D62" s="47" t="s">
        <v>17</v>
      </c>
      <c r="E62" s="48">
        <v>90</v>
      </c>
      <c r="F62" s="49">
        <v>114.8</v>
      </c>
      <c r="G62" s="50" t="s">
        <v>18</v>
      </c>
      <c r="H62" s="51">
        <v>2590</v>
      </c>
      <c r="I62" s="45">
        <v>3353</v>
      </c>
      <c r="J62" s="52">
        <v>15</v>
      </c>
      <c r="K62" s="53">
        <f t="shared" si="0"/>
        <v>130.26404999999997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 t="s">
        <v>19</v>
      </c>
      <c r="H63" s="51">
        <v>1981</v>
      </c>
      <c r="I63" s="45">
        <v>3353</v>
      </c>
      <c r="J63" s="52">
        <v>18</v>
      </c>
      <c r="K63" s="53">
        <f t="shared" si="0"/>
        <v>119.56127400000001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350</v>
      </c>
      <c r="B65" s="45" t="s">
        <v>145</v>
      </c>
      <c r="C65" s="46">
        <v>24</v>
      </c>
      <c r="D65" s="47" t="s">
        <v>45</v>
      </c>
      <c r="E65" s="48">
        <v>50</v>
      </c>
      <c r="F65" s="49">
        <f>14.6+23.4+5.6</f>
        <v>43.6</v>
      </c>
      <c r="G65" s="50" t="s">
        <v>19</v>
      </c>
      <c r="H65" s="51">
        <v>1981</v>
      </c>
      <c r="I65" s="45">
        <v>3353</v>
      </c>
      <c r="J65" s="52">
        <v>9</v>
      </c>
      <c r="K65" s="53">
        <f t="shared" si="0"/>
        <v>59.780637000000006</v>
      </c>
      <c r="L65" s="54" t="s">
        <v>406</v>
      </c>
    </row>
    <row r="66" spans="1:12" s="55" customFormat="1" ht="19.5" customHeight="1" x14ac:dyDescent="0.3">
      <c r="A66" s="44"/>
      <c r="B66" s="45"/>
      <c r="C66" s="46">
        <v>22</v>
      </c>
      <c r="D66" s="47" t="s">
        <v>45</v>
      </c>
      <c r="E66" s="48">
        <v>10</v>
      </c>
      <c r="F66" s="49">
        <v>11.7</v>
      </c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 t="s">
        <v>349</v>
      </c>
      <c r="B68" s="45" t="s">
        <v>145</v>
      </c>
      <c r="C68" s="46">
        <v>24</v>
      </c>
      <c r="D68" s="47" t="s">
        <v>17</v>
      </c>
      <c r="E68" s="48">
        <v>90</v>
      </c>
      <c r="F68" s="49">
        <v>102.7</v>
      </c>
      <c r="G68" s="50" t="s">
        <v>18</v>
      </c>
      <c r="H68" s="51">
        <v>2590</v>
      </c>
      <c r="I68" s="45">
        <v>3353</v>
      </c>
      <c r="J68" s="52">
        <v>12</v>
      </c>
      <c r="K68" s="53">
        <f t="shared" si="0"/>
        <v>104.21123999999998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 t="s">
        <v>18</v>
      </c>
      <c r="H69" s="51">
        <v>1981</v>
      </c>
      <c r="I69" s="45">
        <v>3048</v>
      </c>
      <c r="J69" s="52">
        <v>1</v>
      </c>
      <c r="K69" s="53">
        <f t="shared" si="0"/>
        <v>6.038088000000001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 t="s">
        <v>19</v>
      </c>
      <c r="H70" s="51">
        <v>1981</v>
      </c>
      <c r="I70" s="45">
        <v>3353</v>
      </c>
      <c r="J70" s="52">
        <v>16</v>
      </c>
      <c r="K70" s="53">
        <f t="shared" si="0"/>
        <v>106.27668800000001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 t="s">
        <v>57</v>
      </c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 t="s">
        <v>362</v>
      </c>
      <c r="B73" s="45" t="s">
        <v>363</v>
      </c>
      <c r="C73" s="46">
        <v>43</v>
      </c>
      <c r="D73" s="47" t="s">
        <v>364</v>
      </c>
      <c r="E73" s="48">
        <v>28</v>
      </c>
      <c r="F73" s="49">
        <v>36.57</v>
      </c>
      <c r="G73" s="50" t="s">
        <v>365</v>
      </c>
      <c r="H73" s="51">
        <v>2590</v>
      </c>
      <c r="I73" s="45">
        <v>3353</v>
      </c>
      <c r="J73" s="52">
        <v>4</v>
      </c>
      <c r="K73" s="53">
        <f t="shared" si="0"/>
        <v>34.737079999999992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 t="s">
        <v>365</v>
      </c>
      <c r="H74" s="51">
        <v>1981</v>
      </c>
      <c r="I74" s="45">
        <v>3048</v>
      </c>
      <c r="J74" s="52">
        <v>1</v>
      </c>
      <c r="K74" s="53">
        <f t="shared" si="0"/>
        <v>6.038088000000001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 t="s">
        <v>39</v>
      </c>
      <c r="H75" s="51">
        <v>2286</v>
      </c>
      <c r="I75" s="45">
        <v>3048</v>
      </c>
      <c r="J75" s="52">
        <v>10</v>
      </c>
      <c r="K75" s="53">
        <f t="shared" si="0"/>
        <v>69.677279999999996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 t="s">
        <v>39</v>
      </c>
      <c r="H76" s="51">
        <v>1829</v>
      </c>
      <c r="I76" s="45">
        <v>3353</v>
      </c>
      <c r="J76" s="52">
        <v>3</v>
      </c>
      <c r="K76" s="53">
        <f t="shared" si="0"/>
        <v>18.397911000000001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 t="s">
        <v>366</v>
      </c>
      <c r="B78" s="45" t="s">
        <v>367</v>
      </c>
      <c r="C78" s="46">
        <v>22</v>
      </c>
      <c r="D78" s="47" t="s">
        <v>368</v>
      </c>
      <c r="E78" s="48">
        <v>180</v>
      </c>
      <c r="F78" s="49">
        <v>137.30000000000001</v>
      </c>
      <c r="G78" s="50" t="s">
        <v>371</v>
      </c>
      <c r="H78" s="51">
        <v>1829</v>
      </c>
      <c r="I78" s="45">
        <v>3353</v>
      </c>
      <c r="J78" s="52">
        <v>23</v>
      </c>
      <c r="K78" s="53">
        <f t="shared" si="0"/>
        <v>141.05065099999999</v>
      </c>
      <c r="L78" s="54" t="s">
        <v>202</v>
      </c>
    </row>
    <row r="79" spans="1:12" s="55" customFormat="1" ht="19.5" customHeight="1" x14ac:dyDescent="0.3">
      <c r="A79" s="44"/>
      <c r="B79" s="45"/>
      <c r="C79" s="46">
        <v>22</v>
      </c>
      <c r="D79" s="47" t="s">
        <v>369</v>
      </c>
      <c r="E79" s="48">
        <v>150</v>
      </c>
      <c r="F79" s="49">
        <v>118</v>
      </c>
      <c r="G79" s="50" t="s">
        <v>365</v>
      </c>
      <c r="H79" s="51">
        <v>2590</v>
      </c>
      <c r="I79" s="45">
        <v>3048</v>
      </c>
      <c r="J79" s="52">
        <v>16</v>
      </c>
      <c r="K79" s="53">
        <f t="shared" si="0"/>
        <v>126.30911999999999</v>
      </c>
      <c r="L79" s="54" t="s">
        <v>370</v>
      </c>
    </row>
    <row r="80" spans="1:12" s="55" customFormat="1" ht="19.5" customHeight="1" x14ac:dyDescent="0.3">
      <c r="A80" s="44"/>
      <c r="B80" s="45"/>
      <c r="C80" s="46"/>
      <c r="D80" s="47"/>
      <c r="E80" s="48"/>
      <c r="F80" s="49"/>
      <c r="G80" s="50"/>
      <c r="H80" s="51"/>
      <c r="I80" s="45"/>
      <c r="J80" s="52"/>
      <c r="K80" s="53">
        <f t="shared" si="0"/>
        <v>0</v>
      </c>
      <c r="L80" s="54"/>
    </row>
    <row r="81" spans="1:12" s="55" customFormat="1" ht="19.5" customHeight="1" x14ac:dyDescent="0.3">
      <c r="A81" s="44"/>
      <c r="B81" s="45"/>
      <c r="C81" s="46"/>
      <c r="D81" s="47"/>
      <c r="E81" s="48"/>
      <c r="F81" s="49"/>
      <c r="G81" s="50"/>
      <c r="H81" s="51"/>
      <c r="I81" s="45"/>
      <c r="J81" s="52"/>
      <c r="K81" s="53">
        <f t="shared" si="0"/>
        <v>0</v>
      </c>
      <c r="L81" s="54"/>
    </row>
    <row r="82" spans="1:12" s="55" customFormat="1" ht="19.5" customHeight="1" x14ac:dyDescent="0.3">
      <c r="A82" s="44"/>
      <c r="B82" s="45"/>
      <c r="C82" s="46"/>
      <c r="D82" s="47"/>
      <c r="E82" s="48"/>
      <c r="F82" s="49"/>
      <c r="G82" s="50"/>
      <c r="H82" s="51"/>
      <c r="I82" s="45"/>
      <c r="J82" s="52"/>
      <c r="K82" s="53">
        <f t="shared" si="0"/>
        <v>0</v>
      </c>
      <c r="L82" s="54"/>
    </row>
    <row r="83" spans="1:12" s="55" customFormat="1" ht="19.5" customHeight="1" x14ac:dyDescent="0.3">
      <c r="A83" s="44"/>
      <c r="B83" s="45"/>
      <c r="C83" s="46"/>
      <c r="D83" s="47"/>
      <c r="E83" s="48"/>
      <c r="F83" s="49"/>
      <c r="G83" s="50"/>
      <c r="H83" s="51"/>
      <c r="I83" s="45"/>
      <c r="J83" s="52"/>
      <c r="K83" s="53">
        <f t="shared" si="0"/>
        <v>0</v>
      </c>
      <c r="L83" s="54"/>
    </row>
    <row r="84" spans="1:12" s="55" customFormat="1" ht="19.5" customHeight="1" x14ac:dyDescent="0.3">
      <c r="A84" s="44"/>
      <c r="B84" s="45"/>
      <c r="C84" s="46"/>
      <c r="D84" s="47"/>
      <c r="E84" s="48"/>
      <c r="F84" s="49"/>
      <c r="G84" s="50"/>
      <c r="H84" s="51"/>
      <c r="I84" s="45"/>
      <c r="J84" s="52"/>
      <c r="K84" s="53">
        <f t="shared" si="0"/>
        <v>0</v>
      </c>
      <c r="L84" s="54"/>
    </row>
    <row r="85" spans="1:12" s="55" customFormat="1" ht="19.5" customHeight="1" x14ac:dyDescent="0.3">
      <c r="A85" s="44"/>
      <c r="B85" s="45"/>
      <c r="C85" s="46"/>
      <c r="D85" s="47"/>
      <c r="E85" s="48"/>
      <c r="F85" s="49"/>
      <c r="G85" s="50"/>
      <c r="H85" s="51"/>
      <c r="I85" s="45"/>
      <c r="J85" s="52"/>
      <c r="K85" s="53">
        <f t="shared" si="0"/>
        <v>0</v>
      </c>
      <c r="L85" s="54"/>
    </row>
    <row r="86" spans="1:12" s="55" customFormat="1" ht="19.5" customHeight="1" x14ac:dyDescent="0.3">
      <c r="A86" s="44"/>
      <c r="B86" s="45"/>
      <c r="C86" s="46"/>
      <c r="D86" s="47"/>
      <c r="E86" s="48"/>
      <c r="F86" s="49"/>
      <c r="G86" s="50"/>
      <c r="H86" s="51"/>
      <c r="I86" s="45"/>
      <c r="J86" s="52"/>
      <c r="K86" s="53">
        <f t="shared" si="0"/>
        <v>0</v>
      </c>
      <c r="L86" s="54"/>
    </row>
    <row r="87" spans="1:12" s="55" customFormat="1" ht="19.5" customHeight="1" x14ac:dyDescent="0.3">
      <c r="A87" s="44"/>
      <c r="B87" s="45"/>
      <c r="C87" s="46"/>
      <c r="D87" s="47"/>
      <c r="E87" s="48"/>
      <c r="F87" s="49"/>
      <c r="G87" s="50"/>
      <c r="H87" s="51"/>
      <c r="I87" s="45"/>
      <c r="J87" s="52"/>
      <c r="K87" s="53">
        <f t="shared" si="0"/>
        <v>0</v>
      </c>
      <c r="L87" s="54"/>
    </row>
    <row r="88" spans="1:12" s="55" customFormat="1" ht="19.5" customHeight="1" x14ac:dyDescent="0.3">
      <c r="A88" s="44"/>
      <c r="B88" s="45"/>
      <c r="C88" s="46"/>
      <c r="D88" s="47"/>
      <c r="E88" s="48"/>
      <c r="F88" s="49"/>
      <c r="G88" s="50"/>
      <c r="H88" s="51"/>
      <c r="I88" s="45"/>
      <c r="J88" s="52"/>
      <c r="K88" s="53">
        <f t="shared" si="0"/>
        <v>0</v>
      </c>
      <c r="L88" s="54"/>
    </row>
    <row r="89" spans="1:12" s="55" customFormat="1" ht="19.5" customHeight="1" x14ac:dyDescent="0.3">
      <c r="A89" s="44"/>
      <c r="B89" s="45"/>
      <c r="C89" s="46"/>
      <c r="D89" s="47"/>
      <c r="E89" s="48"/>
      <c r="F89" s="49"/>
      <c r="G89" s="50"/>
      <c r="H89" s="51"/>
      <c r="I89" s="45"/>
      <c r="J89" s="52"/>
      <c r="K89" s="53">
        <f t="shared" si="0"/>
        <v>0</v>
      </c>
      <c r="L89" s="54"/>
    </row>
    <row r="90" spans="1:12" s="55" customFormat="1" ht="19.5" customHeight="1" x14ac:dyDescent="0.3">
      <c r="A90" s="44"/>
      <c r="B90" s="45"/>
      <c r="C90" s="46"/>
      <c r="D90" s="47"/>
      <c r="E90" s="48"/>
      <c r="F90" s="49"/>
      <c r="G90" s="50"/>
      <c r="H90" s="51"/>
      <c r="I90" s="45"/>
      <c r="J90" s="52"/>
      <c r="K90" s="53">
        <f t="shared" si="0"/>
        <v>0</v>
      </c>
      <c r="L90" s="54"/>
    </row>
    <row r="91" spans="1:12" s="59" customFormat="1" ht="20.100000000000001" customHeight="1" x14ac:dyDescent="0.3">
      <c r="A91" s="44"/>
      <c r="B91" s="45"/>
      <c r="C91" s="46"/>
      <c r="D91" s="47"/>
      <c r="E91" s="56"/>
      <c r="F91" s="57"/>
      <c r="G91" s="50"/>
      <c r="H91" s="51"/>
      <c r="I91" s="45"/>
      <c r="J91" s="52"/>
      <c r="K91" s="53">
        <f t="shared" si="0"/>
        <v>0</v>
      </c>
      <c r="L91" s="58">
        <f>SUM(J43:J92)</f>
        <v>195</v>
      </c>
    </row>
    <row r="92" spans="1:12" s="59" customFormat="1" ht="20.100000000000001" customHeight="1" x14ac:dyDescent="0.3">
      <c r="A92" s="44"/>
      <c r="B92" s="45"/>
      <c r="C92" s="46"/>
      <c r="D92" s="47"/>
      <c r="E92" s="60"/>
      <c r="F92" s="61"/>
      <c r="G92" s="62"/>
      <c r="H92" s="51"/>
      <c r="I92" s="45"/>
      <c r="J92" s="63"/>
      <c r="K92" s="53">
        <f t="shared" si="0"/>
        <v>0</v>
      </c>
      <c r="L92" s="64">
        <f>SUM(K43:K92)</f>
        <v>1423.8090280000001</v>
      </c>
    </row>
    <row r="93" spans="1:12" s="59" customFormat="1" ht="20.100000000000001" customHeight="1" thickBot="1" x14ac:dyDescent="0.35">
      <c r="A93" s="114"/>
      <c r="B93" s="115"/>
      <c r="C93" s="115"/>
      <c r="D93" s="115"/>
      <c r="E93" s="115"/>
      <c r="F93" s="115"/>
      <c r="G93" s="115"/>
      <c r="H93" s="115"/>
      <c r="I93" s="115"/>
      <c r="J93" s="65">
        <f>SUM(J7:J92)</f>
        <v>392</v>
      </c>
      <c r="K93" s="66">
        <f>SUM(K7:K92)</f>
        <v>2663.9522959999995</v>
      </c>
      <c r="L93" s="67"/>
    </row>
    <row r="94" spans="1:12" s="59" customFormat="1" ht="20.100000000000001" customHeight="1" thickTop="1" thickBot="1" x14ac:dyDescent="0.35">
      <c r="A94" s="116" t="s">
        <v>52</v>
      </c>
      <c r="B94" s="117"/>
      <c r="C94" s="68"/>
      <c r="D94" s="118">
        <f>J93</f>
        <v>392</v>
      </c>
      <c r="E94" s="119"/>
      <c r="F94" s="119"/>
      <c r="G94" s="120"/>
      <c r="H94" s="121"/>
      <c r="I94" s="121"/>
      <c r="J94" s="122"/>
      <c r="K94" s="119"/>
      <c r="L94" s="123"/>
    </row>
    <row r="95" spans="1:12" s="59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71"/>
    </row>
    <row r="96" spans="1:12" s="59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59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59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59" customFormat="1" ht="20.100000000000001" customHeight="1" x14ac:dyDescent="0.3">
      <c r="A99" s="113"/>
      <c r="B99" s="113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59" customFormat="1" ht="20.100000000000001" customHeight="1" x14ac:dyDescent="0.3">
      <c r="A100" s="113"/>
      <c r="B100" s="113"/>
      <c r="C100" s="5"/>
      <c r="D100" s="5"/>
      <c r="E100" s="72"/>
      <c r="F100" s="5"/>
      <c r="G100" s="5"/>
      <c r="H100" s="5"/>
      <c r="I100" s="5"/>
      <c r="J100" s="5"/>
      <c r="K100" s="5"/>
      <c r="L100" s="5"/>
    </row>
    <row r="101" spans="1:12" s="59" customFormat="1" ht="20.100000000000001" customHeight="1" x14ac:dyDescent="0.3">
      <c r="A101" s="113"/>
      <c r="B101" s="113"/>
      <c r="C101" s="5"/>
      <c r="D101" s="5"/>
      <c r="E101" s="5"/>
      <c r="F101" s="5"/>
      <c r="G101" s="73"/>
      <c r="H101" s="5"/>
      <c r="I101" s="74"/>
      <c r="J101" s="5"/>
      <c r="K101" s="5"/>
      <c r="L101" s="5"/>
    </row>
    <row r="102" spans="1:12" s="59" customFormat="1" ht="20.100000000000001" customHeight="1" x14ac:dyDescent="0.3">
      <c r="A102" s="113"/>
      <c r="B102" s="113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s="59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59" customFormat="1" ht="20.100000000000001" customHeight="1" x14ac:dyDescent="0.3">
      <c r="A104" s="113"/>
      <c r="B104" s="113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59" customFormat="1" ht="20.100000000000001" customHeight="1" x14ac:dyDescent="0.3">
      <c r="A105" s="113"/>
      <c r="B105" s="113"/>
      <c r="C105" s="5"/>
      <c r="D105" s="5"/>
      <c r="E105" s="5"/>
      <c r="F105" s="70"/>
      <c r="G105" s="5"/>
      <c r="H105" s="72"/>
      <c r="I105" s="72"/>
      <c r="J105" s="5"/>
      <c r="K105" s="5"/>
      <c r="L105" s="5"/>
    </row>
    <row r="106" spans="1:12" ht="20.100000000000001" customHeight="1" x14ac:dyDescent="0.3">
      <c r="A106" s="113"/>
      <c r="B106" s="113"/>
      <c r="H106" s="72"/>
      <c r="I106" s="72"/>
    </row>
    <row r="107" spans="1:12" ht="20.100000000000001" customHeight="1" x14ac:dyDescent="0.3">
      <c r="H107" s="72"/>
      <c r="I107" s="72"/>
    </row>
    <row r="108" spans="1:12" ht="20.100000000000001" customHeight="1" x14ac:dyDescent="0.3">
      <c r="H108" s="72"/>
      <c r="I108" s="72"/>
    </row>
    <row r="109" spans="1:12" ht="20.100000000000001" customHeight="1" x14ac:dyDescent="0.3">
      <c r="A109" s="113"/>
      <c r="B109" s="113"/>
      <c r="H109" s="72"/>
      <c r="I109" s="72"/>
    </row>
    <row r="110" spans="1:12" ht="20.100000000000001" customHeight="1" x14ac:dyDescent="0.3">
      <c r="A110" s="113"/>
      <c r="B110" s="113"/>
      <c r="H110" s="72"/>
      <c r="I110" s="72"/>
    </row>
    <row r="111" spans="1:12" ht="20.100000000000001" customHeight="1" x14ac:dyDescent="0.3">
      <c r="H111" s="72"/>
      <c r="I111" s="72"/>
    </row>
    <row r="112" spans="1:12" ht="20.100000000000001" customHeight="1" x14ac:dyDescent="0.3">
      <c r="H112" s="72"/>
      <c r="I112" s="72"/>
    </row>
    <row r="113" spans="1:12" ht="20.100000000000001" customHeight="1" x14ac:dyDescent="0.3">
      <c r="H113" s="72"/>
      <c r="I113" s="72"/>
    </row>
    <row r="114" spans="1:12" s="72" customFormat="1" ht="20.100000000000001" customHeight="1" x14ac:dyDescent="0.3">
      <c r="A114" s="69"/>
      <c r="B114" s="5"/>
      <c r="C114" s="5"/>
      <c r="D114" s="5"/>
      <c r="E114" s="5"/>
      <c r="F114" s="70"/>
      <c r="G114" s="5"/>
      <c r="J114" s="5"/>
      <c r="K114" s="5"/>
      <c r="L114" s="5"/>
    </row>
    <row r="115" spans="1:12" s="72" customFormat="1" ht="20.100000000000001" customHeight="1" x14ac:dyDescent="0.3">
      <c r="A115" s="69"/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1:12" s="75" customFormat="1" ht="20.100000000000001" customHeight="1" x14ac:dyDescent="0.3">
      <c r="A116" s="69"/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1:12" s="75" customFormat="1" ht="20.100000000000001" customHeight="1" x14ac:dyDescent="0.3">
      <c r="A117" s="69"/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1:12" s="75" customFormat="1" ht="19.5" customHeight="1" x14ac:dyDescent="0.3">
      <c r="A118" s="69"/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1:12" s="72" customFormat="1" ht="20.100000000000001" customHeight="1" x14ac:dyDescent="0.3">
      <c r="A119" s="69"/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1:12" s="72" customFormat="1" ht="20.100000000000001" customHeight="1" x14ac:dyDescent="0.3">
      <c r="A120" s="69"/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1:12" ht="19.5" customHeight="1" x14ac:dyDescent="0.3"/>
    <row r="122" spans="1:12" ht="19.5" customHeight="1" x14ac:dyDescent="0.3"/>
    <row r="123" spans="1:12" ht="19.5" customHeight="1" x14ac:dyDescent="0.3"/>
    <row r="124" spans="1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1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1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1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1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ht="19.5" customHeight="1" x14ac:dyDescent="0.3"/>
    <row r="141" spans="2:12" ht="19.5" customHeight="1" x14ac:dyDescent="0.3"/>
    <row r="142" spans="2:12" ht="19.5" customHeight="1" x14ac:dyDescent="0.3"/>
    <row r="143" spans="2:12" ht="19.5" customHeight="1" x14ac:dyDescent="0.3"/>
    <row r="144" spans="2:12" ht="19.5" customHeight="1" x14ac:dyDescent="0.3"/>
    <row r="145" spans="2:12" ht="19.5" customHeight="1" x14ac:dyDescent="0.3"/>
    <row r="146" spans="2:12" ht="19.5" customHeight="1" x14ac:dyDescent="0.3"/>
    <row r="147" spans="2:12" ht="19.5" customHeight="1" x14ac:dyDescent="0.3"/>
    <row r="148" spans="2:12" ht="19.5" customHeight="1" x14ac:dyDescent="0.3"/>
    <row r="149" spans="2:12" ht="19.5" customHeight="1" x14ac:dyDescent="0.3"/>
    <row r="150" spans="2:12" ht="19.5" customHeight="1" x14ac:dyDescent="0.3"/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/>
      <c r="C172" s="5"/>
      <c r="D172" s="5"/>
      <c r="E172" s="5"/>
      <c r="F172" s="70"/>
      <c r="G172" s="5"/>
      <c r="H172" s="5"/>
      <c r="I172" s="5"/>
      <c r="J172" s="5"/>
      <c r="K172" s="5"/>
      <c r="L172" s="5"/>
    </row>
    <row r="173" spans="2:12" s="69" customFormat="1" ht="19.5" customHeight="1" x14ac:dyDescent="0.3">
      <c r="B173" s="5"/>
      <c r="C173" s="5"/>
      <c r="D173" s="5"/>
      <c r="E173" s="5"/>
      <c r="F173" s="70"/>
      <c r="G173" s="5"/>
      <c r="H173" s="5"/>
      <c r="I173" s="5"/>
      <c r="J173" s="5"/>
      <c r="K173" s="5"/>
      <c r="L173" s="5"/>
    </row>
    <row r="174" spans="2:12" s="69" customFormat="1" ht="19.5" customHeight="1" x14ac:dyDescent="0.3">
      <c r="B174" s="5"/>
      <c r="C174" s="5"/>
      <c r="D174" s="5"/>
      <c r="E174" s="5"/>
      <c r="F174" s="70"/>
      <c r="G174" s="5"/>
      <c r="H174" s="5"/>
      <c r="I174" s="5"/>
      <c r="J174" s="5"/>
      <c r="K174" s="5"/>
      <c r="L174" s="5"/>
    </row>
    <row r="175" spans="2:12" s="69" customFormat="1" ht="19.5" customHeight="1" x14ac:dyDescent="0.3">
      <c r="B175" s="5"/>
      <c r="C175" s="5"/>
      <c r="D175" s="5"/>
      <c r="E175" s="5"/>
      <c r="F175" s="70"/>
      <c r="G175" s="5"/>
      <c r="H175" s="5"/>
      <c r="I175" s="5"/>
      <c r="J175" s="5"/>
      <c r="K175" s="5"/>
      <c r="L175" s="5"/>
    </row>
    <row r="176" spans="2:12" s="69" customFormat="1" ht="19.5" customHeight="1" x14ac:dyDescent="0.3">
      <c r="B176" s="5"/>
      <c r="C176" s="5"/>
      <c r="D176" s="5"/>
      <c r="E176" s="5"/>
      <c r="F176" s="70"/>
      <c r="G176" s="5"/>
      <c r="H176" s="5"/>
      <c r="I176" s="5"/>
      <c r="J176" s="5"/>
      <c r="K176" s="5"/>
      <c r="L176" s="5"/>
    </row>
    <row r="177" spans="2:12" s="69" customFormat="1" ht="19.5" customHeight="1" x14ac:dyDescent="0.3">
      <c r="B177" s="5"/>
      <c r="C177" s="5"/>
      <c r="D177" s="5"/>
      <c r="E177" s="5"/>
      <c r="F177" s="70"/>
      <c r="G177" s="5"/>
      <c r="H177" s="5"/>
      <c r="I177" s="5"/>
      <c r="J177" s="5"/>
      <c r="K177" s="5"/>
      <c r="L177" s="5"/>
    </row>
    <row r="178" spans="2:12" s="69" customFormat="1" ht="19.5" customHeight="1" x14ac:dyDescent="0.3">
      <c r="B178" s="5"/>
      <c r="C178" s="5"/>
      <c r="D178" s="5"/>
      <c r="E178" s="5"/>
      <c r="F178" s="70"/>
      <c r="G178" s="5"/>
      <c r="H178" s="5"/>
      <c r="I178" s="5"/>
      <c r="J178" s="5"/>
      <c r="K178" s="5"/>
      <c r="L178" s="5"/>
    </row>
    <row r="179" spans="2:12" s="69" customFormat="1" ht="19.5" customHeight="1" x14ac:dyDescent="0.3">
      <c r="B179" s="5"/>
      <c r="C179" s="5"/>
      <c r="D179" s="5"/>
      <c r="E179" s="5"/>
      <c r="F179" s="70"/>
      <c r="G179" s="5"/>
      <c r="H179" s="5"/>
      <c r="I179" s="5"/>
      <c r="J179" s="5"/>
      <c r="K179" s="5"/>
      <c r="L179" s="5"/>
    </row>
    <row r="180" spans="2:12" s="69" customFormat="1" ht="19.5" customHeight="1" x14ac:dyDescent="0.3">
      <c r="B180" s="5"/>
      <c r="C180" s="5"/>
      <c r="D180" s="5"/>
      <c r="E180" s="5"/>
      <c r="F180" s="70"/>
      <c r="G180" s="5"/>
      <c r="H180" s="5"/>
      <c r="I180" s="5"/>
      <c r="J180" s="5"/>
      <c r="K180" s="5"/>
      <c r="L180" s="5"/>
    </row>
    <row r="181" spans="2:12" s="69" customFormat="1" ht="19.5" customHeight="1" x14ac:dyDescent="0.3">
      <c r="B181" s="5"/>
      <c r="C181" s="5"/>
      <c r="D181" s="5"/>
      <c r="E181" s="5"/>
      <c r="F181" s="70"/>
      <c r="G181" s="5"/>
      <c r="H181" s="5"/>
      <c r="I181" s="5"/>
      <c r="J181" s="5"/>
      <c r="K181" s="5"/>
      <c r="L181" s="5"/>
    </row>
    <row r="182" spans="2:12" s="69" customFormat="1" ht="19.5" customHeight="1" x14ac:dyDescent="0.3">
      <c r="B182" s="5"/>
      <c r="C182" s="5"/>
      <c r="D182" s="5"/>
      <c r="E182" s="5"/>
      <c r="F182" s="70"/>
      <c r="G182" s="5"/>
      <c r="H182" s="5"/>
      <c r="I182" s="5"/>
      <c r="J182" s="5"/>
      <c r="K182" s="5"/>
      <c r="L182" s="5"/>
    </row>
    <row r="183" spans="2:12" s="69" customFormat="1" ht="19.5" customHeight="1" x14ac:dyDescent="0.3">
      <c r="B183" s="5"/>
      <c r="C183" s="5"/>
      <c r="D183" s="5"/>
      <c r="E183" s="5"/>
      <c r="F183" s="70"/>
      <c r="G183" s="5"/>
      <c r="H183" s="5"/>
      <c r="I183" s="5"/>
      <c r="J183" s="5"/>
      <c r="K183" s="5"/>
      <c r="L183" s="5"/>
    </row>
    <row r="184" spans="2:12" s="69" customFormat="1" ht="19.5" customHeight="1" x14ac:dyDescent="0.3">
      <c r="B184" s="5">
        <v>2</v>
      </c>
      <c r="C184" s="5"/>
      <c r="D184" s="5"/>
      <c r="E184" s="5"/>
      <c r="F184" s="70"/>
      <c r="G184" s="5"/>
      <c r="H184" s="5"/>
      <c r="I184" s="5"/>
      <c r="J184" s="5"/>
      <c r="K184" s="5"/>
      <c r="L184" s="5"/>
    </row>
  </sheetData>
  <mergeCells count="30">
    <mergeCell ref="A109:B109"/>
    <mergeCell ref="A110:B110"/>
    <mergeCell ref="A100:B100"/>
    <mergeCell ref="A101:B101"/>
    <mergeCell ref="A102:B102"/>
    <mergeCell ref="A104:B104"/>
    <mergeCell ref="A105:B105"/>
    <mergeCell ref="A106:B106"/>
    <mergeCell ref="A99:B9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93:I93"/>
    <mergeCell ref="A94:B94"/>
    <mergeCell ref="D94:G94"/>
    <mergeCell ref="H94:J94"/>
    <mergeCell ref="K94:L94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pageSetUpPr fitToPage="1"/>
  </sheetPr>
  <dimension ref="A1:L164"/>
  <sheetViews>
    <sheetView view="pageBreakPreview" topLeftCell="A11" zoomScale="85" zoomScaleSheetLayoutView="85" workbookViewId="0">
      <selection activeCell="B11" sqref="B1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46032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2" si="0">(H7/1000*I7/1000)*J7</f>
        <v>0</v>
      </c>
      <c r="L7" s="26">
        <f>SUM(J7:J25)</f>
        <v>182</v>
      </c>
    </row>
    <row r="8" spans="1:12" s="27" customFormat="1" ht="19.5" customHeight="1" x14ac:dyDescent="0.3">
      <c r="A8" s="28"/>
      <c r="B8" s="16"/>
      <c r="C8" s="17"/>
      <c r="D8" s="18"/>
      <c r="E8" s="32"/>
      <c r="F8" s="33"/>
      <c r="G8" s="34"/>
      <c r="H8" s="35"/>
      <c r="I8" s="36"/>
      <c r="J8" s="37"/>
      <c r="K8" s="38">
        <f t="shared" si="0"/>
        <v>0</v>
      </c>
      <c r="L8" s="39">
        <f>SUM(K7:K25)</f>
        <v>1123.784774</v>
      </c>
    </row>
    <row r="9" spans="1:12" s="27" customFormat="1" ht="19.5" customHeight="1" x14ac:dyDescent="0.3">
      <c r="A9" s="15" t="s">
        <v>232</v>
      </c>
      <c r="B9" s="16" t="s">
        <v>21</v>
      </c>
      <c r="C9" s="17">
        <v>46.76</v>
      </c>
      <c r="D9" s="18" t="s">
        <v>272</v>
      </c>
      <c r="E9" s="19">
        <v>5</v>
      </c>
      <c r="F9" s="20">
        <v>2.25</v>
      </c>
      <c r="G9" s="21" t="s">
        <v>39</v>
      </c>
      <c r="H9" s="22">
        <v>1829</v>
      </c>
      <c r="I9" s="23">
        <v>3353</v>
      </c>
      <c r="J9" s="24">
        <v>2</v>
      </c>
      <c r="K9" s="38">
        <f t="shared" si="0"/>
        <v>12.265274</v>
      </c>
      <c r="L9" s="39" t="s">
        <v>319</v>
      </c>
    </row>
    <row r="10" spans="1:12" s="27" customFormat="1" ht="19.5" customHeight="1" x14ac:dyDescent="0.3">
      <c r="A10" s="28" t="s">
        <v>231</v>
      </c>
      <c r="B10" s="16" t="s">
        <v>21</v>
      </c>
      <c r="C10" s="17">
        <v>46.76</v>
      </c>
      <c r="D10" s="18" t="s">
        <v>272</v>
      </c>
      <c r="E10" s="32">
        <v>10</v>
      </c>
      <c r="F10" s="33">
        <v>4</v>
      </c>
      <c r="G10" s="34"/>
      <c r="H10" s="35"/>
      <c r="I10" s="36"/>
      <c r="J10" s="37"/>
      <c r="K10" s="38">
        <f t="shared" si="0"/>
        <v>0</v>
      </c>
      <c r="L10" s="39" t="s">
        <v>319</v>
      </c>
    </row>
    <row r="11" spans="1:12" s="27" customFormat="1" ht="19.5" customHeight="1" x14ac:dyDescent="0.3">
      <c r="A11" s="28" t="s">
        <v>225</v>
      </c>
      <c r="B11" s="16" t="s">
        <v>21</v>
      </c>
      <c r="C11" s="17">
        <v>46.76</v>
      </c>
      <c r="D11" s="18" t="s">
        <v>272</v>
      </c>
      <c r="E11" s="41">
        <v>10</v>
      </c>
      <c r="F11" s="42">
        <v>4.5</v>
      </c>
      <c r="G11" s="34"/>
      <c r="H11" s="35"/>
      <c r="I11" s="36"/>
      <c r="J11" s="37"/>
      <c r="K11" s="38">
        <f t="shared" si="0"/>
        <v>0</v>
      </c>
      <c r="L11" s="39" t="s">
        <v>319</v>
      </c>
    </row>
    <row r="12" spans="1:12" s="27" customFormat="1" ht="19.5" customHeight="1" x14ac:dyDescent="0.3">
      <c r="A12" s="28"/>
      <c r="B12" s="29"/>
      <c r="C12" s="30"/>
      <c r="D12" s="31"/>
      <c r="E12" s="41"/>
      <c r="F12" s="42"/>
      <c r="G12" s="43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305</v>
      </c>
      <c r="B13" s="29" t="s">
        <v>306</v>
      </c>
      <c r="C13" s="30">
        <v>22</v>
      </c>
      <c r="D13" s="31" t="s">
        <v>307</v>
      </c>
      <c r="E13" s="41">
        <v>147</v>
      </c>
      <c r="F13" s="42">
        <v>121.65</v>
      </c>
      <c r="G13" s="43" t="s">
        <v>49</v>
      </c>
      <c r="H13" s="35">
        <v>1829</v>
      </c>
      <c r="I13" s="36">
        <v>3353</v>
      </c>
      <c r="J13" s="37">
        <v>21</v>
      </c>
      <c r="K13" s="38">
        <f t="shared" si="0"/>
        <v>128.78537700000001</v>
      </c>
      <c r="L13" s="39" t="s">
        <v>321</v>
      </c>
    </row>
    <row r="14" spans="1:12" s="27" customFormat="1" ht="19.5" customHeight="1" x14ac:dyDescent="0.3">
      <c r="A14" s="28"/>
      <c r="B14" s="29"/>
      <c r="C14" s="30">
        <v>22</v>
      </c>
      <c r="D14" s="31" t="s">
        <v>320</v>
      </c>
      <c r="E14" s="41">
        <v>147</v>
      </c>
      <c r="F14" s="42">
        <v>120.63</v>
      </c>
      <c r="G14" s="34" t="s">
        <v>18</v>
      </c>
      <c r="H14" s="35">
        <v>1829</v>
      </c>
      <c r="I14" s="36">
        <v>3353</v>
      </c>
      <c r="J14" s="37">
        <v>21</v>
      </c>
      <c r="K14" s="38">
        <f t="shared" si="0"/>
        <v>128.78537700000001</v>
      </c>
      <c r="L14" s="39" t="s">
        <v>321</v>
      </c>
    </row>
    <row r="15" spans="1:12" s="27" customFormat="1" ht="19.5" customHeight="1" x14ac:dyDescent="0.3">
      <c r="A15" s="28"/>
      <c r="B15" s="29"/>
      <c r="C15" s="30"/>
      <c r="D15" s="31"/>
      <c r="E15" s="41"/>
      <c r="F15" s="42"/>
      <c r="G15" s="21" t="s">
        <v>39</v>
      </c>
      <c r="H15" s="35">
        <v>1829</v>
      </c>
      <c r="I15" s="36">
        <v>3353</v>
      </c>
      <c r="J15" s="37">
        <v>42</v>
      </c>
      <c r="K15" s="38">
        <f t="shared" si="0"/>
        <v>257.57075400000002</v>
      </c>
      <c r="L15" s="39" t="s">
        <v>321</v>
      </c>
    </row>
    <row r="16" spans="1:12" s="27" customFormat="1" ht="19.5" customHeight="1" x14ac:dyDescent="0.3">
      <c r="A16" s="28"/>
      <c r="B16" s="29"/>
      <c r="C16" s="30"/>
      <c r="D16" s="31"/>
      <c r="E16" s="41"/>
      <c r="F16" s="4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322</v>
      </c>
      <c r="B17" s="29" t="s">
        <v>306</v>
      </c>
      <c r="C17" s="30">
        <v>22</v>
      </c>
      <c r="D17" s="31" t="s">
        <v>307</v>
      </c>
      <c r="E17" s="41">
        <v>276</v>
      </c>
      <c r="F17" s="42">
        <v>218.84</v>
      </c>
      <c r="G17" s="43" t="s">
        <v>49</v>
      </c>
      <c r="H17" s="35">
        <v>1829</v>
      </c>
      <c r="I17" s="36">
        <v>3353</v>
      </c>
      <c r="J17" s="37">
        <v>38</v>
      </c>
      <c r="K17" s="38">
        <f t="shared" si="0"/>
        <v>233.04020599999998</v>
      </c>
      <c r="L17" s="39" t="s">
        <v>321</v>
      </c>
    </row>
    <row r="18" spans="1:12" s="27" customFormat="1" ht="19.5" customHeight="1" x14ac:dyDescent="0.3">
      <c r="A18" s="28"/>
      <c r="B18" s="29"/>
      <c r="C18" s="30">
        <v>22</v>
      </c>
      <c r="D18" s="31" t="s">
        <v>320</v>
      </c>
      <c r="E18" s="41">
        <v>75</v>
      </c>
      <c r="F18" s="42">
        <v>123.2</v>
      </c>
      <c r="G18" s="34" t="s">
        <v>18</v>
      </c>
      <c r="H18" s="35">
        <v>1829</v>
      </c>
      <c r="I18" s="36">
        <v>3353</v>
      </c>
      <c r="J18" s="37">
        <v>20</v>
      </c>
      <c r="K18" s="38">
        <f t="shared" si="0"/>
        <v>122.65273999999999</v>
      </c>
      <c r="L18" s="39" t="s">
        <v>354</v>
      </c>
    </row>
    <row r="19" spans="1:12" s="27" customFormat="1" ht="19.5" customHeight="1" x14ac:dyDescent="0.3">
      <c r="A19" s="28"/>
      <c r="B19" s="29"/>
      <c r="C19" s="30"/>
      <c r="D19" s="31"/>
      <c r="E19" s="41"/>
      <c r="F19" s="42"/>
      <c r="G19" s="21" t="s">
        <v>39</v>
      </c>
      <c r="H19" s="35">
        <v>1829</v>
      </c>
      <c r="I19" s="36">
        <v>3353</v>
      </c>
      <c r="J19" s="37">
        <v>23</v>
      </c>
      <c r="K19" s="38">
        <f t="shared" si="0"/>
        <v>141.05065099999999</v>
      </c>
      <c r="L19" s="39" t="s">
        <v>321</v>
      </c>
    </row>
    <row r="20" spans="1:12" s="27" customFormat="1" ht="19.5" customHeight="1" x14ac:dyDescent="0.3">
      <c r="A20" s="28"/>
      <c r="B20" s="29"/>
      <c r="C20" s="30"/>
      <c r="D20" s="31"/>
      <c r="E20" s="41"/>
      <c r="F20" s="42"/>
      <c r="G20" s="21" t="s">
        <v>39</v>
      </c>
      <c r="H20" s="35">
        <v>1981</v>
      </c>
      <c r="I20" s="36">
        <v>3353</v>
      </c>
      <c r="J20" s="37">
        <v>15</v>
      </c>
      <c r="K20" s="38">
        <f t="shared" si="0"/>
        <v>99.634395000000012</v>
      </c>
      <c r="L20" s="39" t="s">
        <v>321</v>
      </c>
    </row>
    <row r="21" spans="1:12" s="27" customFormat="1" ht="19.5" customHeight="1" x14ac:dyDescent="0.3">
      <c r="A21" s="28"/>
      <c r="B21" s="29"/>
      <c r="C21" s="30"/>
      <c r="D21" s="31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/>
      <c r="B22" s="29"/>
      <c r="C22" s="30"/>
      <c r="D22" s="31"/>
      <c r="E22" s="41"/>
      <c r="F22" s="42"/>
      <c r="G22" s="43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29"/>
      <c r="C23" s="30"/>
      <c r="D23" s="31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29"/>
      <c r="C24" s="30"/>
      <c r="D24" s="31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29"/>
      <c r="C25" s="30"/>
      <c r="D25" s="31"/>
      <c r="E25" s="41"/>
      <c r="F25" s="42"/>
      <c r="G25" s="43"/>
      <c r="H25" s="35"/>
      <c r="I25" s="36"/>
      <c r="J25" s="37"/>
      <c r="K25" s="38">
        <f t="shared" si="0"/>
        <v>0</v>
      </c>
      <c r="L25" s="39"/>
    </row>
    <row r="26" spans="1:12" s="55" customFormat="1" ht="19.5" customHeight="1" x14ac:dyDescent="0.3">
      <c r="A26" s="44"/>
      <c r="B26" s="45"/>
      <c r="C26" s="46"/>
      <c r="D26" s="47"/>
      <c r="E26" s="48"/>
      <c r="F26" s="49"/>
      <c r="G26" s="50"/>
      <c r="H26" s="51"/>
      <c r="I26" s="45"/>
      <c r="J26" s="52"/>
      <c r="K26" s="53">
        <f t="shared" si="0"/>
        <v>0</v>
      </c>
      <c r="L26" s="54"/>
    </row>
    <row r="27" spans="1:12" s="55" customFormat="1" ht="19.5" customHeight="1" x14ac:dyDescent="0.3">
      <c r="A27" s="44" t="s">
        <v>323</v>
      </c>
      <c r="B27" s="45" t="s">
        <v>187</v>
      </c>
      <c r="C27" s="46">
        <v>28</v>
      </c>
      <c r="D27" s="47" t="s">
        <v>245</v>
      </c>
      <c r="E27" s="48">
        <v>10</v>
      </c>
      <c r="F27" s="49">
        <v>24.35</v>
      </c>
      <c r="G27" s="50" t="s">
        <v>246</v>
      </c>
      <c r="H27" s="51">
        <v>2440</v>
      </c>
      <c r="I27" s="45">
        <v>3050</v>
      </c>
      <c r="J27" s="52">
        <v>6</v>
      </c>
      <c r="K27" s="53">
        <f t="shared" si="0"/>
        <v>44.652000000000001</v>
      </c>
      <c r="L27" s="54" t="s">
        <v>325</v>
      </c>
    </row>
    <row r="28" spans="1:12" s="55" customFormat="1" ht="19.5" customHeight="1" x14ac:dyDescent="0.3">
      <c r="A28" s="44" t="s">
        <v>324</v>
      </c>
      <c r="B28" s="45" t="s">
        <v>187</v>
      </c>
      <c r="C28" s="46">
        <v>28</v>
      </c>
      <c r="D28" s="47" t="s">
        <v>245</v>
      </c>
      <c r="E28" s="48">
        <v>17</v>
      </c>
      <c r="F28" s="49">
        <v>17.899999999999999</v>
      </c>
      <c r="G28" s="50" t="s">
        <v>246</v>
      </c>
      <c r="H28" s="51">
        <v>3050</v>
      </c>
      <c r="I28" s="45">
        <v>4000</v>
      </c>
      <c r="J28" s="52">
        <v>2</v>
      </c>
      <c r="K28" s="53">
        <f t="shared" si="0"/>
        <v>24.4</v>
      </c>
      <c r="L28" s="54" t="s">
        <v>325</v>
      </c>
    </row>
    <row r="29" spans="1:12" s="55" customFormat="1" ht="19.5" customHeight="1" x14ac:dyDescent="0.3">
      <c r="A29" s="44"/>
      <c r="B29" s="45"/>
      <c r="C29" s="46"/>
      <c r="D29" s="47"/>
      <c r="E29" s="48"/>
      <c r="F29" s="49"/>
      <c r="G29" s="50"/>
      <c r="H29" s="51"/>
      <c r="I29" s="45"/>
      <c r="J29" s="52"/>
      <c r="K29" s="53">
        <f t="shared" si="0"/>
        <v>0</v>
      </c>
      <c r="L29" s="54"/>
    </row>
    <row r="30" spans="1:12" s="55" customFormat="1" ht="19.5" customHeight="1" x14ac:dyDescent="0.3">
      <c r="A30" s="44" t="s">
        <v>326</v>
      </c>
      <c r="B30" s="45" t="s">
        <v>187</v>
      </c>
      <c r="C30" s="46">
        <v>28</v>
      </c>
      <c r="D30" s="47" t="s">
        <v>245</v>
      </c>
      <c r="E30" s="48">
        <v>16</v>
      </c>
      <c r="F30" s="49">
        <v>16.98</v>
      </c>
      <c r="G30" s="50" t="s">
        <v>246</v>
      </c>
      <c r="H30" s="51">
        <v>2440</v>
      </c>
      <c r="I30" s="45">
        <v>3050</v>
      </c>
      <c r="J30" s="52">
        <v>6</v>
      </c>
      <c r="K30" s="53">
        <f t="shared" si="0"/>
        <v>44.652000000000001</v>
      </c>
      <c r="L30" s="54" t="s">
        <v>328</v>
      </c>
    </row>
    <row r="31" spans="1:12" s="55" customFormat="1" ht="19.5" customHeight="1" x14ac:dyDescent="0.3">
      <c r="A31" s="44" t="s">
        <v>327</v>
      </c>
      <c r="B31" s="45" t="s">
        <v>187</v>
      </c>
      <c r="C31" s="46">
        <v>28</v>
      </c>
      <c r="D31" s="47" t="s">
        <v>245</v>
      </c>
      <c r="E31" s="48">
        <v>10</v>
      </c>
      <c r="F31" s="49">
        <v>24.35</v>
      </c>
      <c r="G31" s="50" t="s">
        <v>246</v>
      </c>
      <c r="H31" s="51">
        <v>3050</v>
      </c>
      <c r="I31" s="45">
        <v>4000</v>
      </c>
      <c r="J31" s="52">
        <v>1</v>
      </c>
      <c r="K31" s="53">
        <f t="shared" si="0"/>
        <v>12.2</v>
      </c>
      <c r="L31" s="54" t="s">
        <v>328</v>
      </c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329</v>
      </c>
      <c r="B33" s="45" t="s">
        <v>187</v>
      </c>
      <c r="C33" s="46">
        <v>28</v>
      </c>
      <c r="D33" s="47" t="s">
        <v>245</v>
      </c>
      <c r="E33" s="48">
        <v>6</v>
      </c>
      <c r="F33" s="49">
        <v>7.81</v>
      </c>
      <c r="G33" s="50" t="s">
        <v>246</v>
      </c>
      <c r="H33" s="51">
        <v>2440</v>
      </c>
      <c r="I33" s="45">
        <v>3050</v>
      </c>
      <c r="J33" s="52">
        <v>3</v>
      </c>
      <c r="K33" s="53">
        <f t="shared" si="0"/>
        <v>22.326000000000001</v>
      </c>
      <c r="L33" s="54" t="s">
        <v>331</v>
      </c>
    </row>
    <row r="34" spans="1:12" s="55" customFormat="1" ht="19.5" customHeight="1" x14ac:dyDescent="0.3">
      <c r="A34" s="44" t="s">
        <v>330</v>
      </c>
      <c r="B34" s="45" t="s">
        <v>187</v>
      </c>
      <c r="C34" s="46">
        <v>28</v>
      </c>
      <c r="D34" s="47" t="s">
        <v>245</v>
      </c>
      <c r="E34" s="48">
        <v>12</v>
      </c>
      <c r="F34" s="49">
        <v>11.67</v>
      </c>
      <c r="G34" s="50"/>
      <c r="H34" s="51"/>
      <c r="I34" s="45"/>
      <c r="J34" s="52"/>
      <c r="K34" s="53">
        <f t="shared" si="0"/>
        <v>0</v>
      </c>
      <c r="L34" s="54" t="s">
        <v>331</v>
      </c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332</v>
      </c>
      <c r="B36" s="45" t="s">
        <v>187</v>
      </c>
      <c r="C36" s="46">
        <v>28</v>
      </c>
      <c r="D36" s="47" t="s">
        <v>245</v>
      </c>
      <c r="E36" s="48">
        <v>20</v>
      </c>
      <c r="F36" s="49">
        <v>20.34</v>
      </c>
      <c r="G36" s="50" t="s">
        <v>246</v>
      </c>
      <c r="H36" s="51">
        <v>3050</v>
      </c>
      <c r="I36" s="45">
        <v>4000</v>
      </c>
      <c r="J36" s="52">
        <v>2</v>
      </c>
      <c r="K36" s="53">
        <f t="shared" si="0"/>
        <v>24.4</v>
      </c>
      <c r="L36" s="54" t="s">
        <v>247</v>
      </c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333</v>
      </c>
      <c r="B38" s="45" t="s">
        <v>306</v>
      </c>
      <c r="C38" s="46">
        <v>22</v>
      </c>
      <c r="D38" s="47" t="s">
        <v>320</v>
      </c>
      <c r="E38" s="48">
        <v>7</v>
      </c>
      <c r="F38" s="49">
        <v>16.43</v>
      </c>
      <c r="G38" s="50" t="s">
        <v>18</v>
      </c>
      <c r="H38" s="51">
        <v>1981</v>
      </c>
      <c r="I38" s="45">
        <v>3048</v>
      </c>
      <c r="J38" s="52">
        <v>3</v>
      </c>
      <c r="K38" s="53">
        <f t="shared" si="0"/>
        <v>18.114264000000002</v>
      </c>
      <c r="L38" s="54"/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 t="s">
        <v>19</v>
      </c>
      <c r="H39" s="51">
        <v>1981</v>
      </c>
      <c r="I39" s="45">
        <v>3353</v>
      </c>
      <c r="J39" s="52">
        <v>3</v>
      </c>
      <c r="K39" s="53">
        <f t="shared" si="0"/>
        <v>19.926879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>
        <f t="shared" si="0"/>
        <v>0</v>
      </c>
      <c r="L40" s="54"/>
    </row>
    <row r="41" spans="1:12" s="55" customFormat="1" ht="19.5" customHeight="1" x14ac:dyDescent="0.3">
      <c r="A41" s="44" t="s">
        <v>334</v>
      </c>
      <c r="B41" s="45" t="s">
        <v>335</v>
      </c>
      <c r="C41" s="46">
        <v>24</v>
      </c>
      <c r="D41" s="47" t="s">
        <v>34</v>
      </c>
      <c r="E41" s="48">
        <v>2</v>
      </c>
      <c r="F41" s="49">
        <v>0.78</v>
      </c>
      <c r="G41" s="50" t="s">
        <v>336</v>
      </c>
      <c r="H41" s="51">
        <v>2134</v>
      </c>
      <c r="I41" s="45">
        <v>3353</v>
      </c>
      <c r="J41" s="52">
        <v>1</v>
      </c>
      <c r="K41" s="53">
        <f t="shared" si="0"/>
        <v>7.1553019999999998</v>
      </c>
      <c r="L41" s="54" t="s">
        <v>337</v>
      </c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 t="s">
        <v>338</v>
      </c>
      <c r="B43" s="45" t="s">
        <v>187</v>
      </c>
      <c r="C43" s="46">
        <v>28</v>
      </c>
      <c r="D43" s="47" t="s">
        <v>339</v>
      </c>
      <c r="E43" s="48">
        <v>4</v>
      </c>
      <c r="F43" s="49">
        <v>5.18</v>
      </c>
      <c r="G43" s="50" t="s">
        <v>209</v>
      </c>
      <c r="H43" s="51">
        <v>2134</v>
      </c>
      <c r="I43" s="45">
        <v>3353</v>
      </c>
      <c r="J43" s="52">
        <v>1</v>
      </c>
      <c r="K43" s="53">
        <f t="shared" si="0"/>
        <v>7.1553019999999998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340</v>
      </c>
      <c r="B45" s="45" t="s">
        <v>341</v>
      </c>
      <c r="C45" s="46">
        <v>22</v>
      </c>
      <c r="D45" s="47" t="s">
        <v>78</v>
      </c>
      <c r="E45" s="48">
        <v>1</v>
      </c>
      <c r="F45" s="49">
        <v>2.66</v>
      </c>
      <c r="G45" s="50" t="s">
        <v>18</v>
      </c>
      <c r="H45" s="51">
        <v>1981</v>
      </c>
      <c r="I45" s="45">
        <v>3048</v>
      </c>
      <c r="J45" s="52">
        <v>1</v>
      </c>
      <c r="K45" s="53">
        <f t="shared" si="0"/>
        <v>6.038088000000001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342</v>
      </c>
      <c r="B47" s="45" t="s">
        <v>343</v>
      </c>
      <c r="C47" s="46">
        <v>23</v>
      </c>
      <c r="D47" s="47" t="s">
        <v>344</v>
      </c>
      <c r="E47" s="48">
        <v>1</v>
      </c>
      <c r="F47" s="49">
        <v>0.48</v>
      </c>
      <c r="G47" s="50"/>
      <c r="H47" s="51"/>
      <c r="I47" s="45"/>
      <c r="J47" s="52"/>
      <c r="K47" s="53">
        <f t="shared" si="0"/>
        <v>0</v>
      </c>
      <c r="L47" s="54" t="s">
        <v>31</v>
      </c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186</v>
      </c>
      <c r="B49" s="45" t="s">
        <v>187</v>
      </c>
      <c r="C49" s="46">
        <v>28</v>
      </c>
      <c r="D49" s="47" t="s">
        <v>188</v>
      </c>
      <c r="E49" s="48">
        <v>1</v>
      </c>
      <c r="F49" s="49">
        <v>1.71</v>
      </c>
      <c r="G49" s="50"/>
      <c r="H49" s="51"/>
      <c r="I49" s="45"/>
      <c r="J49" s="52"/>
      <c r="K49" s="53">
        <f t="shared" si="0"/>
        <v>0</v>
      </c>
      <c r="L49" s="54" t="s">
        <v>345</v>
      </c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186</v>
      </c>
      <c r="B51" s="45" t="s">
        <v>187</v>
      </c>
      <c r="C51" s="46">
        <v>28</v>
      </c>
      <c r="D51" s="47" t="s">
        <v>188</v>
      </c>
      <c r="E51" s="48">
        <v>2</v>
      </c>
      <c r="F51" s="49">
        <v>1.94</v>
      </c>
      <c r="G51" s="50"/>
      <c r="H51" s="51"/>
      <c r="I51" s="45"/>
      <c r="J51" s="52"/>
      <c r="K51" s="53">
        <f t="shared" si="0"/>
        <v>0</v>
      </c>
      <c r="L51" s="54" t="s">
        <v>346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313</v>
      </c>
      <c r="B53" s="45" t="s">
        <v>16</v>
      </c>
      <c r="C53" s="46">
        <v>22</v>
      </c>
      <c r="D53" s="47" t="s">
        <v>17</v>
      </c>
      <c r="E53" s="48">
        <v>135</v>
      </c>
      <c r="F53" s="49">
        <v>106.2</v>
      </c>
      <c r="G53" s="50" t="s">
        <v>18</v>
      </c>
      <c r="H53" s="51">
        <v>2590</v>
      </c>
      <c r="I53" s="45">
        <v>3048</v>
      </c>
      <c r="J53" s="52">
        <v>14</v>
      </c>
      <c r="K53" s="53">
        <f t="shared" si="0"/>
        <v>110.52047999999999</v>
      </c>
      <c r="L53" s="54" t="s">
        <v>100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 t="s">
        <v>18</v>
      </c>
      <c r="H54" s="51">
        <v>1981</v>
      </c>
      <c r="I54" s="45">
        <v>3048</v>
      </c>
      <c r="J54" s="52">
        <v>1</v>
      </c>
      <c r="K54" s="53">
        <f t="shared" si="0"/>
        <v>6.038088000000001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347</v>
      </c>
      <c r="B56" s="45" t="s">
        <v>145</v>
      </c>
      <c r="C56" s="46">
        <v>24</v>
      </c>
      <c r="D56" s="47" t="s">
        <v>146</v>
      </c>
      <c r="E56" s="48">
        <v>10</v>
      </c>
      <c r="F56" s="49">
        <v>31.4</v>
      </c>
      <c r="G56" s="50" t="s">
        <v>49</v>
      </c>
      <c r="H56" s="51">
        <v>1981</v>
      </c>
      <c r="I56" s="45">
        <v>3353</v>
      </c>
      <c r="J56" s="52">
        <v>5</v>
      </c>
      <c r="K56" s="53">
        <f t="shared" si="0"/>
        <v>33.211465000000004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 t="s">
        <v>62</v>
      </c>
      <c r="H57" s="51">
        <v>1981</v>
      </c>
      <c r="I57" s="45">
        <v>3353</v>
      </c>
      <c r="J57" s="52">
        <v>5</v>
      </c>
      <c r="K57" s="53">
        <f t="shared" si="0"/>
        <v>33.211465000000004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/>
      <c r="H58" s="51"/>
      <c r="I58" s="45"/>
      <c r="J58" s="52"/>
      <c r="K58" s="53">
        <f t="shared" si="0"/>
        <v>0</v>
      </c>
      <c r="L58" s="54"/>
    </row>
    <row r="59" spans="1:12" s="55" customFormat="1" ht="19.5" customHeight="1" x14ac:dyDescent="0.3">
      <c r="A59" s="44" t="s">
        <v>348</v>
      </c>
      <c r="B59" s="45" t="s">
        <v>145</v>
      </c>
      <c r="C59" s="46">
        <v>24</v>
      </c>
      <c r="D59" s="47" t="s">
        <v>146</v>
      </c>
      <c r="E59" s="48">
        <v>10</v>
      </c>
      <c r="F59" s="49">
        <v>31.4</v>
      </c>
      <c r="G59" s="50" t="s">
        <v>49</v>
      </c>
      <c r="H59" s="51">
        <v>1981</v>
      </c>
      <c r="I59" s="45">
        <v>3353</v>
      </c>
      <c r="J59" s="52">
        <v>5</v>
      </c>
      <c r="K59" s="53">
        <f t="shared" si="0"/>
        <v>33.211465000000004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 t="s">
        <v>62</v>
      </c>
      <c r="H60" s="51">
        <v>1981</v>
      </c>
      <c r="I60" s="45">
        <v>3353</v>
      </c>
      <c r="J60" s="52">
        <v>5</v>
      </c>
      <c r="K60" s="53">
        <f t="shared" si="0"/>
        <v>33.211465000000004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ref="K61:K70" si="1">(H61/1000*I61/1000)*J61</f>
        <v>0</v>
      </c>
      <c r="L61" s="54"/>
    </row>
    <row r="62" spans="1:12" s="55" customFormat="1" ht="19.5" customHeight="1" x14ac:dyDescent="0.3">
      <c r="A62" s="44" t="s">
        <v>349</v>
      </c>
      <c r="B62" s="45" t="s">
        <v>145</v>
      </c>
      <c r="C62" s="46">
        <v>24</v>
      </c>
      <c r="D62" s="47" t="s">
        <v>146</v>
      </c>
      <c r="E62" s="48">
        <v>10</v>
      </c>
      <c r="F62" s="49">
        <v>31.4</v>
      </c>
      <c r="G62" s="50" t="s">
        <v>49</v>
      </c>
      <c r="H62" s="51">
        <v>1981</v>
      </c>
      <c r="I62" s="45">
        <v>3353</v>
      </c>
      <c r="J62" s="52">
        <v>5</v>
      </c>
      <c r="K62" s="53">
        <f t="shared" si="1"/>
        <v>33.211465000000004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 t="s">
        <v>62</v>
      </c>
      <c r="H63" s="51">
        <v>1981</v>
      </c>
      <c r="I63" s="45">
        <v>3353</v>
      </c>
      <c r="J63" s="52">
        <v>5</v>
      </c>
      <c r="K63" s="53">
        <f t="shared" si="1"/>
        <v>33.211465000000004</v>
      </c>
      <c r="L63" s="54"/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1"/>
        <v>0</v>
      </c>
      <c r="L64" s="54"/>
    </row>
    <row r="65" spans="1:12" s="55" customFormat="1" ht="19.5" customHeight="1" x14ac:dyDescent="0.3">
      <c r="A65" s="44" t="s">
        <v>350</v>
      </c>
      <c r="B65" s="45" t="s">
        <v>145</v>
      </c>
      <c r="C65" s="46">
        <v>24</v>
      </c>
      <c r="D65" s="47" t="s">
        <v>146</v>
      </c>
      <c r="E65" s="48">
        <v>10</v>
      </c>
      <c r="F65" s="49">
        <v>33.299999999999997</v>
      </c>
      <c r="G65" s="50" t="s">
        <v>49</v>
      </c>
      <c r="H65" s="51">
        <v>1981</v>
      </c>
      <c r="I65" s="45">
        <v>3353</v>
      </c>
      <c r="J65" s="52">
        <v>12</v>
      </c>
      <c r="K65" s="53">
        <f t="shared" si="1"/>
        <v>79.707515999999998</v>
      </c>
      <c r="L65" s="54"/>
    </row>
    <row r="66" spans="1:12" s="55" customFormat="1" ht="19.5" customHeight="1" x14ac:dyDescent="0.3">
      <c r="A66" s="44"/>
      <c r="B66" s="45"/>
      <c r="C66" s="46">
        <v>24</v>
      </c>
      <c r="D66" s="47" t="s">
        <v>45</v>
      </c>
      <c r="E66" s="48">
        <v>30</v>
      </c>
      <c r="F66" s="49">
        <v>37.9</v>
      </c>
      <c r="G66" s="50" t="s">
        <v>62</v>
      </c>
      <c r="H66" s="51">
        <v>1981</v>
      </c>
      <c r="I66" s="45">
        <v>3353</v>
      </c>
      <c r="J66" s="52">
        <v>12</v>
      </c>
      <c r="K66" s="53">
        <f t="shared" si="1"/>
        <v>79.707515999999998</v>
      </c>
      <c r="L66" s="54" t="s">
        <v>405</v>
      </c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1"/>
        <v>0</v>
      </c>
      <c r="L67" s="54"/>
    </row>
    <row r="68" spans="1:12" s="55" customFormat="1" ht="19.5" customHeight="1" x14ac:dyDescent="0.3">
      <c r="A68" s="44" t="s">
        <v>350</v>
      </c>
      <c r="B68" s="45" t="s">
        <v>145</v>
      </c>
      <c r="C68" s="46">
        <v>24</v>
      </c>
      <c r="D68" s="47" t="s">
        <v>45</v>
      </c>
      <c r="E68" s="48">
        <v>50</v>
      </c>
      <c r="F68" s="49">
        <f>14.6+23.4+5.6</f>
        <v>43.6</v>
      </c>
      <c r="G68" s="50" t="s">
        <v>49</v>
      </c>
      <c r="H68" s="51">
        <v>1981</v>
      </c>
      <c r="I68" s="45">
        <v>3353</v>
      </c>
      <c r="J68" s="52">
        <v>9</v>
      </c>
      <c r="K68" s="53">
        <f t="shared" si="1"/>
        <v>59.780637000000006</v>
      </c>
      <c r="L68" s="54" t="s">
        <v>406</v>
      </c>
    </row>
    <row r="69" spans="1:12" s="55" customFormat="1" ht="19.5" customHeight="1" x14ac:dyDescent="0.3">
      <c r="A69" s="44"/>
      <c r="B69" s="45"/>
      <c r="C69" s="46">
        <v>22</v>
      </c>
      <c r="D69" s="47" t="s">
        <v>45</v>
      </c>
      <c r="E69" s="48">
        <v>10</v>
      </c>
      <c r="F69" s="49">
        <v>11.7</v>
      </c>
      <c r="G69" s="50"/>
      <c r="H69" s="51"/>
      <c r="I69" s="45"/>
      <c r="J69" s="52"/>
      <c r="K69" s="53">
        <f t="shared" si="1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1"/>
        <v>0</v>
      </c>
      <c r="L70" s="54"/>
    </row>
    <row r="71" spans="1:12" s="59" customFormat="1" ht="20.100000000000001" customHeight="1" x14ac:dyDescent="0.3">
      <c r="A71" s="44"/>
      <c r="B71" s="45"/>
      <c r="C71" s="46"/>
      <c r="D71" s="47"/>
      <c r="E71" s="56"/>
      <c r="F71" s="57"/>
      <c r="G71" s="50"/>
      <c r="H71" s="51"/>
      <c r="I71" s="45"/>
      <c r="J71" s="52"/>
      <c r="K71" s="53">
        <f t="shared" si="0"/>
        <v>0</v>
      </c>
      <c r="L71" s="58">
        <f>SUM(J26:J72)</f>
        <v>107</v>
      </c>
    </row>
    <row r="72" spans="1:12" s="59" customFormat="1" ht="20.100000000000001" customHeight="1" x14ac:dyDescent="0.3">
      <c r="A72" s="44"/>
      <c r="B72" s="45"/>
      <c r="C72" s="46"/>
      <c r="D72" s="47"/>
      <c r="E72" s="60"/>
      <c r="F72" s="61"/>
      <c r="G72" s="62"/>
      <c r="H72" s="51"/>
      <c r="I72" s="45"/>
      <c r="J72" s="63"/>
      <c r="K72" s="53">
        <f t="shared" si="0"/>
        <v>0</v>
      </c>
      <c r="L72" s="64">
        <f>SUM(K26:K72)</f>
        <v>766.04286199999967</v>
      </c>
    </row>
    <row r="73" spans="1:12" s="59" customFormat="1" ht="20.100000000000001" customHeight="1" thickBot="1" x14ac:dyDescent="0.35">
      <c r="A73" s="114"/>
      <c r="B73" s="115"/>
      <c r="C73" s="115"/>
      <c r="D73" s="115"/>
      <c r="E73" s="115"/>
      <c r="F73" s="115"/>
      <c r="G73" s="115"/>
      <c r="H73" s="115"/>
      <c r="I73" s="115"/>
      <c r="J73" s="65">
        <f>SUM(J7:J72)</f>
        <v>289</v>
      </c>
      <c r="K73" s="66">
        <f>SUM(K7:K72)</f>
        <v>1889.8276360000007</v>
      </c>
      <c r="L73" s="67"/>
    </row>
    <row r="74" spans="1:12" s="59" customFormat="1" ht="20.100000000000001" customHeight="1" thickTop="1" thickBot="1" x14ac:dyDescent="0.35">
      <c r="A74" s="116" t="s">
        <v>52</v>
      </c>
      <c r="B74" s="117"/>
      <c r="C74" s="68"/>
      <c r="D74" s="118">
        <f>J73</f>
        <v>289</v>
      </c>
      <c r="E74" s="119"/>
      <c r="F74" s="119"/>
      <c r="G74" s="120"/>
      <c r="H74" s="121"/>
      <c r="I74" s="121"/>
      <c r="J74" s="122"/>
      <c r="K74" s="119"/>
      <c r="L74" s="123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71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72"/>
      <c r="F80" s="5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5"/>
      <c r="G81" s="73"/>
      <c r="H81" s="5"/>
      <c r="I81" s="74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113"/>
      <c r="B85" s="113"/>
      <c r="C85" s="5"/>
      <c r="D85" s="5"/>
      <c r="E85" s="5"/>
      <c r="F85" s="70"/>
      <c r="G85" s="5"/>
      <c r="H85" s="72"/>
      <c r="I85" s="72"/>
      <c r="J85" s="5"/>
      <c r="K85" s="5"/>
      <c r="L85" s="5"/>
    </row>
    <row r="86" spans="1:12" ht="20.100000000000001" customHeight="1" x14ac:dyDescent="0.3">
      <c r="A86" s="113"/>
      <c r="B86" s="113"/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H88" s="72"/>
      <c r="I88" s="72"/>
    </row>
    <row r="89" spans="1:12" ht="20.100000000000001" customHeight="1" x14ac:dyDescent="0.3">
      <c r="A89" s="113"/>
      <c r="B89" s="113"/>
      <c r="H89" s="72"/>
      <c r="I89" s="72"/>
    </row>
    <row r="90" spans="1:12" ht="20.100000000000001" customHeight="1" x14ac:dyDescent="0.3">
      <c r="A90" s="113"/>
      <c r="B90" s="113"/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H92" s="72"/>
      <c r="I92" s="72"/>
    </row>
    <row r="93" spans="1:12" ht="20.100000000000001" customHeight="1" x14ac:dyDescent="0.3">
      <c r="H93" s="72"/>
      <c r="I93" s="72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J94" s="5"/>
      <c r="K94" s="5"/>
      <c r="L94" s="5"/>
    </row>
    <row r="95" spans="1:12" s="72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5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5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5" customFormat="1" ht="19.5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2" customFormat="1" ht="20.100000000000001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ht="19.5" customHeight="1" x14ac:dyDescent="0.3"/>
    <row r="102" spans="1:12" ht="19.5" customHeight="1" x14ac:dyDescent="0.3"/>
    <row r="103" spans="1:12" ht="19.5" customHeight="1" x14ac:dyDescent="0.3"/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>
        <v>2</v>
      </c>
      <c r="C164" s="5"/>
      <c r="D164" s="5"/>
      <c r="E164" s="5"/>
      <c r="F164" s="70"/>
      <c r="G164" s="5"/>
      <c r="H164" s="5"/>
      <c r="I164" s="5"/>
      <c r="J164" s="5"/>
      <c r="K164" s="5"/>
      <c r="L164" s="5"/>
    </row>
  </sheetData>
  <mergeCells count="30">
    <mergeCell ref="A89:B89"/>
    <mergeCell ref="A90:B90"/>
    <mergeCell ref="A80:B80"/>
    <mergeCell ref="A81:B81"/>
    <mergeCell ref="A82:B82"/>
    <mergeCell ref="A84:B84"/>
    <mergeCell ref="A85:B85"/>
    <mergeCell ref="A86:B86"/>
    <mergeCell ref="A79:B79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3:I73"/>
    <mergeCell ref="A74:B74"/>
    <mergeCell ref="D74:G74"/>
    <mergeCell ref="H74:J74"/>
    <mergeCell ref="K74:L74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pageSetUpPr fitToPage="1"/>
  </sheetPr>
  <dimension ref="A1:L172"/>
  <sheetViews>
    <sheetView view="pageBreakPreview" topLeftCell="B33" zoomScale="85" zoomScaleSheetLayoutView="85" workbookViewId="0">
      <selection activeCell="B64" sqref="B6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46031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0" si="0">(H7/1000*I7/1000)*J7</f>
        <v>0</v>
      </c>
      <c r="L7" s="26">
        <f>SUM(J7:J42)</f>
        <v>148</v>
      </c>
    </row>
    <row r="8" spans="1:12" s="27" customFormat="1" ht="19.5" customHeight="1" x14ac:dyDescent="0.3">
      <c r="A8" s="28"/>
      <c r="B8" s="29"/>
      <c r="C8" s="30"/>
      <c r="D8" s="31"/>
      <c r="E8" s="32"/>
      <c r="F8" s="33"/>
      <c r="G8" s="34"/>
      <c r="H8" s="35"/>
      <c r="I8" s="36"/>
      <c r="J8" s="37"/>
      <c r="K8" s="38">
        <f t="shared" si="0"/>
        <v>0</v>
      </c>
      <c r="L8" s="39">
        <f>SUM(K7:K42)</f>
        <v>1078.998423</v>
      </c>
    </row>
    <row r="9" spans="1:12" s="27" customFormat="1" ht="19.5" customHeight="1" x14ac:dyDescent="0.3">
      <c r="A9" s="28" t="s">
        <v>275</v>
      </c>
      <c r="B9" s="29" t="s">
        <v>145</v>
      </c>
      <c r="C9" s="30">
        <v>24</v>
      </c>
      <c r="D9" s="31" t="s">
        <v>17</v>
      </c>
      <c r="E9" s="41">
        <v>5</v>
      </c>
      <c r="F9" s="42">
        <v>3.27</v>
      </c>
      <c r="G9" s="34" t="s">
        <v>18</v>
      </c>
      <c r="H9" s="35">
        <v>2438</v>
      </c>
      <c r="I9" s="36">
        <v>3353</v>
      </c>
      <c r="J9" s="37">
        <v>2</v>
      </c>
      <c r="K9" s="38">
        <f t="shared" si="0"/>
        <v>16.349228</v>
      </c>
      <c r="L9" s="39" t="s">
        <v>284</v>
      </c>
    </row>
    <row r="10" spans="1:12" s="27" customFormat="1" ht="19.5" customHeight="1" x14ac:dyDescent="0.3">
      <c r="A10" s="28"/>
      <c r="B10" s="29"/>
      <c r="C10" s="30">
        <v>8</v>
      </c>
      <c r="D10" s="31" t="s">
        <v>276</v>
      </c>
      <c r="E10" s="41">
        <v>2</v>
      </c>
      <c r="F10" s="42">
        <v>1.22</v>
      </c>
      <c r="G10" s="34" t="s">
        <v>19</v>
      </c>
      <c r="H10" s="35">
        <v>1829</v>
      </c>
      <c r="I10" s="36">
        <v>3353</v>
      </c>
      <c r="J10" s="37">
        <v>1</v>
      </c>
      <c r="K10" s="38">
        <f t="shared" si="0"/>
        <v>6.1326369999999999</v>
      </c>
      <c r="L10" s="39" t="s">
        <v>31</v>
      </c>
    </row>
    <row r="11" spans="1:12" s="27" customFormat="1" ht="19.5" customHeight="1" x14ac:dyDescent="0.3">
      <c r="A11" s="28" t="s">
        <v>277</v>
      </c>
      <c r="B11" s="29" t="s">
        <v>278</v>
      </c>
      <c r="C11" s="30">
        <v>16</v>
      </c>
      <c r="D11" s="31" t="s">
        <v>279</v>
      </c>
      <c r="E11" s="41">
        <v>1</v>
      </c>
      <c r="F11" s="42">
        <v>0.51</v>
      </c>
      <c r="G11" s="34"/>
      <c r="H11" s="35"/>
      <c r="I11" s="36"/>
      <c r="J11" s="37"/>
      <c r="K11" s="38">
        <f t="shared" si="0"/>
        <v>0</v>
      </c>
      <c r="L11" s="39" t="s">
        <v>284</v>
      </c>
    </row>
    <row r="12" spans="1:12" s="27" customFormat="1" ht="19.5" customHeight="1" x14ac:dyDescent="0.3">
      <c r="A12" s="28" t="s">
        <v>280</v>
      </c>
      <c r="B12" s="29" t="s">
        <v>281</v>
      </c>
      <c r="C12" s="30">
        <v>24</v>
      </c>
      <c r="D12" s="31" t="s">
        <v>282</v>
      </c>
      <c r="E12" s="41">
        <v>4</v>
      </c>
      <c r="F12" s="42">
        <v>7.64</v>
      </c>
      <c r="G12" s="43" t="s">
        <v>39</v>
      </c>
      <c r="H12" s="35">
        <v>1829</v>
      </c>
      <c r="I12" s="36">
        <v>3353</v>
      </c>
      <c r="J12" s="37">
        <v>2</v>
      </c>
      <c r="K12" s="38">
        <f t="shared" si="0"/>
        <v>12.265274</v>
      </c>
      <c r="L12" s="39" t="s">
        <v>284</v>
      </c>
    </row>
    <row r="13" spans="1:12" s="27" customFormat="1" ht="19.5" customHeight="1" x14ac:dyDescent="0.3">
      <c r="A13" s="28"/>
      <c r="B13" s="29"/>
      <c r="C13" s="30">
        <v>24</v>
      </c>
      <c r="D13" s="31" t="s">
        <v>283</v>
      </c>
      <c r="E13" s="41">
        <v>2</v>
      </c>
      <c r="F13" s="42">
        <v>0.6</v>
      </c>
      <c r="G13" s="43"/>
      <c r="H13" s="35"/>
      <c r="I13" s="36"/>
      <c r="J13" s="37"/>
      <c r="K13" s="38">
        <f t="shared" si="0"/>
        <v>0</v>
      </c>
      <c r="L13" s="39" t="s">
        <v>285</v>
      </c>
    </row>
    <row r="14" spans="1:12" s="27" customFormat="1" ht="19.5" customHeight="1" x14ac:dyDescent="0.3">
      <c r="A14" s="28"/>
      <c r="B14" s="29"/>
      <c r="C14" s="30"/>
      <c r="D14" s="31"/>
      <c r="E14" s="41"/>
      <c r="F14" s="42"/>
      <c r="G14" s="34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225</v>
      </c>
      <c r="B15" s="29" t="s">
        <v>21</v>
      </c>
      <c r="C15" s="30">
        <v>22</v>
      </c>
      <c r="D15" s="31" t="s">
        <v>17</v>
      </c>
      <c r="E15" s="41">
        <v>250</v>
      </c>
      <c r="F15" s="42">
        <v>215.9</v>
      </c>
      <c r="G15" s="34" t="s">
        <v>18</v>
      </c>
      <c r="H15" s="35">
        <v>2590</v>
      </c>
      <c r="I15" s="36">
        <v>3353</v>
      </c>
      <c r="J15" s="37">
        <v>27</v>
      </c>
      <c r="K15" s="38">
        <f t="shared" si="0"/>
        <v>234.47528999999994</v>
      </c>
      <c r="L15" s="39"/>
    </row>
    <row r="16" spans="1:12" s="27" customFormat="1" ht="19.5" customHeight="1" x14ac:dyDescent="0.3">
      <c r="A16" s="28"/>
      <c r="B16" s="29"/>
      <c r="C16" s="30"/>
      <c r="D16" s="31"/>
      <c r="E16" s="41"/>
      <c r="F16" s="42"/>
      <c r="G16" s="34" t="s">
        <v>19</v>
      </c>
      <c r="H16" s="35">
        <v>1981</v>
      </c>
      <c r="I16" s="36">
        <v>3353</v>
      </c>
      <c r="J16" s="37">
        <v>35</v>
      </c>
      <c r="K16" s="38">
        <f t="shared" si="0"/>
        <v>232.48025500000003</v>
      </c>
      <c r="L16" s="39"/>
    </row>
    <row r="17" spans="1:12" s="27" customFormat="1" ht="19.5" customHeight="1" x14ac:dyDescent="0.3">
      <c r="A17" s="28"/>
      <c r="B17" s="29"/>
      <c r="C17" s="30"/>
      <c r="D17" s="31"/>
      <c r="E17" s="41"/>
      <c r="F17" s="42"/>
      <c r="G17" s="43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287</v>
      </c>
      <c r="B18" s="29" t="s">
        <v>288</v>
      </c>
      <c r="C18" s="30">
        <v>24</v>
      </c>
      <c r="D18" s="31" t="s">
        <v>55</v>
      </c>
      <c r="E18" s="41">
        <v>128</v>
      </c>
      <c r="F18" s="42">
        <v>56.52</v>
      </c>
      <c r="G18" s="43" t="s">
        <v>18</v>
      </c>
      <c r="H18" s="35">
        <v>2590</v>
      </c>
      <c r="I18" s="36">
        <v>3048</v>
      </c>
      <c r="J18" s="37">
        <v>7</v>
      </c>
      <c r="K18" s="38">
        <f t="shared" si="0"/>
        <v>55.260239999999996</v>
      </c>
      <c r="L18" s="39"/>
    </row>
    <row r="19" spans="1:12" s="27" customFormat="1" ht="19.5" customHeight="1" x14ac:dyDescent="0.3">
      <c r="A19" s="28"/>
      <c r="B19" s="29"/>
      <c r="C19" s="30"/>
      <c r="D19" s="31"/>
      <c r="E19" s="41"/>
      <c r="F19" s="42"/>
      <c r="G19" s="34" t="s">
        <v>56</v>
      </c>
      <c r="H19" s="35">
        <v>2438</v>
      </c>
      <c r="I19" s="36">
        <v>3353</v>
      </c>
      <c r="J19" s="37">
        <v>7</v>
      </c>
      <c r="K19" s="38">
        <f t="shared" si="0"/>
        <v>57.222298000000002</v>
      </c>
      <c r="L19" s="39"/>
    </row>
    <row r="20" spans="1:12" s="27" customFormat="1" ht="19.5" customHeight="1" x14ac:dyDescent="0.3">
      <c r="A20" s="28"/>
      <c r="B20" s="29"/>
      <c r="C20" s="30"/>
      <c r="D20" s="31"/>
      <c r="E20" s="41"/>
      <c r="F20" s="42"/>
      <c r="G20" s="34" t="s">
        <v>56</v>
      </c>
      <c r="H20" s="35">
        <v>1981</v>
      </c>
      <c r="I20" s="36">
        <v>3048</v>
      </c>
      <c r="J20" s="37">
        <v>1</v>
      </c>
      <c r="K20" s="38">
        <f t="shared" si="0"/>
        <v>6.038088000000001</v>
      </c>
      <c r="L20" s="39"/>
    </row>
    <row r="21" spans="1:12" s="27" customFormat="1" ht="19.5" customHeight="1" x14ac:dyDescent="0.3">
      <c r="A21" s="28"/>
      <c r="B21" s="29"/>
      <c r="C21" s="30"/>
      <c r="D21" s="31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 t="s">
        <v>287</v>
      </c>
      <c r="B22" s="29" t="s">
        <v>288</v>
      </c>
      <c r="C22" s="30">
        <v>24</v>
      </c>
      <c r="D22" s="31" t="s">
        <v>289</v>
      </c>
      <c r="E22" s="41">
        <v>3</v>
      </c>
      <c r="F22" s="42">
        <v>3.93</v>
      </c>
      <c r="G22" s="43" t="s">
        <v>291</v>
      </c>
      <c r="H22" s="35">
        <v>2438</v>
      </c>
      <c r="I22" s="36">
        <v>3048</v>
      </c>
      <c r="J22" s="37">
        <v>1</v>
      </c>
      <c r="K22" s="38">
        <f t="shared" si="0"/>
        <v>7.4310240000000007</v>
      </c>
      <c r="L22" s="39" t="s">
        <v>292</v>
      </c>
    </row>
    <row r="23" spans="1:12" s="27" customFormat="1" ht="19.5" customHeight="1" x14ac:dyDescent="0.3">
      <c r="A23" s="28" t="s">
        <v>290</v>
      </c>
      <c r="B23" s="29" t="s">
        <v>288</v>
      </c>
      <c r="C23" s="30">
        <v>24</v>
      </c>
      <c r="D23" s="31" t="s">
        <v>289</v>
      </c>
      <c r="E23" s="41">
        <v>3</v>
      </c>
      <c r="F23" s="42">
        <v>4.01</v>
      </c>
      <c r="G23" s="34"/>
      <c r="H23" s="35"/>
      <c r="I23" s="36"/>
      <c r="J23" s="37"/>
      <c r="K23" s="38">
        <f t="shared" si="0"/>
        <v>0</v>
      </c>
      <c r="L23" s="39" t="s">
        <v>292</v>
      </c>
    </row>
    <row r="24" spans="1:12" s="27" customFormat="1" ht="19.5" customHeight="1" x14ac:dyDescent="0.3">
      <c r="A24" s="28"/>
      <c r="B24" s="29"/>
      <c r="C24" s="30"/>
      <c r="D24" s="31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290</v>
      </c>
      <c r="B25" s="29" t="s">
        <v>288</v>
      </c>
      <c r="C25" s="30">
        <v>24</v>
      </c>
      <c r="D25" s="31" t="s">
        <v>55</v>
      </c>
      <c r="E25" s="41">
        <v>128</v>
      </c>
      <c r="F25" s="42">
        <v>55.72</v>
      </c>
      <c r="G25" s="43" t="s">
        <v>18</v>
      </c>
      <c r="H25" s="35">
        <v>1981</v>
      </c>
      <c r="I25" s="36">
        <v>3048</v>
      </c>
      <c r="J25" s="37">
        <v>10</v>
      </c>
      <c r="K25" s="38">
        <f t="shared" si="0"/>
        <v>60.380880000000012</v>
      </c>
      <c r="L25" s="39"/>
    </row>
    <row r="26" spans="1:12" s="27" customFormat="1" ht="19.5" customHeight="1" x14ac:dyDescent="0.3">
      <c r="A26" s="28"/>
      <c r="B26" s="29"/>
      <c r="C26" s="30"/>
      <c r="D26" s="31"/>
      <c r="E26" s="41"/>
      <c r="F26" s="42"/>
      <c r="G26" s="34" t="s">
        <v>56</v>
      </c>
      <c r="H26" s="35">
        <v>1981</v>
      </c>
      <c r="I26" s="36">
        <v>3048</v>
      </c>
      <c r="J26" s="37">
        <v>9</v>
      </c>
      <c r="K26" s="38">
        <f t="shared" si="0"/>
        <v>54.34279200000001</v>
      </c>
      <c r="L26" s="39"/>
    </row>
    <row r="27" spans="1:12" s="27" customFormat="1" ht="19.5" customHeight="1" x14ac:dyDescent="0.3">
      <c r="A27" s="28"/>
      <c r="B27" s="29"/>
      <c r="C27" s="30"/>
      <c r="D27" s="31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 t="s">
        <v>57</v>
      </c>
      <c r="B28" s="29"/>
      <c r="C28" s="30"/>
      <c r="D28" s="31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 t="s">
        <v>300</v>
      </c>
      <c r="B29" s="29" t="s">
        <v>301</v>
      </c>
      <c r="C29" s="30">
        <v>5</v>
      </c>
      <c r="D29" s="31" t="s">
        <v>302</v>
      </c>
      <c r="E29" s="41">
        <v>246</v>
      </c>
      <c r="F29" s="42">
        <v>175.78</v>
      </c>
      <c r="G29" s="34" t="s">
        <v>303</v>
      </c>
      <c r="H29" s="35">
        <v>2438</v>
      </c>
      <c r="I29" s="36">
        <v>3353</v>
      </c>
      <c r="J29" s="37">
        <v>13</v>
      </c>
      <c r="K29" s="38">
        <f t="shared" si="0"/>
        <v>106.269982</v>
      </c>
      <c r="L29" s="39"/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34" t="s">
        <v>303</v>
      </c>
      <c r="H30" s="35">
        <v>2590</v>
      </c>
      <c r="I30" s="36">
        <v>3353</v>
      </c>
      <c r="J30" s="37">
        <v>10</v>
      </c>
      <c r="K30" s="38">
        <f t="shared" si="0"/>
        <v>86.842699999999979</v>
      </c>
      <c r="L30" s="39"/>
    </row>
    <row r="31" spans="1:12" s="27" customFormat="1" ht="19.5" customHeight="1" x14ac:dyDescent="0.3">
      <c r="A31" s="28"/>
      <c r="B31" s="29"/>
      <c r="C31" s="30"/>
      <c r="D31" s="31"/>
      <c r="E31" s="41"/>
      <c r="F31" s="42"/>
      <c r="G31" s="34" t="s">
        <v>303</v>
      </c>
      <c r="H31" s="35">
        <v>1981</v>
      </c>
      <c r="I31" s="36">
        <v>3048</v>
      </c>
      <c r="J31" s="37">
        <v>1</v>
      </c>
      <c r="K31" s="38">
        <f t="shared" si="0"/>
        <v>6.038088000000001</v>
      </c>
      <c r="L31" s="39"/>
    </row>
    <row r="32" spans="1:12" s="27" customFormat="1" ht="19.5" customHeight="1" x14ac:dyDescent="0.3">
      <c r="A32" s="28"/>
      <c r="B32" s="29"/>
      <c r="C32" s="30"/>
      <c r="D32" s="31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 t="s">
        <v>287</v>
      </c>
      <c r="B33" s="29" t="s">
        <v>288</v>
      </c>
      <c r="C33" s="30">
        <v>24</v>
      </c>
      <c r="D33" s="31" t="s">
        <v>289</v>
      </c>
      <c r="E33" s="41">
        <v>3</v>
      </c>
      <c r="F33" s="42">
        <v>3.93</v>
      </c>
      <c r="G33" s="34" t="s">
        <v>303</v>
      </c>
      <c r="H33" s="35">
        <v>2590</v>
      </c>
      <c r="I33" s="36">
        <v>3353</v>
      </c>
      <c r="J33" s="37">
        <v>1</v>
      </c>
      <c r="K33" s="38">
        <f t="shared" si="0"/>
        <v>8.6842699999999979</v>
      </c>
      <c r="L33" s="39" t="s">
        <v>304</v>
      </c>
    </row>
    <row r="34" spans="1:12" s="27" customFormat="1" ht="19.5" customHeight="1" x14ac:dyDescent="0.3">
      <c r="A34" s="28" t="s">
        <v>290</v>
      </c>
      <c r="B34" s="29" t="s">
        <v>288</v>
      </c>
      <c r="C34" s="30">
        <v>24</v>
      </c>
      <c r="D34" s="31" t="s">
        <v>289</v>
      </c>
      <c r="E34" s="41">
        <v>3</v>
      </c>
      <c r="F34" s="42">
        <v>4.01</v>
      </c>
      <c r="G34" s="34"/>
      <c r="H34" s="35"/>
      <c r="I34" s="36"/>
      <c r="J34" s="37"/>
      <c r="K34" s="38">
        <f t="shared" si="0"/>
        <v>0</v>
      </c>
      <c r="L34" s="39" t="s">
        <v>304</v>
      </c>
    </row>
    <row r="35" spans="1:12" s="27" customFormat="1" ht="19.5" customHeight="1" x14ac:dyDescent="0.3">
      <c r="A35" s="28"/>
      <c r="B35" s="29"/>
      <c r="C35" s="30"/>
      <c r="D35" s="31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 t="s">
        <v>305</v>
      </c>
      <c r="B36" s="29" t="s">
        <v>306</v>
      </c>
      <c r="C36" s="30">
        <v>22</v>
      </c>
      <c r="D36" s="31" t="s">
        <v>307</v>
      </c>
      <c r="E36" s="41">
        <v>147</v>
      </c>
      <c r="F36" s="42">
        <v>121.65</v>
      </c>
      <c r="G36" s="34" t="s">
        <v>308</v>
      </c>
      <c r="H36" s="35">
        <v>1829</v>
      </c>
      <c r="I36" s="36">
        <v>3353</v>
      </c>
      <c r="J36" s="37">
        <v>21</v>
      </c>
      <c r="K36" s="38">
        <f t="shared" si="0"/>
        <v>128.78537700000001</v>
      </c>
      <c r="L36" s="39" t="s">
        <v>309</v>
      </c>
    </row>
    <row r="37" spans="1:12" s="27" customFormat="1" ht="19.5" customHeight="1" x14ac:dyDescent="0.3">
      <c r="A37" s="28"/>
      <c r="B37" s="29"/>
      <c r="C37" s="30"/>
      <c r="D37" s="31"/>
      <c r="E37" s="41"/>
      <c r="F37" s="42"/>
      <c r="G37" s="34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/>
      <c r="B39" s="29"/>
      <c r="C39" s="30"/>
      <c r="D39" s="31"/>
      <c r="E39" s="41"/>
      <c r="F39" s="42"/>
      <c r="G39" s="34"/>
      <c r="H39" s="35"/>
      <c r="I39" s="36"/>
      <c r="J39" s="37"/>
      <c r="K39" s="38">
        <f t="shared" si="0"/>
        <v>0</v>
      </c>
      <c r="L39" s="39"/>
    </row>
    <row r="40" spans="1:12" s="27" customFormat="1" ht="19.5" customHeight="1" x14ac:dyDescent="0.3">
      <c r="A40" s="28"/>
      <c r="B40" s="29"/>
      <c r="C40" s="30"/>
      <c r="D40" s="31"/>
      <c r="E40" s="41"/>
      <c r="F40" s="42"/>
      <c r="G40" s="34"/>
      <c r="H40" s="35"/>
      <c r="I40" s="36"/>
      <c r="J40" s="37"/>
      <c r="K40" s="38">
        <f t="shared" si="0"/>
        <v>0</v>
      </c>
      <c r="L40" s="39"/>
    </row>
    <row r="41" spans="1:12" s="27" customFormat="1" ht="19.5" customHeight="1" x14ac:dyDescent="0.3">
      <c r="A41" s="28"/>
      <c r="B41" s="29"/>
      <c r="C41" s="30"/>
      <c r="D41" s="31"/>
      <c r="E41" s="41"/>
      <c r="F41" s="42"/>
      <c r="G41" s="34"/>
      <c r="H41" s="35"/>
      <c r="I41" s="36"/>
      <c r="J41" s="37"/>
      <c r="K41" s="38">
        <f t="shared" si="0"/>
        <v>0</v>
      </c>
      <c r="L41" s="39"/>
    </row>
    <row r="42" spans="1:12" s="27" customFormat="1" ht="19.5" customHeight="1" x14ac:dyDescent="0.3">
      <c r="A42" s="28"/>
      <c r="B42" s="29"/>
      <c r="C42" s="30"/>
      <c r="D42" s="31"/>
      <c r="E42" s="41"/>
      <c r="F42" s="42"/>
      <c r="G42" s="43"/>
      <c r="H42" s="35"/>
      <c r="I42" s="36"/>
      <c r="J42" s="37"/>
      <c r="K42" s="38">
        <f t="shared" si="0"/>
        <v>0</v>
      </c>
      <c r="L42" s="39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293</v>
      </c>
      <c r="B44" s="45" t="s">
        <v>110</v>
      </c>
      <c r="C44" s="46">
        <v>24</v>
      </c>
      <c r="D44" s="47" t="s">
        <v>55</v>
      </c>
      <c r="E44" s="48">
        <v>86</v>
      </c>
      <c r="F44" s="49">
        <v>34.28</v>
      </c>
      <c r="G44" s="50" t="s">
        <v>56</v>
      </c>
      <c r="H44" s="51">
        <v>1981</v>
      </c>
      <c r="I44" s="45">
        <v>3048</v>
      </c>
      <c r="J44" s="52">
        <v>6</v>
      </c>
      <c r="K44" s="53">
        <f t="shared" si="0"/>
        <v>36.228528000000004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18</v>
      </c>
      <c r="H45" s="51">
        <v>1981</v>
      </c>
      <c r="I45" s="45">
        <v>3048</v>
      </c>
      <c r="J45" s="52">
        <v>6</v>
      </c>
      <c r="K45" s="53">
        <f t="shared" si="0"/>
        <v>36.228528000000004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 t="s">
        <v>294</v>
      </c>
      <c r="B47" s="45" t="s">
        <v>16</v>
      </c>
      <c r="C47" s="46">
        <v>22</v>
      </c>
      <c r="D47" s="47" t="s">
        <v>45</v>
      </c>
      <c r="E47" s="48">
        <f>163-20</f>
        <v>143</v>
      </c>
      <c r="F47" s="49">
        <f>124.84-24.84-2.54</f>
        <v>97.46</v>
      </c>
      <c r="G47" s="50" t="s">
        <v>49</v>
      </c>
      <c r="H47" s="51">
        <v>1829</v>
      </c>
      <c r="I47" s="45">
        <v>3353</v>
      </c>
      <c r="J47" s="52">
        <v>21</v>
      </c>
      <c r="K47" s="53">
        <f t="shared" si="0"/>
        <v>128.78537700000001</v>
      </c>
      <c r="L47" s="54"/>
    </row>
    <row r="48" spans="1:12" s="55" customFormat="1" ht="19.5" customHeight="1" x14ac:dyDescent="0.3">
      <c r="A48" s="44"/>
      <c r="B48" s="45"/>
      <c r="C48" s="46">
        <v>22</v>
      </c>
      <c r="D48" s="47" t="s">
        <v>17</v>
      </c>
      <c r="E48" s="48">
        <v>135</v>
      </c>
      <c r="F48" s="49">
        <v>106.2</v>
      </c>
      <c r="G48" s="50" t="s">
        <v>18</v>
      </c>
      <c r="H48" s="51">
        <v>2590</v>
      </c>
      <c r="I48" s="45">
        <v>3048</v>
      </c>
      <c r="J48" s="52">
        <v>14</v>
      </c>
      <c r="K48" s="53">
        <f t="shared" si="0"/>
        <v>110.52047999999999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 t="s">
        <v>19</v>
      </c>
      <c r="H49" s="51">
        <v>1829</v>
      </c>
      <c r="I49" s="45">
        <v>3353</v>
      </c>
      <c r="J49" s="52">
        <v>35</v>
      </c>
      <c r="K49" s="53">
        <f t="shared" si="0"/>
        <v>214.64229499999999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 t="s">
        <v>295</v>
      </c>
      <c r="B51" s="45" t="s">
        <v>296</v>
      </c>
      <c r="C51" s="46">
        <v>24</v>
      </c>
      <c r="D51" s="47" t="s">
        <v>89</v>
      </c>
      <c r="E51" s="48">
        <v>1</v>
      </c>
      <c r="F51" s="49">
        <v>0.28000000000000003</v>
      </c>
      <c r="G51" s="50"/>
      <c r="H51" s="51"/>
      <c r="I51" s="45"/>
      <c r="J51" s="52"/>
      <c r="K51" s="53">
        <f t="shared" si="0"/>
        <v>0</v>
      </c>
      <c r="L51" s="54" t="s">
        <v>31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162</v>
      </c>
      <c r="B53" s="45" t="s">
        <v>54</v>
      </c>
      <c r="C53" s="46">
        <v>24</v>
      </c>
      <c r="D53" s="47" t="s">
        <v>89</v>
      </c>
      <c r="E53" s="48">
        <v>2</v>
      </c>
      <c r="F53" s="49">
        <v>4.42</v>
      </c>
      <c r="G53" s="50" t="s">
        <v>91</v>
      </c>
      <c r="H53" s="51">
        <v>2438</v>
      </c>
      <c r="I53" s="45">
        <v>3353</v>
      </c>
      <c r="J53" s="52">
        <v>1</v>
      </c>
      <c r="K53" s="53">
        <f t="shared" si="0"/>
        <v>8.174614</v>
      </c>
      <c r="L53" s="54" t="s">
        <v>166</v>
      </c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15</v>
      </c>
      <c r="B55" s="45" t="s">
        <v>16</v>
      </c>
      <c r="C55" s="46">
        <v>22</v>
      </c>
      <c r="D55" s="47" t="s">
        <v>146</v>
      </c>
      <c r="E55" s="48">
        <v>10</v>
      </c>
      <c r="F55" s="49">
        <v>31.18</v>
      </c>
      <c r="G55" s="50" t="s">
        <v>49</v>
      </c>
      <c r="H55" s="51">
        <v>1829</v>
      </c>
      <c r="I55" s="45">
        <v>3353</v>
      </c>
      <c r="J55" s="52">
        <v>8</v>
      </c>
      <c r="K55" s="53">
        <f t="shared" si="0"/>
        <v>49.061095999999999</v>
      </c>
      <c r="L55" s="54" t="s">
        <v>297</v>
      </c>
    </row>
    <row r="56" spans="1:12" s="55" customFormat="1" ht="19.5" customHeight="1" x14ac:dyDescent="0.3">
      <c r="A56" s="44" t="s">
        <v>294</v>
      </c>
      <c r="B56" s="45" t="s">
        <v>16</v>
      </c>
      <c r="C56" s="46">
        <v>22</v>
      </c>
      <c r="D56" s="47" t="s">
        <v>45</v>
      </c>
      <c r="E56" s="48">
        <v>20</v>
      </c>
      <c r="F56" s="49">
        <f>24.84+2.54</f>
        <v>27.38</v>
      </c>
      <c r="G56" s="50" t="s">
        <v>286</v>
      </c>
      <c r="H56" s="51">
        <v>1829</v>
      </c>
      <c r="I56" s="45">
        <v>3353</v>
      </c>
      <c r="J56" s="52">
        <v>10</v>
      </c>
      <c r="K56" s="53">
        <f t="shared" si="0"/>
        <v>61.326369999999997</v>
      </c>
      <c r="L56" s="54" t="s">
        <v>298</v>
      </c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269</v>
      </c>
      <c r="B58" s="45" t="s">
        <v>16</v>
      </c>
      <c r="C58" s="46">
        <v>22</v>
      </c>
      <c r="D58" s="47" t="s">
        <v>17</v>
      </c>
      <c r="E58" s="48">
        <v>150</v>
      </c>
      <c r="F58" s="49">
        <v>118</v>
      </c>
      <c r="G58" s="50" t="s">
        <v>18</v>
      </c>
      <c r="H58" s="51">
        <v>2590</v>
      </c>
      <c r="I58" s="45">
        <v>3048</v>
      </c>
      <c r="J58" s="52">
        <v>16</v>
      </c>
      <c r="K58" s="53">
        <f t="shared" si="0"/>
        <v>126.30911999999999</v>
      </c>
      <c r="L58" s="54" t="s">
        <v>100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299</v>
      </c>
      <c r="B60" s="45" t="s">
        <v>168</v>
      </c>
      <c r="C60" s="46">
        <v>24</v>
      </c>
      <c r="D60" s="47" t="s">
        <v>169</v>
      </c>
      <c r="E60" s="48">
        <v>6</v>
      </c>
      <c r="F60" s="49">
        <v>4.67</v>
      </c>
      <c r="G60" s="50" t="s">
        <v>170</v>
      </c>
      <c r="H60" s="51">
        <v>2438</v>
      </c>
      <c r="I60" s="45">
        <v>3048</v>
      </c>
      <c r="J60" s="52">
        <v>1</v>
      </c>
      <c r="K60" s="53">
        <f t="shared" si="0"/>
        <v>7.4310240000000007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 t="s">
        <v>170</v>
      </c>
      <c r="H61" s="51">
        <v>2438</v>
      </c>
      <c r="I61" s="45">
        <v>3353</v>
      </c>
      <c r="J61" s="52">
        <v>1</v>
      </c>
      <c r="K61" s="53">
        <f t="shared" si="0"/>
        <v>8.174614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57</v>
      </c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213</v>
      </c>
      <c r="B64" s="45" t="s">
        <v>310</v>
      </c>
      <c r="C64" s="46">
        <v>27.76</v>
      </c>
      <c r="D64" s="47" t="s">
        <v>311</v>
      </c>
      <c r="E64" s="48">
        <v>244</v>
      </c>
      <c r="F64" s="49">
        <v>117.12</v>
      </c>
      <c r="G64" s="50" t="s">
        <v>312</v>
      </c>
      <c r="H64" s="51">
        <v>2134</v>
      </c>
      <c r="I64" s="45">
        <v>3048</v>
      </c>
      <c r="J64" s="52">
        <v>20</v>
      </c>
      <c r="K64" s="53">
        <f t="shared" si="0"/>
        <v>130.08864</v>
      </c>
      <c r="L64" s="54"/>
    </row>
    <row r="65" spans="1:12" s="55" customFormat="1" ht="19.5" customHeight="1" x14ac:dyDescent="0.3">
      <c r="A65" s="44"/>
      <c r="B65" s="45"/>
      <c r="C65" s="46"/>
      <c r="D65" s="47"/>
      <c r="E65" s="48"/>
      <c r="F65" s="49"/>
      <c r="G65" s="50"/>
      <c r="H65" s="51"/>
      <c r="I65" s="45"/>
      <c r="J65" s="52"/>
      <c r="K65" s="53">
        <f t="shared" si="0"/>
        <v>0</v>
      </c>
      <c r="L65" s="54"/>
    </row>
    <row r="66" spans="1:12" s="55" customFormat="1" ht="19.5" customHeight="1" x14ac:dyDescent="0.3">
      <c r="A66" s="44" t="s">
        <v>313</v>
      </c>
      <c r="B66" s="45" t="s">
        <v>314</v>
      </c>
      <c r="C66" s="46">
        <v>22</v>
      </c>
      <c r="D66" s="47" t="s">
        <v>315</v>
      </c>
      <c r="E66" s="48">
        <v>161</v>
      </c>
      <c r="F66" s="49">
        <v>122.3</v>
      </c>
      <c r="G66" s="50" t="s">
        <v>308</v>
      </c>
      <c r="H66" s="51">
        <v>1829</v>
      </c>
      <c r="I66" s="45">
        <v>3353</v>
      </c>
      <c r="J66" s="52">
        <v>21</v>
      </c>
      <c r="K66" s="53">
        <f t="shared" si="0"/>
        <v>128.78537700000001</v>
      </c>
      <c r="L66" s="54" t="s">
        <v>318</v>
      </c>
    </row>
    <row r="67" spans="1:12" s="55" customFormat="1" ht="19.5" customHeight="1" x14ac:dyDescent="0.3">
      <c r="A67" s="44"/>
      <c r="B67" s="45"/>
      <c r="C67" s="46">
        <v>22</v>
      </c>
      <c r="D67" s="47" t="s">
        <v>316</v>
      </c>
      <c r="E67" s="48">
        <v>135</v>
      </c>
      <c r="F67" s="49">
        <v>106.2</v>
      </c>
      <c r="G67" s="50" t="s">
        <v>317</v>
      </c>
      <c r="H67" s="51">
        <v>1829</v>
      </c>
      <c r="I67" s="45">
        <v>3353</v>
      </c>
      <c r="J67" s="52">
        <v>28</v>
      </c>
      <c r="K67" s="53">
        <f t="shared" si="0"/>
        <v>171.71383599999999</v>
      </c>
      <c r="L67" s="54" t="s">
        <v>106</v>
      </c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 t="s">
        <v>317</v>
      </c>
      <c r="H68" s="51">
        <v>1981</v>
      </c>
      <c r="I68" s="45">
        <v>3353</v>
      </c>
      <c r="J68" s="52">
        <v>11</v>
      </c>
      <c r="K68" s="53">
        <f t="shared" si="0"/>
        <v>73.065223000000003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5" customFormat="1" ht="19.5" customHeight="1" x14ac:dyDescent="0.3">
      <c r="A73" s="44"/>
      <c r="B73" s="45"/>
      <c r="C73" s="46"/>
      <c r="D73" s="47"/>
      <c r="E73" s="48"/>
      <c r="F73" s="49"/>
      <c r="G73" s="50"/>
      <c r="H73" s="51"/>
      <c r="I73" s="45"/>
      <c r="J73" s="52"/>
      <c r="K73" s="53">
        <f t="shared" si="0"/>
        <v>0</v>
      </c>
      <c r="L73" s="54"/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0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0"/>
        <v>0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0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9" customFormat="1" ht="20.100000000000001" customHeight="1" x14ac:dyDescent="0.3">
      <c r="A79" s="44"/>
      <c r="B79" s="45"/>
      <c r="C79" s="46"/>
      <c r="D79" s="47"/>
      <c r="E79" s="56"/>
      <c r="F79" s="57"/>
      <c r="G79" s="50"/>
      <c r="H79" s="51"/>
      <c r="I79" s="45"/>
      <c r="J79" s="52"/>
      <c r="K79" s="53">
        <f t="shared" si="0"/>
        <v>0</v>
      </c>
      <c r="L79" s="58">
        <f>SUM(J43:J80)</f>
        <v>199</v>
      </c>
    </row>
    <row r="80" spans="1:12" s="59" customFormat="1" ht="20.100000000000001" customHeight="1" x14ac:dyDescent="0.3">
      <c r="A80" s="44"/>
      <c r="B80" s="45"/>
      <c r="C80" s="46"/>
      <c r="D80" s="47"/>
      <c r="E80" s="60"/>
      <c r="F80" s="61"/>
      <c r="G80" s="62"/>
      <c r="H80" s="51"/>
      <c r="I80" s="45"/>
      <c r="J80" s="63"/>
      <c r="K80" s="53">
        <f t="shared" si="0"/>
        <v>0</v>
      </c>
      <c r="L80" s="64">
        <f>SUM(K43:K80)</f>
        <v>1290.535122</v>
      </c>
    </row>
    <row r="81" spans="1:12" s="59" customFormat="1" ht="20.100000000000001" customHeight="1" thickBot="1" x14ac:dyDescent="0.35">
      <c r="A81" s="114"/>
      <c r="B81" s="115"/>
      <c r="C81" s="115"/>
      <c r="D81" s="115"/>
      <c r="E81" s="115"/>
      <c r="F81" s="115"/>
      <c r="G81" s="115"/>
      <c r="H81" s="115"/>
      <c r="I81" s="115"/>
      <c r="J81" s="65">
        <f>SUM(J7:J80)</f>
        <v>347</v>
      </c>
      <c r="K81" s="66">
        <f>SUM(K7:K80)</f>
        <v>2369.5335449999998</v>
      </c>
      <c r="L81" s="67"/>
    </row>
    <row r="82" spans="1:12" s="59" customFormat="1" ht="20.100000000000001" customHeight="1" thickTop="1" thickBot="1" x14ac:dyDescent="0.35">
      <c r="A82" s="116" t="s">
        <v>52</v>
      </c>
      <c r="B82" s="117"/>
      <c r="C82" s="68"/>
      <c r="D82" s="118">
        <f>J81</f>
        <v>347</v>
      </c>
      <c r="E82" s="119"/>
      <c r="F82" s="119"/>
      <c r="G82" s="120"/>
      <c r="H82" s="121"/>
      <c r="I82" s="121"/>
      <c r="J82" s="122"/>
      <c r="K82" s="119"/>
      <c r="L82" s="123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71"/>
    </row>
    <row r="84" spans="1:12" s="59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72"/>
      <c r="F88" s="5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5"/>
      <c r="G89" s="73"/>
      <c r="H89" s="5"/>
      <c r="I89" s="74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70"/>
      <c r="G93" s="5"/>
      <c r="H93" s="72"/>
      <c r="I93" s="72"/>
      <c r="J93" s="5"/>
      <c r="K93" s="5"/>
      <c r="L93" s="5"/>
    </row>
    <row r="94" spans="1:12" ht="20.100000000000001" customHeight="1" x14ac:dyDescent="0.3">
      <c r="A94" s="113"/>
      <c r="B94" s="113"/>
      <c r="H94" s="72"/>
      <c r="I94" s="72"/>
    </row>
    <row r="95" spans="1:12" ht="20.100000000000001" customHeight="1" x14ac:dyDescent="0.3">
      <c r="H95" s="72"/>
      <c r="I95" s="72"/>
    </row>
    <row r="96" spans="1:12" ht="20.100000000000001" customHeight="1" x14ac:dyDescent="0.3">
      <c r="H96" s="72"/>
      <c r="I96" s="72"/>
    </row>
    <row r="97" spans="1:12" ht="20.100000000000001" customHeight="1" x14ac:dyDescent="0.3">
      <c r="A97" s="113"/>
      <c r="B97" s="113"/>
      <c r="H97" s="72"/>
      <c r="I97" s="72"/>
    </row>
    <row r="98" spans="1:12" ht="20.100000000000001" customHeight="1" x14ac:dyDescent="0.3">
      <c r="A98" s="113"/>
      <c r="B98" s="113"/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H101" s="72"/>
      <c r="I101" s="72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J102" s="5"/>
      <c r="K102" s="5"/>
      <c r="L102" s="5"/>
    </row>
    <row r="103" spans="1:12" s="72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5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5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75" customFormat="1" ht="19.5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2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ht="19.5" customHeight="1" x14ac:dyDescent="0.3"/>
    <row r="110" spans="1:12" ht="19.5" customHeight="1" x14ac:dyDescent="0.3"/>
    <row r="111" spans="1:12" ht="19.5" customHeight="1" x14ac:dyDescent="0.3"/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>
        <v>2</v>
      </c>
      <c r="C172" s="5"/>
      <c r="D172" s="5"/>
      <c r="E172" s="5"/>
      <c r="F172" s="70"/>
      <c r="G172" s="5"/>
      <c r="H172" s="5"/>
      <c r="I172" s="5"/>
      <c r="J172" s="5"/>
      <c r="K172" s="5"/>
      <c r="L172" s="5"/>
    </row>
  </sheetData>
  <mergeCells count="30">
    <mergeCell ref="A97:B97"/>
    <mergeCell ref="A98:B98"/>
    <mergeCell ref="A88:B88"/>
    <mergeCell ref="A89:B89"/>
    <mergeCell ref="A90:B90"/>
    <mergeCell ref="A92:B92"/>
    <mergeCell ref="A93:B93"/>
    <mergeCell ref="A94:B94"/>
    <mergeCell ref="A87:B87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1:I81"/>
    <mergeCell ref="A82:B82"/>
    <mergeCell ref="D82:G82"/>
    <mergeCell ref="H82:J82"/>
    <mergeCell ref="K82:L82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pageSetUpPr fitToPage="1"/>
  </sheetPr>
  <dimension ref="A1:L172"/>
  <sheetViews>
    <sheetView view="pageBreakPreview" topLeftCell="B29" zoomScale="85" zoomScaleSheetLayoutView="85" workbookViewId="0">
      <selection activeCell="B60" sqref="B60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46030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80" si="0">(H7/1000*I7/1000)*J7</f>
        <v>0</v>
      </c>
      <c r="L7" s="26">
        <f>SUM(J7:J42)</f>
        <v>188</v>
      </c>
    </row>
    <row r="8" spans="1:12" s="27" customFormat="1" ht="19.5" customHeight="1" x14ac:dyDescent="0.3">
      <c r="A8" s="28"/>
      <c r="B8" s="29"/>
      <c r="C8" s="30"/>
      <c r="D8" s="31"/>
      <c r="E8" s="32"/>
      <c r="F8" s="33"/>
      <c r="G8" s="34"/>
      <c r="H8" s="35"/>
      <c r="I8" s="36"/>
      <c r="J8" s="37"/>
      <c r="K8" s="38">
        <f t="shared" si="0"/>
        <v>0</v>
      </c>
      <c r="L8" s="39">
        <f>SUM(K7:K42)</f>
        <v>1361.7042670000001</v>
      </c>
    </row>
    <row r="9" spans="1:12" s="27" customFormat="1" ht="19.5" customHeight="1" x14ac:dyDescent="0.3">
      <c r="A9" s="28" t="s">
        <v>217</v>
      </c>
      <c r="B9" s="29" t="s">
        <v>218</v>
      </c>
      <c r="C9" s="30">
        <v>5</v>
      </c>
      <c r="D9" s="31" t="s">
        <v>219</v>
      </c>
      <c r="E9" s="41">
        <v>45</v>
      </c>
      <c r="F9" s="42">
        <v>25.88</v>
      </c>
      <c r="G9" s="34" t="s">
        <v>220</v>
      </c>
      <c r="H9" s="35">
        <v>2590</v>
      </c>
      <c r="I9" s="36">
        <v>3353</v>
      </c>
      <c r="J9" s="37">
        <v>1</v>
      </c>
      <c r="K9" s="38">
        <f t="shared" si="0"/>
        <v>8.6842699999999979</v>
      </c>
      <c r="L9" s="39"/>
    </row>
    <row r="10" spans="1:12" s="27" customFormat="1" ht="19.5" customHeight="1" x14ac:dyDescent="0.3">
      <c r="A10" s="28"/>
      <c r="B10" s="29"/>
      <c r="C10" s="30"/>
      <c r="D10" s="31"/>
      <c r="E10" s="41"/>
      <c r="F10" s="42"/>
      <c r="G10" s="34" t="s">
        <v>220</v>
      </c>
      <c r="H10" s="35">
        <v>1981</v>
      </c>
      <c r="I10" s="36">
        <v>3048</v>
      </c>
      <c r="J10" s="37">
        <v>3</v>
      </c>
      <c r="K10" s="38">
        <f t="shared" si="0"/>
        <v>18.114264000000002</v>
      </c>
      <c r="L10" s="39"/>
    </row>
    <row r="11" spans="1:12" s="27" customFormat="1" ht="19.5" customHeight="1" x14ac:dyDescent="0.3">
      <c r="A11" s="28"/>
      <c r="B11" s="29"/>
      <c r="C11" s="30"/>
      <c r="D11" s="31"/>
      <c r="E11" s="41"/>
      <c r="F11" s="4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221</v>
      </c>
      <c r="B12" s="29" t="s">
        <v>222</v>
      </c>
      <c r="C12" s="30">
        <v>24</v>
      </c>
      <c r="D12" s="31" t="s">
        <v>45</v>
      </c>
      <c r="E12" s="41">
        <v>113</v>
      </c>
      <c r="F12" s="42">
        <v>101.88</v>
      </c>
      <c r="G12" s="43" t="s">
        <v>220</v>
      </c>
      <c r="H12" s="35">
        <v>2590</v>
      </c>
      <c r="I12" s="36">
        <v>3353</v>
      </c>
      <c r="J12" s="37">
        <v>19</v>
      </c>
      <c r="K12" s="38">
        <f t="shared" si="0"/>
        <v>165.00112999999996</v>
      </c>
      <c r="L12" s="39" t="s">
        <v>224</v>
      </c>
    </row>
    <row r="13" spans="1:12" s="27" customFormat="1" ht="19.5" customHeight="1" x14ac:dyDescent="0.3">
      <c r="A13" s="28"/>
      <c r="B13" s="29"/>
      <c r="C13" s="30">
        <v>24</v>
      </c>
      <c r="D13" s="31" t="s">
        <v>223</v>
      </c>
      <c r="E13" s="41">
        <v>130</v>
      </c>
      <c r="F13" s="42">
        <v>151.9</v>
      </c>
      <c r="G13" s="43" t="s">
        <v>220</v>
      </c>
      <c r="H13" s="35">
        <v>1981</v>
      </c>
      <c r="I13" s="36">
        <v>3048</v>
      </c>
      <c r="J13" s="37">
        <v>1</v>
      </c>
      <c r="K13" s="38">
        <f t="shared" si="0"/>
        <v>6.038088000000001</v>
      </c>
      <c r="L13" s="39"/>
    </row>
    <row r="14" spans="1:12" s="27" customFormat="1" ht="19.5" customHeight="1" x14ac:dyDescent="0.3">
      <c r="A14" s="28"/>
      <c r="B14" s="29"/>
      <c r="C14" s="30">
        <v>22</v>
      </c>
      <c r="D14" s="31" t="s">
        <v>45</v>
      </c>
      <c r="E14" s="41">
        <v>20</v>
      </c>
      <c r="F14" s="42">
        <v>23.4</v>
      </c>
      <c r="G14" s="34" t="s">
        <v>19</v>
      </c>
      <c r="H14" s="35">
        <v>1981</v>
      </c>
      <c r="I14" s="36">
        <v>3353</v>
      </c>
      <c r="J14" s="37">
        <v>44</v>
      </c>
      <c r="K14" s="38">
        <f t="shared" si="0"/>
        <v>292.26089200000001</v>
      </c>
      <c r="L14" s="39" t="s">
        <v>224</v>
      </c>
    </row>
    <row r="15" spans="1:12" s="27" customFormat="1" ht="19.5" customHeight="1" x14ac:dyDescent="0.3">
      <c r="A15" s="28"/>
      <c r="B15" s="29"/>
      <c r="C15" s="30"/>
      <c r="D15" s="31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225</v>
      </c>
      <c r="B16" s="29" t="s">
        <v>226</v>
      </c>
      <c r="C16" s="30">
        <v>25.76</v>
      </c>
      <c r="D16" s="31" t="s">
        <v>227</v>
      </c>
      <c r="E16" s="41">
        <v>70</v>
      </c>
      <c r="F16" s="42">
        <v>41.6</v>
      </c>
      <c r="G16" s="43" t="s">
        <v>220</v>
      </c>
      <c r="H16" s="35">
        <v>2438</v>
      </c>
      <c r="I16" s="36">
        <v>3353</v>
      </c>
      <c r="J16" s="37">
        <v>2</v>
      </c>
      <c r="K16" s="38">
        <f t="shared" si="0"/>
        <v>16.349228</v>
      </c>
      <c r="L16" s="39"/>
    </row>
    <row r="17" spans="1:12" s="27" customFormat="1" ht="19.5" customHeight="1" x14ac:dyDescent="0.3">
      <c r="A17" s="28"/>
      <c r="B17" s="29"/>
      <c r="C17" s="30">
        <v>22</v>
      </c>
      <c r="D17" s="31" t="s">
        <v>228</v>
      </c>
      <c r="E17" s="41">
        <v>30</v>
      </c>
      <c r="F17" s="42">
        <v>33</v>
      </c>
      <c r="G17" s="43" t="s">
        <v>220</v>
      </c>
      <c r="H17" s="35">
        <v>2590</v>
      </c>
      <c r="I17" s="36">
        <v>3048</v>
      </c>
      <c r="J17" s="37">
        <v>2</v>
      </c>
      <c r="K17" s="38">
        <f t="shared" si="0"/>
        <v>15.788639999999999</v>
      </c>
      <c r="L17" s="39" t="s">
        <v>229</v>
      </c>
    </row>
    <row r="18" spans="1:12" s="27" customFormat="1" ht="19.5" customHeight="1" x14ac:dyDescent="0.3">
      <c r="A18" s="28"/>
      <c r="B18" s="29"/>
      <c r="C18" s="30"/>
      <c r="D18" s="31"/>
      <c r="E18" s="41"/>
      <c r="F18" s="42"/>
      <c r="G18" s="43" t="s">
        <v>220</v>
      </c>
      <c r="H18" s="35">
        <v>1981</v>
      </c>
      <c r="I18" s="36">
        <v>3048</v>
      </c>
      <c r="J18" s="37">
        <v>1</v>
      </c>
      <c r="K18" s="38">
        <f t="shared" si="0"/>
        <v>6.038088000000001</v>
      </c>
      <c r="L18" s="39"/>
    </row>
    <row r="19" spans="1:12" s="27" customFormat="1" ht="19.5" customHeight="1" x14ac:dyDescent="0.3">
      <c r="A19" s="28"/>
      <c r="B19" s="29"/>
      <c r="C19" s="30"/>
      <c r="D19" s="31"/>
      <c r="E19" s="41"/>
      <c r="F19" s="42"/>
      <c r="G19" s="34" t="s">
        <v>19</v>
      </c>
      <c r="H19" s="35">
        <v>2134</v>
      </c>
      <c r="I19" s="36">
        <v>3353</v>
      </c>
      <c r="J19" s="37">
        <v>6</v>
      </c>
      <c r="K19" s="38">
        <f t="shared" si="0"/>
        <v>42.931812000000001</v>
      </c>
      <c r="L19" s="39"/>
    </row>
    <row r="20" spans="1:12" s="27" customFormat="1" ht="19.5" customHeight="1" x14ac:dyDescent="0.3">
      <c r="A20" s="28"/>
      <c r="B20" s="29"/>
      <c r="C20" s="30"/>
      <c r="D20" s="31"/>
      <c r="E20" s="41"/>
      <c r="F20" s="42"/>
      <c r="G20" s="43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231</v>
      </c>
      <c r="B21" s="29" t="s">
        <v>226</v>
      </c>
      <c r="C21" s="30">
        <v>25.76</v>
      </c>
      <c r="D21" s="31" t="s">
        <v>227</v>
      </c>
      <c r="E21" s="41">
        <v>90</v>
      </c>
      <c r="F21" s="42">
        <v>44</v>
      </c>
      <c r="G21" s="34" t="s">
        <v>19</v>
      </c>
      <c r="H21" s="35">
        <v>2134</v>
      </c>
      <c r="I21" s="36">
        <v>3353</v>
      </c>
      <c r="J21" s="37">
        <v>7</v>
      </c>
      <c r="K21" s="38">
        <f t="shared" si="0"/>
        <v>50.087114</v>
      </c>
      <c r="L21" s="39"/>
    </row>
    <row r="22" spans="1:12" s="27" customFormat="1" ht="19.5" customHeight="1" x14ac:dyDescent="0.3">
      <c r="A22" s="28"/>
      <c r="B22" s="29"/>
      <c r="C22" s="30">
        <v>22</v>
      </c>
      <c r="D22" s="31" t="s">
        <v>228</v>
      </c>
      <c r="E22" s="41">
        <v>20</v>
      </c>
      <c r="F22" s="42">
        <v>28.2</v>
      </c>
      <c r="G22" s="43" t="s">
        <v>220</v>
      </c>
      <c r="H22" s="35">
        <v>2590</v>
      </c>
      <c r="I22" s="36">
        <v>3353</v>
      </c>
      <c r="J22" s="37">
        <v>4</v>
      </c>
      <c r="K22" s="38">
        <f t="shared" si="0"/>
        <v>34.737079999999992</v>
      </c>
      <c r="L22" s="39" t="s">
        <v>229</v>
      </c>
    </row>
    <row r="23" spans="1:12" s="27" customFormat="1" ht="19.5" customHeight="1" x14ac:dyDescent="0.3">
      <c r="A23" s="28"/>
      <c r="B23" s="29"/>
      <c r="C23" s="30"/>
      <c r="D23" s="31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 t="s">
        <v>232</v>
      </c>
      <c r="B24" s="29" t="s">
        <v>226</v>
      </c>
      <c r="C24" s="30">
        <v>25.76</v>
      </c>
      <c r="D24" s="31" t="s">
        <v>227</v>
      </c>
      <c r="E24" s="41">
        <v>45</v>
      </c>
      <c r="F24" s="42">
        <v>26.1</v>
      </c>
      <c r="G24" s="34" t="s">
        <v>19</v>
      </c>
      <c r="H24" s="35">
        <v>2134</v>
      </c>
      <c r="I24" s="36">
        <v>3353</v>
      </c>
      <c r="J24" s="37">
        <v>19</v>
      </c>
      <c r="K24" s="38">
        <f t="shared" si="0"/>
        <v>135.950738</v>
      </c>
      <c r="L24" s="39"/>
    </row>
    <row r="25" spans="1:12" s="27" customFormat="1" ht="19.5" customHeight="1" x14ac:dyDescent="0.3">
      <c r="A25" s="28"/>
      <c r="B25" s="29"/>
      <c r="C25" s="30">
        <v>22</v>
      </c>
      <c r="D25" s="31" t="s">
        <v>228</v>
      </c>
      <c r="E25" s="41">
        <v>15</v>
      </c>
      <c r="F25" s="42">
        <v>16.5</v>
      </c>
      <c r="G25" s="34" t="s">
        <v>220</v>
      </c>
      <c r="H25" s="35">
        <v>2590</v>
      </c>
      <c r="I25" s="36">
        <v>3048</v>
      </c>
      <c r="J25" s="37">
        <v>14</v>
      </c>
      <c r="K25" s="38">
        <f t="shared" si="0"/>
        <v>110.52047999999999</v>
      </c>
      <c r="L25" s="39" t="s">
        <v>229</v>
      </c>
    </row>
    <row r="26" spans="1:12" s="27" customFormat="1" ht="19.5" customHeight="1" x14ac:dyDescent="0.3">
      <c r="A26" s="28"/>
      <c r="B26" s="29"/>
      <c r="C26" s="30">
        <v>22</v>
      </c>
      <c r="D26" s="31" t="s">
        <v>223</v>
      </c>
      <c r="E26" s="41">
        <v>105</v>
      </c>
      <c r="F26" s="42">
        <v>95.2</v>
      </c>
      <c r="G26" s="34"/>
      <c r="H26" s="35"/>
      <c r="I26" s="36"/>
      <c r="J26" s="37"/>
      <c r="K26" s="38">
        <f t="shared" si="0"/>
        <v>0</v>
      </c>
      <c r="L26" s="39" t="s">
        <v>230</v>
      </c>
    </row>
    <row r="27" spans="1:12" s="27" customFormat="1" ht="19.5" customHeight="1" x14ac:dyDescent="0.3">
      <c r="A27" s="28"/>
      <c r="B27" s="29"/>
      <c r="C27" s="30"/>
      <c r="D27" s="31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 t="s">
        <v>233</v>
      </c>
      <c r="B28" s="29"/>
      <c r="C28" s="30"/>
      <c r="D28" s="31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 t="s">
        <v>232</v>
      </c>
      <c r="B29" s="29" t="s">
        <v>21</v>
      </c>
      <c r="C29" s="30">
        <v>22</v>
      </c>
      <c r="D29" s="31" t="s">
        <v>228</v>
      </c>
      <c r="E29" s="41">
        <v>15</v>
      </c>
      <c r="F29" s="42">
        <v>16.5</v>
      </c>
      <c r="G29" s="34" t="s">
        <v>19</v>
      </c>
      <c r="H29" s="35">
        <v>1981</v>
      </c>
      <c r="I29" s="36">
        <v>3353</v>
      </c>
      <c r="J29" s="37">
        <v>3</v>
      </c>
      <c r="K29" s="38">
        <f t="shared" si="0"/>
        <v>19.926879</v>
      </c>
      <c r="L29" s="39" t="s">
        <v>261</v>
      </c>
    </row>
    <row r="30" spans="1:12" s="27" customFormat="1" ht="19.5" customHeight="1" x14ac:dyDescent="0.3">
      <c r="A30" s="28"/>
      <c r="B30" s="29"/>
      <c r="C30" s="30">
        <v>46.76</v>
      </c>
      <c r="D30" s="31" t="s">
        <v>272</v>
      </c>
      <c r="E30" s="41">
        <v>5</v>
      </c>
      <c r="F30" s="42">
        <v>2.25</v>
      </c>
      <c r="G30" s="34"/>
      <c r="H30" s="35"/>
      <c r="I30" s="36"/>
      <c r="J30" s="37"/>
      <c r="K30" s="38">
        <f t="shared" si="0"/>
        <v>0</v>
      </c>
      <c r="L30" s="39" t="s">
        <v>273</v>
      </c>
    </row>
    <row r="31" spans="1:12" s="27" customFormat="1" ht="19.5" customHeight="1" x14ac:dyDescent="0.3">
      <c r="A31" s="28"/>
      <c r="B31" s="29"/>
      <c r="C31" s="30"/>
      <c r="D31" s="31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 t="s">
        <v>231</v>
      </c>
      <c r="B32" s="29" t="s">
        <v>21</v>
      </c>
      <c r="C32" s="30">
        <v>22</v>
      </c>
      <c r="D32" s="31" t="s">
        <v>228</v>
      </c>
      <c r="E32" s="41">
        <v>20</v>
      </c>
      <c r="F32" s="42">
        <v>28.2</v>
      </c>
      <c r="G32" s="34" t="s">
        <v>19</v>
      </c>
      <c r="H32" s="35">
        <v>1981</v>
      </c>
      <c r="I32" s="36">
        <v>3353</v>
      </c>
      <c r="J32" s="37">
        <v>33</v>
      </c>
      <c r="K32" s="38">
        <f t="shared" si="0"/>
        <v>219.19566900000001</v>
      </c>
      <c r="L32" s="39" t="s">
        <v>261</v>
      </c>
    </row>
    <row r="33" spans="1:12" s="27" customFormat="1" ht="19.5" customHeight="1" x14ac:dyDescent="0.3">
      <c r="A33" s="28"/>
      <c r="B33" s="29"/>
      <c r="C33" s="30">
        <v>22</v>
      </c>
      <c r="D33" s="31" t="s">
        <v>262</v>
      </c>
      <c r="E33" s="41">
        <v>200</v>
      </c>
      <c r="F33" s="42">
        <v>167.9</v>
      </c>
      <c r="G33" s="34" t="s">
        <v>18</v>
      </c>
      <c r="H33" s="35">
        <v>2590</v>
      </c>
      <c r="I33" s="36">
        <v>3048</v>
      </c>
      <c r="J33" s="37">
        <v>22</v>
      </c>
      <c r="K33" s="38">
        <f t="shared" si="0"/>
        <v>173.67504</v>
      </c>
      <c r="L33" s="39" t="s">
        <v>230</v>
      </c>
    </row>
    <row r="34" spans="1:12" s="27" customFormat="1" ht="19.5" customHeight="1" x14ac:dyDescent="0.3">
      <c r="A34" s="28"/>
      <c r="B34" s="29"/>
      <c r="C34" s="30">
        <v>46.76</v>
      </c>
      <c r="D34" s="31" t="s">
        <v>272</v>
      </c>
      <c r="E34" s="41">
        <v>10</v>
      </c>
      <c r="F34" s="42">
        <v>4</v>
      </c>
      <c r="G34" s="34" t="s">
        <v>18</v>
      </c>
      <c r="H34" s="35">
        <v>1981</v>
      </c>
      <c r="I34" s="36">
        <v>3048</v>
      </c>
      <c r="J34" s="37">
        <v>1</v>
      </c>
      <c r="K34" s="38">
        <f t="shared" si="0"/>
        <v>6.038088000000001</v>
      </c>
      <c r="L34" s="39" t="s">
        <v>273</v>
      </c>
    </row>
    <row r="35" spans="1:12" s="27" customFormat="1" ht="19.5" customHeight="1" x14ac:dyDescent="0.3">
      <c r="A35" s="28"/>
      <c r="B35" s="29"/>
      <c r="C35" s="30"/>
      <c r="D35" s="31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 t="s">
        <v>263</v>
      </c>
      <c r="B36" s="29" t="s">
        <v>21</v>
      </c>
      <c r="C36" s="30">
        <v>22</v>
      </c>
      <c r="D36" s="31" t="s">
        <v>228</v>
      </c>
      <c r="E36" s="41">
        <v>30</v>
      </c>
      <c r="F36" s="42">
        <v>33</v>
      </c>
      <c r="G36" s="34" t="s">
        <v>19</v>
      </c>
      <c r="H36" s="35">
        <v>1981</v>
      </c>
      <c r="I36" s="36">
        <v>3353</v>
      </c>
      <c r="J36" s="37">
        <v>5</v>
      </c>
      <c r="K36" s="38">
        <f t="shared" si="0"/>
        <v>33.211465000000004</v>
      </c>
      <c r="L36" s="39" t="s">
        <v>261</v>
      </c>
    </row>
    <row r="37" spans="1:12" s="27" customFormat="1" ht="19.5" customHeight="1" x14ac:dyDescent="0.3">
      <c r="A37" s="28"/>
      <c r="B37" s="29"/>
      <c r="C37" s="30">
        <v>46.76</v>
      </c>
      <c r="D37" s="31" t="s">
        <v>272</v>
      </c>
      <c r="E37" s="41">
        <v>10</v>
      </c>
      <c r="F37" s="42">
        <v>4.5</v>
      </c>
      <c r="G37" s="34" t="s">
        <v>19</v>
      </c>
      <c r="H37" s="35">
        <v>2134</v>
      </c>
      <c r="I37" s="36">
        <v>3353</v>
      </c>
      <c r="J37" s="37">
        <v>1</v>
      </c>
      <c r="K37" s="38">
        <f t="shared" si="0"/>
        <v>7.1553019999999998</v>
      </c>
      <c r="L37" s="39" t="s">
        <v>273</v>
      </c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/>
      <c r="B39" s="29"/>
      <c r="C39" s="30"/>
      <c r="D39" s="31"/>
      <c r="E39" s="41"/>
      <c r="F39" s="42"/>
      <c r="G39" s="34"/>
      <c r="H39" s="35"/>
      <c r="I39" s="36"/>
      <c r="J39" s="37"/>
      <c r="K39" s="38">
        <f t="shared" si="0"/>
        <v>0</v>
      </c>
      <c r="L39" s="39"/>
    </row>
    <row r="40" spans="1:12" s="27" customFormat="1" ht="19.5" customHeight="1" x14ac:dyDescent="0.3">
      <c r="A40" s="28"/>
      <c r="B40" s="29"/>
      <c r="C40" s="30"/>
      <c r="D40" s="31"/>
      <c r="E40" s="41"/>
      <c r="F40" s="42"/>
      <c r="G40" s="34"/>
      <c r="H40" s="35"/>
      <c r="I40" s="36"/>
      <c r="J40" s="37"/>
      <c r="K40" s="38">
        <f t="shared" si="0"/>
        <v>0</v>
      </c>
      <c r="L40" s="39"/>
    </row>
    <row r="41" spans="1:12" s="27" customFormat="1" ht="19.5" customHeight="1" x14ac:dyDescent="0.3">
      <c r="A41" s="28"/>
      <c r="B41" s="29"/>
      <c r="C41" s="30"/>
      <c r="D41" s="31"/>
      <c r="E41" s="41"/>
      <c r="F41" s="42"/>
      <c r="G41" s="34"/>
      <c r="H41" s="35"/>
      <c r="I41" s="36"/>
      <c r="J41" s="37"/>
      <c r="K41" s="38">
        <f t="shared" si="0"/>
        <v>0</v>
      </c>
      <c r="L41" s="39"/>
    </row>
    <row r="42" spans="1:12" s="27" customFormat="1" ht="19.5" customHeight="1" x14ac:dyDescent="0.3">
      <c r="A42" s="28"/>
      <c r="B42" s="29"/>
      <c r="C42" s="30"/>
      <c r="D42" s="31"/>
      <c r="E42" s="41"/>
      <c r="F42" s="42"/>
      <c r="G42" s="43"/>
      <c r="H42" s="35"/>
      <c r="I42" s="36"/>
      <c r="J42" s="37"/>
      <c r="K42" s="38">
        <f t="shared" si="0"/>
        <v>0</v>
      </c>
      <c r="L42" s="39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234</v>
      </c>
      <c r="B44" s="45" t="s">
        <v>235</v>
      </c>
      <c r="C44" s="46">
        <v>24</v>
      </c>
      <c r="D44" s="47" t="s">
        <v>236</v>
      </c>
      <c r="E44" s="48">
        <v>1</v>
      </c>
      <c r="F44" s="49">
        <v>2.99</v>
      </c>
      <c r="G44" s="50" t="s">
        <v>237</v>
      </c>
      <c r="H44" s="51">
        <v>2438</v>
      </c>
      <c r="I44" s="45">
        <v>3048</v>
      </c>
      <c r="J44" s="52">
        <v>1</v>
      </c>
      <c r="K44" s="53">
        <f t="shared" si="0"/>
        <v>7.4310240000000007</v>
      </c>
      <c r="L44" s="54" t="s">
        <v>238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239</v>
      </c>
      <c r="B46" s="45" t="s">
        <v>240</v>
      </c>
      <c r="C46" s="46">
        <v>24</v>
      </c>
      <c r="D46" s="47" t="s">
        <v>241</v>
      </c>
      <c r="E46" s="48">
        <v>4</v>
      </c>
      <c r="F46" s="49">
        <v>1.36</v>
      </c>
      <c r="G46" s="50"/>
      <c r="H46" s="51"/>
      <c r="I46" s="45"/>
      <c r="J46" s="52"/>
      <c r="K46" s="53">
        <f t="shared" si="0"/>
        <v>0</v>
      </c>
      <c r="L46" s="54" t="s">
        <v>242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243</v>
      </c>
      <c r="B48" s="45" t="s">
        <v>244</v>
      </c>
      <c r="C48" s="46">
        <v>28</v>
      </c>
      <c r="D48" s="47" t="s">
        <v>245</v>
      </c>
      <c r="E48" s="48">
        <v>15</v>
      </c>
      <c r="F48" s="49">
        <v>14.18</v>
      </c>
      <c r="G48" s="50" t="s">
        <v>246</v>
      </c>
      <c r="H48" s="51">
        <v>3050</v>
      </c>
      <c r="I48" s="45">
        <v>4000</v>
      </c>
      <c r="J48" s="52">
        <v>1</v>
      </c>
      <c r="K48" s="53">
        <f t="shared" si="0"/>
        <v>12.2</v>
      </c>
      <c r="L48" s="54" t="s">
        <v>247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248</v>
      </c>
      <c r="B50" s="45" t="s">
        <v>244</v>
      </c>
      <c r="C50" s="46">
        <v>28</v>
      </c>
      <c r="D50" s="47" t="s">
        <v>245</v>
      </c>
      <c r="E50" s="48">
        <v>15</v>
      </c>
      <c r="F50" s="49">
        <v>14.18</v>
      </c>
      <c r="G50" s="50" t="s">
        <v>246</v>
      </c>
      <c r="H50" s="51">
        <v>3050</v>
      </c>
      <c r="I50" s="45">
        <v>4000</v>
      </c>
      <c r="J50" s="52">
        <v>3</v>
      </c>
      <c r="K50" s="53">
        <f t="shared" si="0"/>
        <v>36.599999999999994</v>
      </c>
      <c r="L50" s="54" t="s">
        <v>250</v>
      </c>
    </row>
    <row r="51" spans="1:12" s="55" customFormat="1" ht="19.5" customHeight="1" x14ac:dyDescent="0.3">
      <c r="A51" s="44" t="s">
        <v>249</v>
      </c>
      <c r="B51" s="45" t="s">
        <v>244</v>
      </c>
      <c r="C51" s="46">
        <v>28</v>
      </c>
      <c r="D51" s="47" t="s">
        <v>245</v>
      </c>
      <c r="E51" s="48">
        <v>16</v>
      </c>
      <c r="F51" s="49">
        <v>15.85</v>
      </c>
      <c r="G51" s="50"/>
      <c r="H51" s="51"/>
      <c r="I51" s="45"/>
      <c r="J51" s="52"/>
      <c r="K51" s="53">
        <f t="shared" si="0"/>
        <v>0</v>
      </c>
      <c r="L51" s="54" t="s">
        <v>250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251</v>
      </c>
      <c r="B53" s="45" t="s">
        <v>244</v>
      </c>
      <c r="C53" s="46">
        <v>28</v>
      </c>
      <c r="D53" s="47" t="s">
        <v>245</v>
      </c>
      <c r="E53" s="48">
        <v>15</v>
      </c>
      <c r="F53" s="49">
        <v>14.17</v>
      </c>
      <c r="G53" s="50" t="s">
        <v>246</v>
      </c>
      <c r="H53" s="51">
        <v>3050</v>
      </c>
      <c r="I53" s="45">
        <v>4000</v>
      </c>
      <c r="J53" s="52">
        <v>3</v>
      </c>
      <c r="K53" s="53">
        <f t="shared" si="0"/>
        <v>36.599999999999994</v>
      </c>
      <c r="L53" s="54" t="s">
        <v>253</v>
      </c>
    </row>
    <row r="54" spans="1:12" s="55" customFormat="1" ht="19.5" customHeight="1" x14ac:dyDescent="0.3">
      <c r="A54" s="44" t="s">
        <v>252</v>
      </c>
      <c r="B54" s="45" t="s">
        <v>244</v>
      </c>
      <c r="C54" s="46">
        <v>28</v>
      </c>
      <c r="D54" s="47" t="s">
        <v>245</v>
      </c>
      <c r="E54" s="48">
        <v>16</v>
      </c>
      <c r="F54" s="49">
        <v>15.85</v>
      </c>
      <c r="G54" s="50"/>
      <c r="H54" s="51"/>
      <c r="I54" s="45"/>
      <c r="J54" s="52"/>
      <c r="K54" s="53">
        <f t="shared" si="0"/>
        <v>0</v>
      </c>
      <c r="L54" s="54" t="s">
        <v>253</v>
      </c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 t="s">
        <v>254</v>
      </c>
      <c r="B56" s="45" t="s">
        <v>255</v>
      </c>
      <c r="C56" s="46">
        <v>22</v>
      </c>
      <c r="D56" s="47" t="s">
        <v>256</v>
      </c>
      <c r="E56" s="48">
        <v>180</v>
      </c>
      <c r="F56" s="49">
        <v>137.30000000000001</v>
      </c>
      <c r="G56" s="50" t="s">
        <v>257</v>
      </c>
      <c r="H56" s="51">
        <v>1829</v>
      </c>
      <c r="I56" s="45">
        <v>3353</v>
      </c>
      <c r="J56" s="52">
        <v>23</v>
      </c>
      <c r="K56" s="53">
        <f t="shared" si="0"/>
        <v>141.05065099999999</v>
      </c>
      <c r="L56" s="54"/>
    </row>
    <row r="57" spans="1:12" s="55" customFormat="1" ht="19.5" customHeight="1" x14ac:dyDescent="0.3">
      <c r="A57" s="44"/>
      <c r="B57" s="45"/>
      <c r="C57" s="46">
        <v>22</v>
      </c>
      <c r="D57" s="47" t="s">
        <v>223</v>
      </c>
      <c r="E57" s="48">
        <v>150</v>
      </c>
      <c r="F57" s="49">
        <v>118</v>
      </c>
      <c r="G57" s="50" t="s">
        <v>220</v>
      </c>
      <c r="H57" s="51">
        <v>3590</v>
      </c>
      <c r="I57" s="45">
        <v>3048</v>
      </c>
      <c r="J57" s="52">
        <v>16</v>
      </c>
      <c r="K57" s="53">
        <f t="shared" si="0"/>
        <v>175.07712000000001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 t="s">
        <v>258</v>
      </c>
      <c r="H58" s="51">
        <v>1829</v>
      </c>
      <c r="I58" s="45">
        <v>3353</v>
      </c>
      <c r="J58" s="52">
        <v>43</v>
      </c>
      <c r="K58" s="53">
        <f t="shared" si="0"/>
        <v>263.70339100000001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/>
      <c r="H59" s="51"/>
      <c r="I59" s="45"/>
      <c r="J59" s="52"/>
      <c r="K59" s="53">
        <f t="shared" si="0"/>
        <v>0</v>
      </c>
      <c r="L59" s="54"/>
    </row>
    <row r="60" spans="1:12" s="55" customFormat="1" ht="19.5" customHeight="1" x14ac:dyDescent="0.3">
      <c r="A60" s="44" t="s">
        <v>213</v>
      </c>
      <c r="B60" s="45" t="s">
        <v>214</v>
      </c>
      <c r="C60" s="46">
        <v>22</v>
      </c>
      <c r="D60" s="47" t="s">
        <v>215</v>
      </c>
      <c r="E60" s="48">
        <v>109</v>
      </c>
      <c r="F60" s="49">
        <v>73.029999999999987</v>
      </c>
      <c r="G60" s="50" t="s">
        <v>18</v>
      </c>
      <c r="H60" s="51">
        <v>2438</v>
      </c>
      <c r="I60" s="45">
        <v>3353</v>
      </c>
      <c r="J60" s="52">
        <v>10</v>
      </c>
      <c r="K60" s="53">
        <f t="shared" si="0"/>
        <v>81.746139999999997</v>
      </c>
      <c r="L60" s="54" t="s">
        <v>259</v>
      </c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 t="s">
        <v>233</v>
      </c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264</v>
      </c>
      <c r="B63" s="45" t="s">
        <v>187</v>
      </c>
      <c r="C63" s="46">
        <v>28</v>
      </c>
      <c r="D63" s="47" t="s">
        <v>245</v>
      </c>
      <c r="E63" s="48">
        <v>20</v>
      </c>
      <c r="F63" s="49">
        <v>19.45</v>
      </c>
      <c r="G63" s="50" t="s">
        <v>246</v>
      </c>
      <c r="H63" s="51">
        <v>2440</v>
      </c>
      <c r="I63" s="45">
        <v>3050</v>
      </c>
      <c r="J63" s="52">
        <v>3</v>
      </c>
      <c r="K63" s="53">
        <f t="shared" si="0"/>
        <v>22.326000000000001</v>
      </c>
      <c r="L63" s="54" t="s">
        <v>265</v>
      </c>
    </row>
    <row r="64" spans="1:12" s="55" customFormat="1" ht="19.5" customHeight="1" x14ac:dyDescent="0.3">
      <c r="A64" s="44"/>
      <c r="B64" s="45"/>
      <c r="C64" s="46"/>
      <c r="D64" s="47"/>
      <c r="E64" s="48"/>
      <c r="F64" s="49"/>
      <c r="G64" s="50"/>
      <c r="H64" s="51"/>
      <c r="I64" s="45"/>
      <c r="J64" s="52"/>
      <c r="K64" s="53">
        <f t="shared" si="0"/>
        <v>0</v>
      </c>
      <c r="L64" s="54"/>
    </row>
    <row r="65" spans="1:12" s="55" customFormat="1" ht="19.5" customHeight="1" x14ac:dyDescent="0.3">
      <c r="A65" s="44" t="s">
        <v>266</v>
      </c>
      <c r="B65" s="45" t="s">
        <v>187</v>
      </c>
      <c r="C65" s="46">
        <v>28</v>
      </c>
      <c r="D65" s="47" t="s">
        <v>245</v>
      </c>
      <c r="E65" s="48">
        <v>20</v>
      </c>
      <c r="F65" s="49">
        <v>19.690000000000001</v>
      </c>
      <c r="G65" s="50" t="s">
        <v>246</v>
      </c>
      <c r="H65" s="51">
        <v>2440</v>
      </c>
      <c r="I65" s="45">
        <v>3050</v>
      </c>
      <c r="J65" s="52">
        <v>3</v>
      </c>
      <c r="K65" s="53">
        <f t="shared" si="0"/>
        <v>22.326000000000001</v>
      </c>
      <c r="L65" s="54" t="s">
        <v>265</v>
      </c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267</v>
      </c>
      <c r="B67" s="45" t="s">
        <v>187</v>
      </c>
      <c r="C67" s="46">
        <v>28</v>
      </c>
      <c r="D67" s="47" t="s">
        <v>245</v>
      </c>
      <c r="E67" s="48">
        <v>20</v>
      </c>
      <c r="F67" s="49">
        <v>20.350000000000001</v>
      </c>
      <c r="G67" s="50" t="s">
        <v>246</v>
      </c>
      <c r="H67" s="51">
        <v>2440</v>
      </c>
      <c r="I67" s="45">
        <v>3050</v>
      </c>
      <c r="J67" s="52">
        <v>3</v>
      </c>
      <c r="K67" s="53">
        <f t="shared" si="0"/>
        <v>22.326000000000001</v>
      </c>
      <c r="L67" s="54" t="s">
        <v>265</v>
      </c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268</v>
      </c>
      <c r="B69" s="45" t="s">
        <v>187</v>
      </c>
      <c r="C69" s="46">
        <v>28</v>
      </c>
      <c r="D69" s="47" t="s">
        <v>245</v>
      </c>
      <c r="E69" s="48">
        <v>16</v>
      </c>
      <c r="F69" s="49">
        <v>15.85</v>
      </c>
      <c r="G69" s="50" t="s">
        <v>246</v>
      </c>
      <c r="H69" s="51">
        <v>2440</v>
      </c>
      <c r="I69" s="45">
        <v>3050</v>
      </c>
      <c r="J69" s="52">
        <v>1</v>
      </c>
      <c r="K69" s="53">
        <f t="shared" si="0"/>
        <v>7.4420000000000002</v>
      </c>
      <c r="L69" s="54" t="s">
        <v>265</v>
      </c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 t="s">
        <v>246</v>
      </c>
      <c r="H70" s="51">
        <v>3050</v>
      </c>
      <c r="I70" s="45">
        <v>4000</v>
      </c>
      <c r="J70" s="52">
        <v>1</v>
      </c>
      <c r="K70" s="53">
        <f t="shared" si="0"/>
        <v>12.2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 t="s">
        <v>269</v>
      </c>
      <c r="B72" s="45" t="s">
        <v>16</v>
      </c>
      <c r="C72" s="46">
        <v>22</v>
      </c>
      <c r="D72" s="47" t="s">
        <v>45</v>
      </c>
      <c r="E72" s="48">
        <v>180</v>
      </c>
      <c r="F72" s="49">
        <v>137.30000000000001</v>
      </c>
      <c r="G72" s="50" t="s">
        <v>270</v>
      </c>
      <c r="H72" s="51">
        <v>1829</v>
      </c>
      <c r="I72" s="45">
        <v>3353</v>
      </c>
      <c r="J72" s="52">
        <v>24</v>
      </c>
      <c r="K72" s="53">
        <f t="shared" si="0"/>
        <v>147.183288</v>
      </c>
      <c r="L72" s="54" t="s">
        <v>271</v>
      </c>
    </row>
    <row r="73" spans="1:12" s="55" customFormat="1" ht="19.5" customHeight="1" x14ac:dyDescent="0.3">
      <c r="A73" s="44"/>
      <c r="B73" s="45"/>
      <c r="C73" s="46">
        <v>22</v>
      </c>
      <c r="D73" s="47" t="s">
        <v>17</v>
      </c>
      <c r="E73" s="48">
        <v>150</v>
      </c>
      <c r="F73" s="49">
        <v>118</v>
      </c>
      <c r="G73" s="50" t="s">
        <v>19</v>
      </c>
      <c r="H73" s="51">
        <v>1829</v>
      </c>
      <c r="I73" s="45">
        <v>3353</v>
      </c>
      <c r="J73" s="52">
        <v>43</v>
      </c>
      <c r="K73" s="53">
        <f t="shared" ref="K73:K76" si="1">(H73/1000*I73/1000)*J73</f>
        <v>263.70339100000001</v>
      </c>
      <c r="L73" s="54" t="s">
        <v>261</v>
      </c>
    </row>
    <row r="74" spans="1:12" s="55" customFormat="1" ht="19.5" customHeight="1" x14ac:dyDescent="0.3">
      <c r="A74" s="44"/>
      <c r="B74" s="45"/>
      <c r="C74" s="46"/>
      <c r="D74" s="47"/>
      <c r="E74" s="48"/>
      <c r="F74" s="49"/>
      <c r="G74" s="50"/>
      <c r="H74" s="51"/>
      <c r="I74" s="45"/>
      <c r="J74" s="52"/>
      <c r="K74" s="53">
        <f t="shared" si="1"/>
        <v>0</v>
      </c>
      <c r="L74" s="54"/>
    </row>
    <row r="75" spans="1:12" s="55" customFormat="1" ht="19.5" customHeight="1" x14ac:dyDescent="0.3">
      <c r="A75" s="44"/>
      <c r="B75" s="45"/>
      <c r="C75" s="46"/>
      <c r="D75" s="47"/>
      <c r="E75" s="48"/>
      <c r="F75" s="49"/>
      <c r="G75" s="50"/>
      <c r="H75" s="51"/>
      <c r="I75" s="45"/>
      <c r="J75" s="52"/>
      <c r="K75" s="53">
        <f t="shared" si="1"/>
        <v>0</v>
      </c>
      <c r="L75" s="54"/>
    </row>
    <row r="76" spans="1:12" s="55" customFormat="1" ht="19.5" customHeight="1" x14ac:dyDescent="0.3">
      <c r="A76" s="44"/>
      <c r="B76" s="45"/>
      <c r="C76" s="46"/>
      <c r="D76" s="47"/>
      <c r="E76" s="48"/>
      <c r="F76" s="49"/>
      <c r="G76" s="50"/>
      <c r="H76" s="51"/>
      <c r="I76" s="45"/>
      <c r="J76" s="52"/>
      <c r="K76" s="53">
        <f t="shared" si="1"/>
        <v>0</v>
      </c>
      <c r="L76" s="54"/>
    </row>
    <row r="77" spans="1:12" s="55" customFormat="1" ht="19.5" customHeight="1" x14ac:dyDescent="0.3">
      <c r="A77" s="44"/>
      <c r="B77" s="45"/>
      <c r="C77" s="46"/>
      <c r="D77" s="47"/>
      <c r="E77" s="48"/>
      <c r="F77" s="49"/>
      <c r="G77" s="50"/>
      <c r="H77" s="51"/>
      <c r="I77" s="45"/>
      <c r="J77" s="52"/>
      <c r="K77" s="53">
        <f t="shared" si="0"/>
        <v>0</v>
      </c>
      <c r="L77" s="54"/>
    </row>
    <row r="78" spans="1:12" s="55" customFormat="1" ht="19.5" customHeight="1" x14ac:dyDescent="0.3">
      <c r="A78" s="44"/>
      <c r="B78" s="45"/>
      <c r="C78" s="46"/>
      <c r="D78" s="47"/>
      <c r="E78" s="48"/>
      <c r="F78" s="49"/>
      <c r="G78" s="50"/>
      <c r="H78" s="51"/>
      <c r="I78" s="45"/>
      <c r="J78" s="52"/>
      <c r="K78" s="53">
        <f t="shared" si="0"/>
        <v>0</v>
      </c>
      <c r="L78" s="54"/>
    </row>
    <row r="79" spans="1:12" s="59" customFormat="1" ht="20.100000000000001" customHeight="1" x14ac:dyDescent="0.3">
      <c r="A79" s="44"/>
      <c r="B79" s="45"/>
      <c r="C79" s="46"/>
      <c r="D79" s="47"/>
      <c r="E79" s="56"/>
      <c r="F79" s="57"/>
      <c r="G79" s="50"/>
      <c r="H79" s="51"/>
      <c r="I79" s="45"/>
      <c r="J79" s="52"/>
      <c r="K79" s="53">
        <f t="shared" si="0"/>
        <v>0</v>
      </c>
      <c r="L79" s="58">
        <f>SUM(J43:J80)</f>
        <v>178</v>
      </c>
    </row>
    <row r="80" spans="1:12" s="59" customFormat="1" ht="20.100000000000001" customHeight="1" x14ac:dyDescent="0.3">
      <c r="A80" s="44"/>
      <c r="B80" s="45"/>
      <c r="C80" s="46"/>
      <c r="D80" s="47"/>
      <c r="E80" s="60"/>
      <c r="F80" s="61"/>
      <c r="G80" s="62"/>
      <c r="H80" s="51"/>
      <c r="I80" s="45"/>
      <c r="J80" s="63"/>
      <c r="K80" s="53">
        <f t="shared" si="0"/>
        <v>0</v>
      </c>
      <c r="L80" s="64">
        <f>SUM(K43:K80)</f>
        <v>1251.9150050000001</v>
      </c>
    </row>
    <row r="81" spans="1:12" s="59" customFormat="1" ht="20.100000000000001" customHeight="1" thickBot="1" x14ac:dyDescent="0.35">
      <c r="A81" s="114"/>
      <c r="B81" s="115"/>
      <c r="C81" s="115"/>
      <c r="D81" s="115"/>
      <c r="E81" s="115"/>
      <c r="F81" s="115"/>
      <c r="G81" s="115"/>
      <c r="H81" s="115"/>
      <c r="I81" s="115"/>
      <c r="J81" s="65">
        <f>SUM(J7:J80)</f>
        <v>366</v>
      </c>
      <c r="K81" s="66">
        <f>SUM(K7:K80)</f>
        <v>2613.6192719999999</v>
      </c>
      <c r="L81" s="67"/>
    </row>
    <row r="82" spans="1:12" s="59" customFormat="1" ht="20.100000000000001" customHeight="1" thickTop="1" thickBot="1" x14ac:dyDescent="0.35">
      <c r="A82" s="116" t="s">
        <v>52</v>
      </c>
      <c r="B82" s="117"/>
      <c r="C82" s="68"/>
      <c r="D82" s="118">
        <f>J81</f>
        <v>366</v>
      </c>
      <c r="E82" s="119"/>
      <c r="F82" s="119"/>
      <c r="G82" s="120"/>
      <c r="H82" s="121"/>
      <c r="I82" s="121"/>
      <c r="J82" s="122"/>
      <c r="K82" s="119"/>
      <c r="L82" s="123"/>
    </row>
    <row r="83" spans="1:12" s="59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71"/>
    </row>
    <row r="84" spans="1:12" s="59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s="59" customFormat="1" ht="20.100000000000001" customHeight="1" x14ac:dyDescent="0.3">
      <c r="A88" s="113"/>
      <c r="B88" s="113"/>
      <c r="C88" s="5"/>
      <c r="D88" s="5"/>
      <c r="E88" s="72"/>
      <c r="F88" s="5"/>
      <c r="G88" s="5"/>
      <c r="H88" s="5"/>
      <c r="I88" s="5"/>
      <c r="J88" s="5"/>
      <c r="K88" s="5"/>
      <c r="L88" s="5"/>
    </row>
    <row r="89" spans="1:12" s="59" customFormat="1" ht="20.100000000000001" customHeight="1" x14ac:dyDescent="0.3">
      <c r="A89" s="113"/>
      <c r="B89" s="113"/>
      <c r="C89" s="5"/>
      <c r="D89" s="5"/>
      <c r="E89" s="5"/>
      <c r="F89" s="5"/>
      <c r="G89" s="73"/>
      <c r="H89" s="5"/>
      <c r="I89" s="74"/>
      <c r="J89" s="5"/>
      <c r="K89" s="5"/>
      <c r="L89" s="5"/>
    </row>
    <row r="90" spans="1:12" s="59" customFormat="1" ht="20.100000000000001" customHeight="1" x14ac:dyDescent="0.3">
      <c r="A90" s="113"/>
      <c r="B90" s="113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1:12" s="59" customFormat="1" ht="20.100000000000001" customHeight="1" x14ac:dyDescent="0.3">
      <c r="A91" s="69"/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59" customFormat="1" ht="20.100000000000001" customHeight="1" x14ac:dyDescent="0.3">
      <c r="A92" s="113"/>
      <c r="B92" s="113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59" customFormat="1" ht="20.100000000000001" customHeight="1" x14ac:dyDescent="0.3">
      <c r="A93" s="113"/>
      <c r="B93" s="113"/>
      <c r="C93" s="5"/>
      <c r="D93" s="5"/>
      <c r="E93" s="5"/>
      <c r="F93" s="70"/>
      <c r="G93" s="5"/>
      <c r="H93" s="72"/>
      <c r="I93" s="72"/>
      <c r="J93" s="5"/>
      <c r="K93" s="5"/>
      <c r="L93" s="5"/>
    </row>
    <row r="94" spans="1:12" ht="20.100000000000001" customHeight="1" x14ac:dyDescent="0.3">
      <c r="A94" s="113"/>
      <c r="B94" s="113"/>
      <c r="H94" s="72"/>
      <c r="I94" s="72"/>
    </row>
    <row r="95" spans="1:12" ht="20.100000000000001" customHeight="1" x14ac:dyDescent="0.3">
      <c r="H95" s="72"/>
      <c r="I95" s="72"/>
    </row>
    <row r="96" spans="1:12" ht="20.100000000000001" customHeight="1" x14ac:dyDescent="0.3">
      <c r="H96" s="72"/>
      <c r="I96" s="72"/>
    </row>
    <row r="97" spans="1:12" ht="20.100000000000001" customHeight="1" x14ac:dyDescent="0.3">
      <c r="A97" s="113"/>
      <c r="B97" s="113"/>
      <c r="H97" s="72"/>
      <c r="I97" s="72"/>
    </row>
    <row r="98" spans="1:12" ht="20.100000000000001" customHeight="1" x14ac:dyDescent="0.3">
      <c r="A98" s="113"/>
      <c r="B98" s="113"/>
      <c r="H98" s="72"/>
      <c r="I98" s="72"/>
    </row>
    <row r="99" spans="1:12" ht="20.100000000000001" customHeight="1" x14ac:dyDescent="0.3">
      <c r="H99" s="72"/>
      <c r="I99" s="72"/>
    </row>
    <row r="100" spans="1:12" ht="20.100000000000001" customHeight="1" x14ac:dyDescent="0.3">
      <c r="H100" s="72"/>
      <c r="I100" s="72"/>
    </row>
    <row r="101" spans="1:12" ht="20.100000000000001" customHeight="1" x14ac:dyDescent="0.3">
      <c r="H101" s="72"/>
      <c r="I101" s="72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J102" s="5"/>
      <c r="K102" s="5"/>
      <c r="L102" s="5"/>
    </row>
    <row r="103" spans="1:12" s="72" customFormat="1" ht="20.100000000000001" customHeight="1" x14ac:dyDescent="0.3">
      <c r="A103" s="69"/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75" customFormat="1" ht="20.100000000000001" customHeight="1" x14ac:dyDescent="0.3">
      <c r="A104" s="69"/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75" customFormat="1" ht="20.100000000000001" customHeight="1" x14ac:dyDescent="0.3">
      <c r="A105" s="69"/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75" customFormat="1" ht="19.5" customHeight="1" x14ac:dyDescent="0.3">
      <c r="A106" s="69"/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72" customFormat="1" ht="20.100000000000001" customHeight="1" x14ac:dyDescent="0.3">
      <c r="A107" s="69"/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72" customFormat="1" ht="20.100000000000001" customHeight="1" x14ac:dyDescent="0.3">
      <c r="A108" s="69"/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ht="19.5" customHeight="1" x14ac:dyDescent="0.3"/>
    <row r="110" spans="1:12" ht="19.5" customHeight="1" x14ac:dyDescent="0.3"/>
    <row r="111" spans="1:12" ht="19.5" customHeight="1" x14ac:dyDescent="0.3"/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ht="19.5" customHeight="1" x14ac:dyDescent="0.3"/>
    <row r="134" spans="2:12" ht="19.5" customHeight="1" x14ac:dyDescent="0.3"/>
    <row r="135" spans="2:12" ht="19.5" customHeight="1" x14ac:dyDescent="0.3"/>
    <row r="136" spans="2:12" ht="19.5" customHeight="1" x14ac:dyDescent="0.3"/>
    <row r="137" spans="2:12" ht="19.5" customHeight="1" x14ac:dyDescent="0.3"/>
    <row r="138" spans="2:12" ht="19.5" customHeight="1" x14ac:dyDescent="0.3"/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/>
      <c r="C166" s="5"/>
      <c r="D166" s="5"/>
      <c r="E166" s="5"/>
      <c r="F166" s="70"/>
      <c r="G166" s="5"/>
      <c r="H166" s="5"/>
      <c r="I166" s="5"/>
      <c r="J166" s="5"/>
      <c r="K166" s="5"/>
      <c r="L166" s="5"/>
    </row>
    <row r="167" spans="2:12" s="69" customFormat="1" ht="19.5" customHeight="1" x14ac:dyDescent="0.3">
      <c r="B167" s="5"/>
      <c r="C167" s="5"/>
      <c r="D167" s="5"/>
      <c r="E167" s="5"/>
      <c r="F167" s="70"/>
      <c r="G167" s="5"/>
      <c r="H167" s="5"/>
      <c r="I167" s="5"/>
      <c r="J167" s="5"/>
      <c r="K167" s="5"/>
      <c r="L167" s="5"/>
    </row>
    <row r="168" spans="2:12" s="69" customFormat="1" ht="19.5" customHeight="1" x14ac:dyDescent="0.3">
      <c r="B168" s="5"/>
      <c r="C168" s="5"/>
      <c r="D168" s="5"/>
      <c r="E168" s="5"/>
      <c r="F168" s="70"/>
      <c r="G168" s="5"/>
      <c r="H168" s="5"/>
      <c r="I168" s="5"/>
      <c r="J168" s="5"/>
      <c r="K168" s="5"/>
      <c r="L168" s="5"/>
    </row>
    <row r="169" spans="2:12" s="69" customFormat="1" ht="19.5" customHeight="1" x14ac:dyDescent="0.3">
      <c r="B169" s="5"/>
      <c r="C169" s="5"/>
      <c r="D169" s="5"/>
      <c r="E169" s="5"/>
      <c r="F169" s="70"/>
      <c r="G169" s="5"/>
      <c r="H169" s="5"/>
      <c r="I169" s="5"/>
      <c r="J169" s="5"/>
      <c r="K169" s="5"/>
      <c r="L169" s="5"/>
    </row>
    <row r="170" spans="2:12" s="69" customFormat="1" ht="19.5" customHeight="1" x14ac:dyDescent="0.3">
      <c r="B170" s="5"/>
      <c r="C170" s="5"/>
      <c r="D170" s="5"/>
      <c r="E170" s="5"/>
      <c r="F170" s="70"/>
      <c r="G170" s="5"/>
      <c r="H170" s="5"/>
      <c r="I170" s="5"/>
      <c r="J170" s="5"/>
      <c r="K170" s="5"/>
      <c r="L170" s="5"/>
    </row>
    <row r="171" spans="2:12" s="69" customFormat="1" ht="19.5" customHeight="1" x14ac:dyDescent="0.3">
      <c r="B171" s="5"/>
      <c r="C171" s="5"/>
      <c r="D171" s="5"/>
      <c r="E171" s="5"/>
      <c r="F171" s="70"/>
      <c r="G171" s="5"/>
      <c r="H171" s="5"/>
      <c r="I171" s="5"/>
      <c r="J171" s="5"/>
      <c r="K171" s="5"/>
      <c r="L171" s="5"/>
    </row>
    <row r="172" spans="2:12" s="69" customFormat="1" ht="19.5" customHeight="1" x14ac:dyDescent="0.3">
      <c r="B172" s="5">
        <v>2</v>
      </c>
      <c r="C172" s="5"/>
      <c r="D172" s="5"/>
      <c r="E172" s="5"/>
      <c r="F172" s="70"/>
      <c r="G172" s="5"/>
      <c r="H172" s="5"/>
      <c r="I172" s="5"/>
      <c r="J172" s="5"/>
      <c r="K172" s="5"/>
      <c r="L172" s="5"/>
    </row>
  </sheetData>
  <mergeCells count="30">
    <mergeCell ref="A97:B97"/>
    <mergeCell ref="A98:B98"/>
    <mergeCell ref="A88:B88"/>
    <mergeCell ref="A89:B89"/>
    <mergeCell ref="A90:B90"/>
    <mergeCell ref="A92:B92"/>
    <mergeCell ref="A93:B93"/>
    <mergeCell ref="A94:B94"/>
    <mergeCell ref="A87:B87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81:I81"/>
    <mergeCell ref="A82:B82"/>
    <mergeCell ref="D82:G82"/>
    <mergeCell ref="H82:J82"/>
    <mergeCell ref="K82:L82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pageSetUpPr fitToPage="1"/>
  </sheetPr>
  <dimension ref="A1:L166"/>
  <sheetViews>
    <sheetView view="pageBreakPreview" topLeftCell="B47" zoomScale="85" zoomScaleSheetLayoutView="85" workbookViewId="0">
      <selection activeCell="G77" sqref="G77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46029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4" si="0">(H7/1000*I7/1000)*J7</f>
        <v>0</v>
      </c>
      <c r="L7" s="26">
        <f>SUM(J7:J42)</f>
        <v>137</v>
      </c>
    </row>
    <row r="8" spans="1:12" s="27" customFormat="1" ht="19.5" customHeight="1" x14ac:dyDescent="0.3">
      <c r="A8" s="28"/>
      <c r="B8" s="29"/>
      <c r="C8" s="30"/>
      <c r="D8" s="31"/>
      <c r="E8" s="32"/>
      <c r="F8" s="33"/>
      <c r="G8" s="34"/>
      <c r="H8" s="35"/>
      <c r="I8" s="36"/>
      <c r="J8" s="37"/>
      <c r="K8" s="38">
        <f t="shared" si="0"/>
        <v>0</v>
      </c>
      <c r="L8" s="39">
        <f>SUM(K7:K42)</f>
        <v>970.64924599999995</v>
      </c>
    </row>
    <row r="9" spans="1:12" s="27" customFormat="1" ht="19.5" customHeight="1" x14ac:dyDescent="0.3">
      <c r="A9" s="28" t="s">
        <v>151</v>
      </c>
      <c r="B9" s="29" t="s">
        <v>145</v>
      </c>
      <c r="C9" s="30">
        <v>24</v>
      </c>
      <c r="D9" s="31" t="s">
        <v>45</v>
      </c>
      <c r="E9" s="41">
        <v>90</v>
      </c>
      <c r="F9" s="42">
        <v>75.599999999999994</v>
      </c>
      <c r="G9" s="34" t="s">
        <v>49</v>
      </c>
      <c r="H9" s="35">
        <v>1981</v>
      </c>
      <c r="I9" s="36">
        <v>3353</v>
      </c>
      <c r="J9" s="37">
        <v>14</v>
      </c>
      <c r="K9" s="38">
        <f t="shared" si="0"/>
        <v>92.992102000000003</v>
      </c>
      <c r="L9" s="39"/>
    </row>
    <row r="10" spans="1:12" s="27" customFormat="1" ht="19.5" customHeight="1" x14ac:dyDescent="0.3">
      <c r="A10" s="28"/>
      <c r="B10" s="29"/>
      <c r="C10" s="30">
        <v>24</v>
      </c>
      <c r="D10" s="31" t="s">
        <v>17</v>
      </c>
      <c r="E10" s="41">
        <v>100</v>
      </c>
      <c r="F10" s="42">
        <v>107</v>
      </c>
      <c r="G10" s="34" t="s">
        <v>18</v>
      </c>
      <c r="H10" s="35">
        <v>2590</v>
      </c>
      <c r="I10" s="36">
        <v>3353</v>
      </c>
      <c r="J10" s="37">
        <v>14</v>
      </c>
      <c r="K10" s="38">
        <f t="shared" si="0"/>
        <v>121.57977999999997</v>
      </c>
      <c r="L10" s="39"/>
    </row>
    <row r="11" spans="1:12" s="27" customFormat="1" ht="19.5" customHeight="1" x14ac:dyDescent="0.3">
      <c r="A11" s="28"/>
      <c r="B11" s="29"/>
      <c r="C11" s="30">
        <v>22</v>
      </c>
      <c r="D11" s="31" t="s">
        <v>45</v>
      </c>
      <c r="E11" s="41">
        <v>10</v>
      </c>
      <c r="F11" s="42">
        <v>11.7</v>
      </c>
      <c r="G11" s="34" t="s">
        <v>19</v>
      </c>
      <c r="H11" s="35">
        <v>1981</v>
      </c>
      <c r="I11" s="36">
        <v>3353</v>
      </c>
      <c r="J11" s="37">
        <v>31</v>
      </c>
      <c r="K11" s="38">
        <f t="shared" si="0"/>
        <v>205.91108300000002</v>
      </c>
      <c r="L11" s="39"/>
    </row>
    <row r="12" spans="1:12" s="27" customFormat="1" ht="19.5" customHeight="1" x14ac:dyDescent="0.3">
      <c r="A12" s="28"/>
      <c r="B12" s="29"/>
      <c r="C12" s="30"/>
      <c r="D12" s="31"/>
      <c r="E12" s="41"/>
      <c r="F12" s="42"/>
      <c r="G12" s="43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198</v>
      </c>
      <c r="B13" s="29" t="s">
        <v>132</v>
      </c>
      <c r="C13" s="30">
        <v>16</v>
      </c>
      <c r="D13" s="31" t="s">
        <v>199</v>
      </c>
      <c r="E13" s="41">
        <v>1</v>
      </c>
      <c r="F13" s="42">
        <v>1.71</v>
      </c>
      <c r="G13" s="34" t="s">
        <v>49</v>
      </c>
      <c r="H13" s="35">
        <v>1981</v>
      </c>
      <c r="I13" s="36">
        <v>3353</v>
      </c>
      <c r="J13" s="37">
        <v>1</v>
      </c>
      <c r="K13" s="38">
        <f t="shared" si="0"/>
        <v>6.6422930000000004</v>
      </c>
      <c r="L13" s="39" t="s">
        <v>166</v>
      </c>
    </row>
    <row r="14" spans="1:12" s="27" customFormat="1" ht="19.5" customHeight="1" x14ac:dyDescent="0.3">
      <c r="A14" s="28"/>
      <c r="B14" s="29"/>
      <c r="C14" s="30"/>
      <c r="D14" s="31"/>
      <c r="E14" s="41"/>
      <c r="F14" s="42"/>
      <c r="G14" s="43"/>
      <c r="H14" s="35"/>
      <c r="I14" s="36"/>
      <c r="J14" s="37"/>
      <c r="K14" s="38">
        <f t="shared" si="0"/>
        <v>0</v>
      </c>
      <c r="L14" s="39"/>
    </row>
    <row r="15" spans="1:12" s="27" customFormat="1" ht="19.5" customHeight="1" x14ac:dyDescent="0.3">
      <c r="A15" s="28" t="s">
        <v>200</v>
      </c>
      <c r="B15" s="29" t="s">
        <v>201</v>
      </c>
      <c r="C15" s="30">
        <v>22</v>
      </c>
      <c r="D15" s="31" t="s">
        <v>199</v>
      </c>
      <c r="E15" s="41">
        <v>14</v>
      </c>
      <c r="F15" s="42">
        <v>6.44</v>
      </c>
      <c r="G15" s="34" t="s">
        <v>49</v>
      </c>
      <c r="H15" s="35">
        <v>1981</v>
      </c>
      <c r="I15" s="36">
        <v>3353</v>
      </c>
      <c r="J15" s="37">
        <v>1</v>
      </c>
      <c r="K15" s="38">
        <f t="shared" si="0"/>
        <v>6.6422930000000004</v>
      </c>
      <c r="L15" s="39"/>
    </row>
    <row r="16" spans="1:12" s="27" customFormat="1" ht="19.5" customHeight="1" x14ac:dyDescent="0.3">
      <c r="A16" s="28"/>
      <c r="B16" s="29"/>
      <c r="C16" s="30">
        <v>22</v>
      </c>
      <c r="D16" s="31" t="s">
        <v>78</v>
      </c>
      <c r="E16" s="41">
        <v>14</v>
      </c>
      <c r="F16" s="42">
        <v>6.44</v>
      </c>
      <c r="G16" s="43" t="s">
        <v>18</v>
      </c>
      <c r="H16" s="35">
        <v>1981</v>
      </c>
      <c r="I16" s="36">
        <v>3353</v>
      </c>
      <c r="J16" s="37">
        <v>3</v>
      </c>
      <c r="K16" s="38">
        <f t="shared" si="0"/>
        <v>19.926879</v>
      </c>
      <c r="L16" s="39"/>
    </row>
    <row r="17" spans="1:12" s="27" customFormat="1" ht="19.5" customHeight="1" x14ac:dyDescent="0.3">
      <c r="A17" s="28"/>
      <c r="B17" s="29"/>
      <c r="C17" s="30"/>
      <c r="D17" s="31"/>
      <c r="E17" s="41"/>
      <c r="F17" s="4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181</v>
      </c>
      <c r="B18" s="29" t="s">
        <v>145</v>
      </c>
      <c r="C18" s="30">
        <v>24</v>
      </c>
      <c r="D18" s="31" t="s">
        <v>45</v>
      </c>
      <c r="E18" s="41">
        <v>144</v>
      </c>
      <c r="F18" s="42">
        <v>138.4</v>
      </c>
      <c r="G18" s="43" t="s">
        <v>49</v>
      </c>
      <c r="H18" s="35">
        <v>1981</v>
      </c>
      <c r="I18" s="36">
        <v>3353</v>
      </c>
      <c r="J18" s="37">
        <v>14</v>
      </c>
      <c r="K18" s="38">
        <f t="shared" si="0"/>
        <v>92.992102000000003</v>
      </c>
      <c r="L18" s="39" t="s">
        <v>202</v>
      </c>
    </row>
    <row r="19" spans="1:12" s="27" customFormat="1" ht="19.5" customHeight="1" x14ac:dyDescent="0.3">
      <c r="A19" s="28"/>
      <c r="B19" s="29"/>
      <c r="C19" s="30">
        <v>22</v>
      </c>
      <c r="D19" s="31" t="s">
        <v>45</v>
      </c>
      <c r="E19" s="41">
        <v>32</v>
      </c>
      <c r="F19" s="42">
        <v>38.24</v>
      </c>
      <c r="G19" s="34"/>
      <c r="H19" s="35"/>
      <c r="I19" s="36"/>
      <c r="J19" s="37"/>
      <c r="K19" s="38">
        <f t="shared" si="0"/>
        <v>0</v>
      </c>
      <c r="L19" s="39" t="s">
        <v>202</v>
      </c>
    </row>
    <row r="20" spans="1:12" s="27" customFormat="1" ht="19.5" customHeight="1" x14ac:dyDescent="0.3">
      <c r="A20" s="28"/>
      <c r="B20" s="29"/>
      <c r="C20" s="30"/>
      <c r="D20" s="31"/>
      <c r="E20" s="41"/>
      <c r="F20" s="42"/>
      <c r="G20" s="43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181</v>
      </c>
      <c r="B21" s="29" t="s">
        <v>145</v>
      </c>
      <c r="C21" s="30">
        <v>24</v>
      </c>
      <c r="D21" s="31" t="s">
        <v>17</v>
      </c>
      <c r="E21" s="41">
        <v>144</v>
      </c>
      <c r="F21" s="42">
        <v>138.4</v>
      </c>
      <c r="G21" s="43" t="s">
        <v>18</v>
      </c>
      <c r="H21" s="35">
        <v>2590</v>
      </c>
      <c r="I21" s="36">
        <v>3353</v>
      </c>
      <c r="J21" s="37">
        <v>16</v>
      </c>
      <c r="K21" s="38">
        <f t="shared" si="0"/>
        <v>138.94831999999997</v>
      </c>
      <c r="L21" s="39"/>
    </row>
    <row r="22" spans="1:12" s="27" customFormat="1" ht="19.5" customHeight="1" x14ac:dyDescent="0.3">
      <c r="A22" s="28"/>
      <c r="B22" s="29"/>
      <c r="C22" s="30"/>
      <c r="D22" s="31"/>
      <c r="E22" s="41"/>
      <c r="F22" s="42"/>
      <c r="G22" s="43" t="s">
        <v>18</v>
      </c>
      <c r="H22" s="35">
        <v>1981</v>
      </c>
      <c r="I22" s="36">
        <v>3048</v>
      </c>
      <c r="J22" s="37">
        <v>1</v>
      </c>
      <c r="K22" s="38">
        <f t="shared" si="0"/>
        <v>6.038088000000001</v>
      </c>
      <c r="L22" s="39"/>
    </row>
    <row r="23" spans="1:12" s="27" customFormat="1" ht="19.5" customHeight="1" x14ac:dyDescent="0.3">
      <c r="A23" s="28"/>
      <c r="B23" s="29"/>
      <c r="C23" s="30"/>
      <c r="D23" s="31"/>
      <c r="E23" s="41"/>
      <c r="F23" s="42"/>
      <c r="G23" s="34" t="s">
        <v>19</v>
      </c>
      <c r="H23" s="35">
        <v>1981</v>
      </c>
      <c r="I23" s="36">
        <v>3353</v>
      </c>
      <c r="J23" s="37">
        <v>22</v>
      </c>
      <c r="K23" s="38">
        <f t="shared" si="0"/>
        <v>146.13044600000001</v>
      </c>
      <c r="L23" s="39"/>
    </row>
    <row r="24" spans="1:12" s="27" customFormat="1" ht="19.5" customHeight="1" x14ac:dyDescent="0.3">
      <c r="A24" s="28"/>
      <c r="B24" s="29"/>
      <c r="C24" s="30"/>
      <c r="D24" s="31"/>
      <c r="E24" s="41"/>
      <c r="F24" s="42"/>
      <c r="G24" s="43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 t="s">
        <v>144</v>
      </c>
      <c r="B25" s="29" t="s">
        <v>145</v>
      </c>
      <c r="C25" s="30">
        <v>24</v>
      </c>
      <c r="D25" s="31" t="s">
        <v>45</v>
      </c>
      <c r="E25" s="41">
        <v>113</v>
      </c>
      <c r="F25" s="42">
        <v>101.88</v>
      </c>
      <c r="G25" s="34" t="s">
        <v>49</v>
      </c>
      <c r="H25" s="35">
        <v>1981</v>
      </c>
      <c r="I25" s="36">
        <v>3353</v>
      </c>
      <c r="J25" s="37">
        <v>20</v>
      </c>
      <c r="K25" s="38">
        <f t="shared" si="0"/>
        <v>132.84586000000002</v>
      </c>
      <c r="L25" s="39" t="s">
        <v>202</v>
      </c>
    </row>
    <row r="26" spans="1:12" s="27" customFormat="1" ht="19.5" customHeight="1" x14ac:dyDescent="0.3">
      <c r="A26" s="28"/>
      <c r="B26" s="29"/>
      <c r="C26" s="30">
        <v>22</v>
      </c>
      <c r="D26" s="31" t="s">
        <v>45</v>
      </c>
      <c r="E26" s="41">
        <v>20</v>
      </c>
      <c r="F26" s="42">
        <v>23.4</v>
      </c>
      <c r="G26" s="34"/>
      <c r="H26" s="35"/>
      <c r="I26" s="36"/>
      <c r="J26" s="37"/>
      <c r="K26" s="38">
        <f t="shared" si="0"/>
        <v>0</v>
      </c>
      <c r="L26" s="39" t="s">
        <v>202</v>
      </c>
    </row>
    <row r="27" spans="1:12" s="27" customFormat="1" ht="19.5" customHeight="1" x14ac:dyDescent="0.3">
      <c r="A27" s="28"/>
      <c r="B27" s="29"/>
      <c r="C27" s="30"/>
      <c r="D27" s="31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29"/>
      <c r="C29" s="30"/>
      <c r="D29" s="31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34"/>
      <c r="H30" s="35"/>
      <c r="I30" s="36"/>
      <c r="J30" s="37"/>
      <c r="K30" s="38">
        <f t="shared" si="0"/>
        <v>0</v>
      </c>
      <c r="L30" s="39"/>
    </row>
    <row r="31" spans="1:12" s="27" customFormat="1" ht="19.5" customHeight="1" x14ac:dyDescent="0.3">
      <c r="A31" s="28"/>
      <c r="B31" s="29"/>
      <c r="C31" s="30"/>
      <c r="D31" s="31"/>
      <c r="E31" s="41"/>
      <c r="F31" s="42"/>
      <c r="G31" s="34"/>
      <c r="H31" s="35"/>
      <c r="I31" s="36"/>
      <c r="J31" s="37"/>
      <c r="K31" s="38">
        <f t="shared" si="0"/>
        <v>0</v>
      </c>
      <c r="L31" s="39"/>
    </row>
    <row r="32" spans="1:12" s="27" customFormat="1" ht="19.5" customHeight="1" x14ac:dyDescent="0.3">
      <c r="A32" s="28"/>
      <c r="B32" s="29"/>
      <c r="C32" s="30"/>
      <c r="D32" s="31"/>
      <c r="E32" s="41"/>
      <c r="F32" s="42"/>
      <c r="G32" s="34"/>
      <c r="H32" s="35"/>
      <c r="I32" s="36"/>
      <c r="J32" s="37"/>
      <c r="K32" s="38">
        <f t="shared" si="0"/>
        <v>0</v>
      </c>
      <c r="L32" s="39"/>
    </row>
    <row r="33" spans="1:12" s="27" customFormat="1" ht="19.5" customHeight="1" x14ac:dyDescent="0.3">
      <c r="A33" s="28"/>
      <c r="B33" s="29"/>
      <c r="C33" s="30"/>
      <c r="D33" s="31"/>
      <c r="E33" s="41"/>
      <c r="F33" s="42"/>
      <c r="G33" s="34"/>
      <c r="H33" s="35"/>
      <c r="I33" s="36"/>
      <c r="J33" s="37"/>
      <c r="K33" s="38">
        <f t="shared" si="0"/>
        <v>0</v>
      </c>
      <c r="L33" s="39"/>
    </row>
    <row r="34" spans="1:12" s="27" customFormat="1" ht="19.5" customHeight="1" x14ac:dyDescent="0.3">
      <c r="A34" s="28"/>
      <c r="B34" s="29"/>
      <c r="C34" s="30"/>
      <c r="D34" s="31"/>
      <c r="E34" s="41"/>
      <c r="F34" s="42"/>
      <c r="G34" s="34"/>
      <c r="H34" s="35"/>
      <c r="I34" s="36"/>
      <c r="J34" s="37"/>
      <c r="K34" s="38">
        <f t="shared" si="0"/>
        <v>0</v>
      </c>
      <c r="L34" s="39"/>
    </row>
    <row r="35" spans="1:12" s="27" customFormat="1" ht="19.5" customHeight="1" x14ac:dyDescent="0.3">
      <c r="A35" s="28"/>
      <c r="B35" s="29"/>
      <c r="C35" s="30"/>
      <c r="D35" s="31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28"/>
      <c r="B36" s="29"/>
      <c r="C36" s="30"/>
      <c r="D36" s="31"/>
      <c r="E36" s="41"/>
      <c r="F36" s="42"/>
      <c r="G36" s="43"/>
      <c r="H36" s="35"/>
      <c r="I36" s="36"/>
      <c r="J36" s="37"/>
      <c r="K36" s="38">
        <f t="shared" si="0"/>
        <v>0</v>
      </c>
      <c r="L36" s="39"/>
    </row>
    <row r="37" spans="1:12" s="27" customFormat="1" ht="19.5" customHeight="1" x14ac:dyDescent="0.3">
      <c r="A37" s="28"/>
      <c r="B37" s="29"/>
      <c r="C37" s="30"/>
      <c r="D37" s="31"/>
      <c r="E37" s="41"/>
      <c r="F37" s="42"/>
      <c r="G37" s="43"/>
      <c r="H37" s="35"/>
      <c r="I37" s="36"/>
      <c r="J37" s="37"/>
      <c r="K37" s="38">
        <f t="shared" si="0"/>
        <v>0</v>
      </c>
      <c r="L37" s="39"/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/>
      <c r="B39" s="29"/>
      <c r="C39" s="30"/>
      <c r="D39" s="31"/>
      <c r="E39" s="41"/>
      <c r="F39" s="42"/>
      <c r="G39" s="34"/>
      <c r="H39" s="35"/>
      <c r="I39" s="36"/>
      <c r="J39" s="37"/>
      <c r="K39" s="38">
        <f t="shared" si="0"/>
        <v>0</v>
      </c>
      <c r="L39" s="39"/>
    </row>
    <row r="40" spans="1:12" s="27" customFormat="1" ht="19.5" customHeight="1" x14ac:dyDescent="0.3">
      <c r="A40" s="28"/>
      <c r="B40" s="29"/>
      <c r="C40" s="30"/>
      <c r="D40" s="31"/>
      <c r="E40" s="41"/>
      <c r="F40" s="42"/>
      <c r="G40" s="34"/>
      <c r="H40" s="35"/>
      <c r="I40" s="36"/>
      <c r="J40" s="37"/>
      <c r="K40" s="38">
        <f t="shared" si="0"/>
        <v>0</v>
      </c>
      <c r="L40" s="39"/>
    </row>
    <row r="41" spans="1:12" s="27" customFormat="1" ht="19.5" customHeight="1" x14ac:dyDescent="0.3">
      <c r="A41" s="28"/>
      <c r="B41" s="29"/>
      <c r="C41" s="30"/>
      <c r="D41" s="31"/>
      <c r="E41" s="41"/>
      <c r="F41" s="42"/>
      <c r="G41" s="34"/>
      <c r="H41" s="35"/>
      <c r="I41" s="36"/>
      <c r="J41" s="37"/>
      <c r="K41" s="38">
        <f t="shared" si="0"/>
        <v>0</v>
      </c>
      <c r="L41" s="39"/>
    </row>
    <row r="42" spans="1:12" s="27" customFormat="1" ht="19.5" customHeight="1" x14ac:dyDescent="0.3">
      <c r="A42" s="28"/>
      <c r="B42" s="29"/>
      <c r="C42" s="30"/>
      <c r="D42" s="31"/>
      <c r="E42" s="41"/>
      <c r="F42" s="42"/>
      <c r="G42" s="43"/>
      <c r="H42" s="35"/>
      <c r="I42" s="36"/>
      <c r="J42" s="37"/>
      <c r="K42" s="38">
        <f t="shared" si="0"/>
        <v>0</v>
      </c>
      <c r="L42" s="39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203</v>
      </c>
      <c r="B44" s="45" t="s">
        <v>204</v>
      </c>
      <c r="C44" s="46">
        <v>28</v>
      </c>
      <c r="D44" s="47" t="s">
        <v>205</v>
      </c>
      <c r="E44" s="48">
        <v>9</v>
      </c>
      <c r="F44" s="49">
        <v>30.14</v>
      </c>
      <c r="G44" s="50" t="s">
        <v>206</v>
      </c>
      <c r="H44" s="51">
        <v>2134</v>
      </c>
      <c r="I44" s="45">
        <v>3353</v>
      </c>
      <c r="J44" s="52">
        <v>4</v>
      </c>
      <c r="K44" s="53">
        <f t="shared" si="0"/>
        <v>28.621207999999999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 t="s">
        <v>206</v>
      </c>
      <c r="H45" s="51">
        <v>2438</v>
      </c>
      <c r="I45" s="45">
        <v>3353</v>
      </c>
      <c r="J45" s="52">
        <v>1</v>
      </c>
      <c r="K45" s="53">
        <f t="shared" si="0"/>
        <v>8.174614</v>
      </c>
      <c r="L45" s="54"/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 t="s">
        <v>189</v>
      </c>
      <c r="H46" s="51">
        <v>2134</v>
      </c>
      <c r="I46" s="45">
        <v>3353</v>
      </c>
      <c r="J46" s="52">
        <v>5</v>
      </c>
      <c r="K46" s="53">
        <f t="shared" si="0"/>
        <v>35.776510000000002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207</v>
      </c>
      <c r="B48" s="45" t="s">
        <v>54</v>
      </c>
      <c r="C48" s="46">
        <v>43</v>
      </c>
      <c r="D48" s="47" t="s">
        <v>208</v>
      </c>
      <c r="E48" s="48">
        <v>1</v>
      </c>
      <c r="F48" s="49">
        <v>0.51</v>
      </c>
      <c r="G48" s="50"/>
      <c r="H48" s="51"/>
      <c r="I48" s="45"/>
      <c r="J48" s="52"/>
      <c r="K48" s="53">
        <f t="shared" si="0"/>
        <v>0</v>
      </c>
      <c r="L48" s="54" t="s">
        <v>31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186</v>
      </c>
      <c r="B50" s="45" t="s">
        <v>187</v>
      </c>
      <c r="C50" s="46">
        <v>28</v>
      </c>
      <c r="D50" s="47" t="s">
        <v>188</v>
      </c>
      <c r="E50" s="48">
        <v>194</v>
      </c>
      <c r="F50" s="49">
        <v>259.83</v>
      </c>
      <c r="G50" s="50" t="s">
        <v>209</v>
      </c>
      <c r="H50" s="51">
        <v>2134</v>
      </c>
      <c r="I50" s="45">
        <v>3353</v>
      </c>
      <c r="J50" s="52">
        <v>43</v>
      </c>
      <c r="K50" s="53">
        <f t="shared" si="0"/>
        <v>307.67798599999998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 t="s">
        <v>189</v>
      </c>
      <c r="H51" s="51">
        <v>3048</v>
      </c>
      <c r="I51" s="45">
        <v>3658</v>
      </c>
      <c r="J51" s="52">
        <v>25</v>
      </c>
      <c r="K51" s="53">
        <f t="shared" si="0"/>
        <v>278.7396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 t="s">
        <v>189</v>
      </c>
      <c r="H52" s="51">
        <v>1981</v>
      </c>
      <c r="I52" s="45">
        <v>3048</v>
      </c>
      <c r="J52" s="52">
        <v>1</v>
      </c>
      <c r="K52" s="53">
        <f t="shared" si="0"/>
        <v>6.038088000000001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190</v>
      </c>
      <c r="B54" s="45" t="s">
        <v>191</v>
      </c>
      <c r="C54" s="46">
        <v>22</v>
      </c>
      <c r="D54" s="47" t="s">
        <v>192</v>
      </c>
      <c r="E54" s="48">
        <v>8</v>
      </c>
      <c r="F54" s="49">
        <v>16.14</v>
      </c>
      <c r="G54" s="50" t="s">
        <v>18</v>
      </c>
      <c r="H54" s="51">
        <v>2134</v>
      </c>
      <c r="I54" s="45">
        <v>3353</v>
      </c>
      <c r="J54" s="52">
        <v>4</v>
      </c>
      <c r="K54" s="53">
        <f t="shared" si="0"/>
        <v>28.621207999999999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 t="s">
        <v>18</v>
      </c>
      <c r="H55" s="51">
        <v>2134</v>
      </c>
      <c r="I55" s="45">
        <v>3048</v>
      </c>
      <c r="J55" s="52">
        <v>1</v>
      </c>
      <c r="K55" s="53">
        <f t="shared" si="0"/>
        <v>6.5044319999999995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210</v>
      </c>
      <c r="B57" s="45" t="s">
        <v>194</v>
      </c>
      <c r="C57" s="46">
        <v>24</v>
      </c>
      <c r="D57" s="47" t="s">
        <v>195</v>
      </c>
      <c r="E57" s="48">
        <v>43</v>
      </c>
      <c r="F57" s="49">
        <v>84.66</v>
      </c>
      <c r="G57" s="50" t="s">
        <v>211</v>
      </c>
      <c r="H57" s="51">
        <v>3048</v>
      </c>
      <c r="I57" s="45">
        <v>3658</v>
      </c>
      <c r="J57" s="52">
        <v>5</v>
      </c>
      <c r="K57" s="53">
        <f t="shared" si="0"/>
        <v>55.747920000000008</v>
      </c>
      <c r="L57" s="54"/>
    </row>
    <row r="58" spans="1:12" s="55" customFormat="1" ht="19.5" customHeight="1" x14ac:dyDescent="0.3">
      <c r="A58" s="44"/>
      <c r="B58" s="45"/>
      <c r="C58" s="46"/>
      <c r="D58" s="47"/>
      <c r="E58" s="48"/>
      <c r="F58" s="49"/>
      <c r="G58" s="50" t="s">
        <v>211</v>
      </c>
      <c r="H58" s="51">
        <v>2134</v>
      </c>
      <c r="I58" s="45">
        <v>3048</v>
      </c>
      <c r="J58" s="52">
        <v>6</v>
      </c>
      <c r="K58" s="53">
        <f t="shared" si="0"/>
        <v>39.026591999999994</v>
      </c>
      <c r="L58" s="54"/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 t="s">
        <v>274</v>
      </c>
      <c r="H59" s="51">
        <v>2590</v>
      </c>
      <c r="I59" s="45">
        <v>3048</v>
      </c>
      <c r="J59" s="52">
        <v>9</v>
      </c>
      <c r="K59" s="53">
        <f t="shared" si="0"/>
        <v>71.048879999999997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 t="s">
        <v>274</v>
      </c>
      <c r="H60" s="51">
        <v>2590</v>
      </c>
      <c r="I60" s="45">
        <v>3353</v>
      </c>
      <c r="J60" s="52">
        <v>2</v>
      </c>
      <c r="K60" s="53">
        <f t="shared" si="0"/>
        <v>17.368539999999996</v>
      </c>
      <c r="L60" s="54"/>
    </row>
    <row r="61" spans="1:12" s="55" customFormat="1" ht="19.5" customHeight="1" x14ac:dyDescent="0.3">
      <c r="A61" s="44"/>
      <c r="B61" s="45"/>
      <c r="C61" s="46"/>
      <c r="D61" s="47"/>
      <c r="E61" s="48"/>
      <c r="F61" s="49"/>
      <c r="G61" s="50"/>
      <c r="H61" s="51"/>
      <c r="I61" s="45"/>
      <c r="J61" s="52"/>
      <c r="K61" s="53">
        <f t="shared" si="0"/>
        <v>0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/>
      <c r="H62" s="51"/>
      <c r="I62" s="45"/>
      <c r="J62" s="52"/>
      <c r="K62" s="53">
        <f t="shared" si="0"/>
        <v>0</v>
      </c>
      <c r="L62" s="54"/>
    </row>
    <row r="63" spans="1:12" s="55" customFormat="1" ht="19.5" customHeight="1" x14ac:dyDescent="0.3">
      <c r="A63" s="44" t="s">
        <v>117</v>
      </c>
      <c r="B63" s="45" t="s">
        <v>110</v>
      </c>
      <c r="C63" s="46">
        <v>24</v>
      </c>
      <c r="D63" s="47" t="s">
        <v>55</v>
      </c>
      <c r="E63" s="48">
        <v>2</v>
      </c>
      <c r="F63" s="49">
        <v>3.63</v>
      </c>
      <c r="G63" s="50" t="s">
        <v>56</v>
      </c>
      <c r="H63" s="51">
        <v>1981</v>
      </c>
      <c r="I63" s="45">
        <v>3353</v>
      </c>
      <c r="J63" s="52">
        <v>2</v>
      </c>
      <c r="K63" s="53">
        <f t="shared" si="0"/>
        <v>13.284586000000001</v>
      </c>
      <c r="L63" s="54" t="s">
        <v>212</v>
      </c>
    </row>
    <row r="64" spans="1:12" s="55" customFormat="1" ht="19.5" customHeight="1" x14ac:dyDescent="0.3">
      <c r="A64" s="44" t="s">
        <v>115</v>
      </c>
      <c r="B64" s="45" t="s">
        <v>110</v>
      </c>
      <c r="C64" s="46">
        <v>24</v>
      </c>
      <c r="D64" s="47" t="s">
        <v>55</v>
      </c>
      <c r="E64" s="48">
        <v>1</v>
      </c>
      <c r="F64" s="49">
        <v>1.81</v>
      </c>
      <c r="G64" s="50"/>
      <c r="H64" s="51"/>
      <c r="I64" s="45"/>
      <c r="J64" s="52"/>
      <c r="K64" s="53">
        <f t="shared" si="0"/>
        <v>0</v>
      </c>
      <c r="L64" s="54" t="s">
        <v>212</v>
      </c>
    </row>
    <row r="65" spans="1:12" s="55" customFormat="1" ht="19.5" customHeight="1" x14ac:dyDescent="0.3">
      <c r="A65" s="44" t="s">
        <v>113</v>
      </c>
      <c r="B65" s="45" t="s">
        <v>110</v>
      </c>
      <c r="C65" s="46">
        <v>24</v>
      </c>
      <c r="D65" s="47" t="s">
        <v>55</v>
      </c>
      <c r="E65" s="48">
        <v>2</v>
      </c>
      <c r="F65" s="49">
        <v>3.63</v>
      </c>
      <c r="G65" s="50"/>
      <c r="H65" s="51"/>
      <c r="I65" s="45"/>
      <c r="J65" s="52"/>
      <c r="K65" s="53">
        <f t="shared" si="0"/>
        <v>0</v>
      </c>
      <c r="L65" s="54" t="s">
        <v>212</v>
      </c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213</v>
      </c>
      <c r="B67" s="45" t="s">
        <v>214</v>
      </c>
      <c r="C67" s="46">
        <v>22</v>
      </c>
      <c r="D67" s="47" t="s">
        <v>215</v>
      </c>
      <c r="E67" s="48">
        <v>244</v>
      </c>
      <c r="F67" s="49">
        <v>163.47999999999999</v>
      </c>
      <c r="G67" s="50" t="s">
        <v>216</v>
      </c>
      <c r="H67" s="51">
        <v>2134</v>
      </c>
      <c r="I67" s="45">
        <v>3353</v>
      </c>
      <c r="J67" s="52">
        <v>23</v>
      </c>
      <c r="K67" s="53">
        <f t="shared" si="0"/>
        <v>164.571946</v>
      </c>
      <c r="L67" s="54" t="s">
        <v>106</v>
      </c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 t="s">
        <v>213</v>
      </c>
      <c r="B69" s="45" t="s">
        <v>214</v>
      </c>
      <c r="C69" s="46">
        <v>22</v>
      </c>
      <c r="D69" s="47" t="s">
        <v>215</v>
      </c>
      <c r="E69" s="48">
        <v>135</v>
      </c>
      <c r="F69" s="49">
        <v>90.45</v>
      </c>
      <c r="G69" s="50" t="s">
        <v>18</v>
      </c>
      <c r="H69" s="51">
        <v>2134</v>
      </c>
      <c r="I69" s="45">
        <v>3048</v>
      </c>
      <c r="J69" s="52">
        <v>15</v>
      </c>
      <c r="K69" s="53">
        <f t="shared" si="0"/>
        <v>97.566479999999999</v>
      </c>
      <c r="L69" s="54" t="s">
        <v>260</v>
      </c>
    </row>
    <row r="70" spans="1:12" s="55" customFormat="1" ht="19.5" customHeight="1" x14ac:dyDescent="0.3">
      <c r="A70" s="44"/>
      <c r="B70" s="45"/>
      <c r="C70" s="46"/>
      <c r="D70" s="47"/>
      <c r="E70" s="48"/>
      <c r="F70" s="49"/>
      <c r="G70" s="50"/>
      <c r="H70" s="51"/>
      <c r="I70" s="45"/>
      <c r="J70" s="52"/>
      <c r="K70" s="53">
        <f t="shared" si="0"/>
        <v>0</v>
      </c>
      <c r="L70" s="54"/>
    </row>
    <row r="71" spans="1:12" s="55" customFormat="1" ht="19.5" customHeight="1" x14ac:dyDescent="0.3">
      <c r="A71" s="44"/>
      <c r="B71" s="45"/>
      <c r="C71" s="46"/>
      <c r="D71" s="47"/>
      <c r="E71" s="48"/>
      <c r="F71" s="49"/>
      <c r="G71" s="50"/>
      <c r="H71" s="51"/>
      <c r="I71" s="45"/>
      <c r="J71" s="52"/>
      <c r="K71" s="53">
        <f t="shared" si="0"/>
        <v>0</v>
      </c>
      <c r="L71" s="54"/>
    </row>
    <row r="72" spans="1:12" s="55" customFormat="1" ht="19.5" customHeight="1" x14ac:dyDescent="0.3">
      <c r="A72" s="44"/>
      <c r="B72" s="45"/>
      <c r="C72" s="46"/>
      <c r="D72" s="47"/>
      <c r="E72" s="48"/>
      <c r="F72" s="49"/>
      <c r="G72" s="50"/>
      <c r="H72" s="51"/>
      <c r="I72" s="45"/>
      <c r="J72" s="52"/>
      <c r="K72" s="53">
        <f t="shared" si="0"/>
        <v>0</v>
      </c>
      <c r="L72" s="54"/>
    </row>
    <row r="73" spans="1:12" s="59" customFormat="1" ht="20.100000000000001" customHeight="1" x14ac:dyDescent="0.3">
      <c r="A73" s="44"/>
      <c r="B73" s="45"/>
      <c r="C73" s="46"/>
      <c r="D73" s="47"/>
      <c r="E73" s="56"/>
      <c r="F73" s="57"/>
      <c r="G73" s="50"/>
      <c r="H73" s="51"/>
      <c r="I73" s="45"/>
      <c r="J73" s="52"/>
      <c r="K73" s="53">
        <f t="shared" si="0"/>
        <v>0</v>
      </c>
      <c r="L73" s="58">
        <f>SUM(J43:J74)</f>
        <v>146</v>
      </c>
    </row>
    <row r="74" spans="1:12" s="59" customFormat="1" ht="20.100000000000001" customHeight="1" x14ac:dyDescent="0.3">
      <c r="A74" s="44"/>
      <c r="B74" s="45"/>
      <c r="C74" s="46"/>
      <c r="D74" s="47"/>
      <c r="E74" s="60"/>
      <c r="F74" s="61"/>
      <c r="G74" s="62"/>
      <c r="H74" s="51"/>
      <c r="I74" s="45"/>
      <c r="J74" s="63"/>
      <c r="K74" s="53">
        <f t="shared" si="0"/>
        <v>0</v>
      </c>
      <c r="L74" s="64">
        <f>SUM(K43:K74)</f>
        <v>1158.7685899999999</v>
      </c>
    </row>
    <row r="75" spans="1:12" s="59" customFormat="1" ht="20.100000000000001" customHeight="1" thickBot="1" x14ac:dyDescent="0.35">
      <c r="A75" s="114"/>
      <c r="B75" s="115"/>
      <c r="C75" s="115"/>
      <c r="D75" s="115"/>
      <c r="E75" s="115"/>
      <c r="F75" s="115"/>
      <c r="G75" s="115"/>
      <c r="H75" s="115"/>
      <c r="I75" s="115"/>
      <c r="J75" s="65">
        <f>SUM(J7:J74)</f>
        <v>283</v>
      </c>
      <c r="K75" s="66">
        <f>SUM(K7:K74)</f>
        <v>2129.4178359999996</v>
      </c>
      <c r="L75" s="67"/>
    </row>
    <row r="76" spans="1:12" s="59" customFormat="1" ht="20.100000000000001" customHeight="1" thickTop="1" thickBot="1" x14ac:dyDescent="0.35">
      <c r="A76" s="116" t="s">
        <v>52</v>
      </c>
      <c r="B76" s="117"/>
      <c r="C76" s="68"/>
      <c r="D76" s="118">
        <f>J75</f>
        <v>283</v>
      </c>
      <c r="E76" s="119"/>
      <c r="F76" s="119"/>
      <c r="G76" s="120"/>
      <c r="H76" s="121"/>
      <c r="I76" s="121"/>
      <c r="J76" s="122"/>
      <c r="K76" s="119"/>
      <c r="L76" s="123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71"/>
    </row>
    <row r="78" spans="1:12" s="59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69"/>
      <c r="B80" s="5"/>
      <c r="C80" s="5"/>
      <c r="D80" s="5"/>
      <c r="E80" s="5"/>
      <c r="F80" s="70"/>
      <c r="G80" s="5"/>
      <c r="H80" s="5"/>
      <c r="I80" s="5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113"/>
      <c r="B82" s="113"/>
      <c r="C82" s="5"/>
      <c r="D82" s="5"/>
      <c r="E82" s="72"/>
      <c r="F82" s="5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5"/>
      <c r="G83" s="73"/>
      <c r="H83" s="5"/>
      <c r="I83" s="74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59" customFormat="1" ht="20.100000000000001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59" customFormat="1" ht="20.100000000000001" customHeight="1" x14ac:dyDescent="0.3">
      <c r="A86" s="113"/>
      <c r="B86" s="113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59" customFormat="1" ht="20.100000000000001" customHeight="1" x14ac:dyDescent="0.3">
      <c r="A87" s="113"/>
      <c r="B87" s="113"/>
      <c r="C87" s="5"/>
      <c r="D87" s="5"/>
      <c r="E87" s="5"/>
      <c r="F87" s="70"/>
      <c r="G87" s="5"/>
      <c r="H87" s="72"/>
      <c r="I87" s="72"/>
      <c r="J87" s="5"/>
      <c r="K87" s="5"/>
      <c r="L87" s="5"/>
    </row>
    <row r="88" spans="1:12" ht="20.100000000000001" customHeight="1" x14ac:dyDescent="0.3">
      <c r="A88" s="113"/>
      <c r="B88" s="113"/>
      <c r="H88" s="72"/>
      <c r="I88" s="72"/>
    </row>
    <row r="89" spans="1:12" ht="20.100000000000001" customHeight="1" x14ac:dyDescent="0.3"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A91" s="113"/>
      <c r="B91" s="113"/>
      <c r="H91" s="72"/>
      <c r="I91" s="72"/>
    </row>
    <row r="92" spans="1:12" ht="20.100000000000001" customHeight="1" x14ac:dyDescent="0.3">
      <c r="A92" s="113"/>
      <c r="B92" s="113"/>
      <c r="H92" s="72"/>
      <c r="I92" s="72"/>
    </row>
    <row r="93" spans="1:12" ht="20.100000000000001" customHeight="1" x14ac:dyDescent="0.3">
      <c r="H93" s="72"/>
      <c r="I93" s="72"/>
    </row>
    <row r="94" spans="1:12" ht="20.100000000000001" customHeight="1" x14ac:dyDescent="0.3">
      <c r="H94" s="72"/>
      <c r="I94" s="72"/>
    </row>
    <row r="95" spans="1:12" ht="20.100000000000001" customHeight="1" x14ac:dyDescent="0.3">
      <c r="H95" s="72"/>
      <c r="I95" s="72"/>
    </row>
    <row r="96" spans="1:12" s="72" customFormat="1" ht="20.100000000000001" customHeight="1" x14ac:dyDescent="0.3">
      <c r="A96" s="69"/>
      <c r="B96" s="5"/>
      <c r="C96" s="5"/>
      <c r="D96" s="5"/>
      <c r="E96" s="5"/>
      <c r="F96" s="70"/>
      <c r="G96" s="5"/>
      <c r="J96" s="5"/>
      <c r="K96" s="5"/>
      <c r="L96" s="5"/>
    </row>
    <row r="97" spans="1:12" s="72" customFormat="1" ht="20.100000000000001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5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5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s="75" customFormat="1" ht="19.5" customHeight="1" x14ac:dyDescent="0.3">
      <c r="A100" s="69"/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1:12" s="72" customFormat="1" ht="20.100000000000001" customHeight="1" x14ac:dyDescent="0.3">
      <c r="A101" s="69"/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1:12" s="72" customFormat="1" ht="20.100000000000001" customHeight="1" x14ac:dyDescent="0.3">
      <c r="A102" s="69"/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1:12" ht="19.5" customHeight="1" x14ac:dyDescent="0.3"/>
    <row r="104" spans="1:12" ht="19.5" customHeight="1" x14ac:dyDescent="0.3"/>
    <row r="105" spans="1:12" ht="19.5" customHeight="1" x14ac:dyDescent="0.3"/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ht="19.5" customHeight="1" x14ac:dyDescent="0.3"/>
    <row r="131" spans="2:12" ht="19.5" customHeight="1" x14ac:dyDescent="0.3"/>
    <row r="132" spans="2:12" ht="19.5" customHeight="1" x14ac:dyDescent="0.3"/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/>
      <c r="C163" s="5"/>
      <c r="D163" s="5"/>
      <c r="E163" s="5"/>
      <c r="F163" s="70"/>
      <c r="G163" s="5"/>
      <c r="H163" s="5"/>
      <c r="I163" s="5"/>
      <c r="J163" s="5"/>
      <c r="K163" s="5"/>
      <c r="L163" s="5"/>
    </row>
    <row r="164" spans="2:12" s="69" customFormat="1" ht="19.5" customHeight="1" x14ac:dyDescent="0.3">
      <c r="B164" s="5"/>
      <c r="C164" s="5"/>
      <c r="D164" s="5"/>
      <c r="E164" s="5"/>
      <c r="F164" s="70"/>
      <c r="G164" s="5"/>
      <c r="H164" s="5"/>
      <c r="I164" s="5"/>
      <c r="J164" s="5"/>
      <c r="K164" s="5"/>
      <c r="L164" s="5"/>
    </row>
    <row r="165" spans="2:12" s="69" customFormat="1" ht="19.5" customHeight="1" x14ac:dyDescent="0.3">
      <c r="B165" s="5"/>
      <c r="C165" s="5"/>
      <c r="D165" s="5"/>
      <c r="E165" s="5"/>
      <c r="F165" s="70"/>
      <c r="G165" s="5"/>
      <c r="H165" s="5"/>
      <c r="I165" s="5"/>
      <c r="J165" s="5"/>
      <c r="K165" s="5"/>
      <c r="L165" s="5"/>
    </row>
    <row r="166" spans="2:12" s="69" customFormat="1" ht="19.5" customHeight="1" x14ac:dyDescent="0.3">
      <c r="B166" s="5">
        <v>2</v>
      </c>
      <c r="C166" s="5"/>
      <c r="D166" s="5"/>
      <c r="E166" s="5"/>
      <c r="F166" s="70"/>
      <c r="G166" s="5"/>
      <c r="H166" s="5"/>
      <c r="I166" s="5"/>
      <c r="J166" s="5"/>
      <c r="K166" s="5"/>
      <c r="L166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81:B81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5:I75"/>
    <mergeCell ref="A76:B76"/>
    <mergeCell ref="D76:G76"/>
    <mergeCell ref="H76:J76"/>
    <mergeCell ref="K76:L76"/>
    <mergeCell ref="A91:B91"/>
    <mergeCell ref="A92:B92"/>
    <mergeCell ref="A82:B82"/>
    <mergeCell ref="A83:B83"/>
    <mergeCell ref="A84:B84"/>
    <mergeCell ref="A86:B86"/>
    <mergeCell ref="A87:B87"/>
    <mergeCell ref="A88:B88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pageSetUpPr fitToPage="1"/>
  </sheetPr>
  <dimension ref="A1:L163"/>
  <sheetViews>
    <sheetView view="pageBreakPreview" topLeftCell="A42" zoomScale="85" zoomScaleSheetLayoutView="85" workbookViewId="0">
      <selection activeCell="G48" sqref="G48:J65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46028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1" si="0">(H7/1000*I7/1000)*J7</f>
        <v>0</v>
      </c>
      <c r="L7" s="26">
        <f>SUM(J7:J42)</f>
        <v>205</v>
      </c>
    </row>
    <row r="8" spans="1:12" s="27" customFormat="1" ht="19.5" customHeight="1" x14ac:dyDescent="0.3">
      <c r="A8" s="28"/>
      <c r="B8" s="29"/>
      <c r="C8" s="30"/>
      <c r="D8" s="31"/>
      <c r="E8" s="32"/>
      <c r="F8" s="33"/>
      <c r="G8" s="34"/>
      <c r="H8" s="35"/>
      <c r="I8" s="36"/>
      <c r="J8" s="37"/>
      <c r="K8" s="38">
        <f t="shared" si="0"/>
        <v>0</v>
      </c>
      <c r="L8" s="39">
        <f>SUM(K7:K42)</f>
        <v>1417.4884260000001</v>
      </c>
    </row>
    <row r="9" spans="1:12" s="27" customFormat="1" ht="19.5" customHeight="1" x14ac:dyDescent="0.3">
      <c r="A9" s="28" t="s">
        <v>131</v>
      </c>
      <c r="B9" s="29" t="s">
        <v>132</v>
      </c>
      <c r="C9" s="30">
        <v>17</v>
      </c>
      <c r="D9" s="31" t="s">
        <v>133</v>
      </c>
      <c r="E9" s="41">
        <v>1</v>
      </c>
      <c r="F9" s="42">
        <v>4.2699999999999996</v>
      </c>
      <c r="G9" s="34" t="s">
        <v>134</v>
      </c>
      <c r="H9" s="35">
        <v>2438</v>
      </c>
      <c r="I9" s="36">
        <v>3353</v>
      </c>
      <c r="J9" s="37">
        <v>1</v>
      </c>
      <c r="K9" s="38">
        <f t="shared" si="0"/>
        <v>8.174614</v>
      </c>
      <c r="L9" s="39"/>
    </row>
    <row r="10" spans="1:12" s="27" customFormat="1" ht="19.5" customHeight="1" x14ac:dyDescent="0.3">
      <c r="A10" s="28"/>
      <c r="B10" s="29"/>
      <c r="C10" s="30"/>
      <c r="D10" s="31"/>
      <c r="E10" s="41"/>
      <c r="F10" s="42"/>
      <c r="G10" s="34" t="s">
        <v>135</v>
      </c>
      <c r="H10" s="35">
        <v>2134</v>
      </c>
      <c r="I10" s="36">
        <v>3048</v>
      </c>
      <c r="J10" s="37">
        <v>1</v>
      </c>
      <c r="K10" s="38">
        <f t="shared" si="0"/>
        <v>6.5044319999999995</v>
      </c>
      <c r="L10" s="39"/>
    </row>
    <row r="11" spans="1:12" s="27" customFormat="1" ht="19.5" customHeight="1" x14ac:dyDescent="0.3">
      <c r="A11" s="28"/>
      <c r="B11" s="29"/>
      <c r="C11" s="30"/>
      <c r="D11" s="31"/>
      <c r="E11" s="41"/>
      <c r="F11" s="4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136</v>
      </c>
      <c r="B12" s="29" t="s">
        <v>137</v>
      </c>
      <c r="C12" s="30">
        <v>22</v>
      </c>
      <c r="D12" s="31" t="s">
        <v>138</v>
      </c>
      <c r="E12" s="41">
        <v>1</v>
      </c>
      <c r="F12" s="42">
        <v>1.41</v>
      </c>
      <c r="G12" s="43"/>
      <c r="H12" s="35"/>
      <c r="I12" s="36"/>
      <c r="J12" s="37"/>
      <c r="K12" s="38">
        <f t="shared" si="0"/>
        <v>0</v>
      </c>
      <c r="L12" s="39" t="s">
        <v>139</v>
      </c>
    </row>
    <row r="13" spans="1:12" s="27" customFormat="1" ht="19.5" customHeight="1" x14ac:dyDescent="0.3">
      <c r="A13" s="28"/>
      <c r="B13" s="29"/>
      <c r="C13" s="30"/>
      <c r="D13" s="31"/>
      <c r="E13" s="41"/>
      <c r="F13" s="42"/>
      <c r="G13" s="34"/>
      <c r="H13" s="35"/>
      <c r="I13" s="36"/>
      <c r="J13" s="37"/>
      <c r="K13" s="38">
        <f t="shared" si="0"/>
        <v>0</v>
      </c>
      <c r="L13" s="39"/>
    </row>
    <row r="14" spans="1:12" s="27" customFormat="1" ht="19.5" customHeight="1" x14ac:dyDescent="0.3">
      <c r="A14" s="28" t="s">
        <v>140</v>
      </c>
      <c r="B14" s="29" t="s">
        <v>141</v>
      </c>
      <c r="C14" s="30">
        <v>5</v>
      </c>
      <c r="D14" s="31" t="s">
        <v>142</v>
      </c>
      <c r="E14" s="41">
        <v>84</v>
      </c>
      <c r="F14" s="42">
        <v>96.76</v>
      </c>
      <c r="G14" s="43" t="s">
        <v>135</v>
      </c>
      <c r="H14" s="35">
        <v>2134</v>
      </c>
      <c r="I14" s="36">
        <v>3353</v>
      </c>
      <c r="J14" s="37">
        <v>14</v>
      </c>
      <c r="K14" s="38">
        <f t="shared" si="0"/>
        <v>100.174228</v>
      </c>
      <c r="L14" s="39"/>
    </row>
    <row r="15" spans="1:12" s="27" customFormat="1" ht="19.5" customHeight="1" x14ac:dyDescent="0.3">
      <c r="A15" s="28"/>
      <c r="B15" s="29"/>
      <c r="C15" s="30"/>
      <c r="D15" s="31"/>
      <c r="E15" s="41"/>
      <c r="F15" s="42"/>
      <c r="G15" s="34"/>
      <c r="H15" s="35"/>
      <c r="I15" s="36"/>
      <c r="J15" s="37"/>
      <c r="K15" s="38">
        <f t="shared" si="0"/>
        <v>0</v>
      </c>
      <c r="L15" s="39"/>
    </row>
    <row r="16" spans="1:12" s="27" customFormat="1" ht="19.5" customHeight="1" x14ac:dyDescent="0.3">
      <c r="A16" s="28" t="s">
        <v>143</v>
      </c>
      <c r="B16" s="29" t="s">
        <v>141</v>
      </c>
      <c r="C16" s="30">
        <v>5</v>
      </c>
      <c r="D16" s="31" t="s">
        <v>142</v>
      </c>
      <c r="E16" s="41">
        <v>129</v>
      </c>
      <c r="F16" s="42">
        <v>121.03</v>
      </c>
      <c r="G16" s="43" t="s">
        <v>135</v>
      </c>
      <c r="H16" s="35">
        <v>2134</v>
      </c>
      <c r="I16" s="36">
        <v>3353</v>
      </c>
      <c r="J16" s="37">
        <v>18</v>
      </c>
      <c r="K16" s="38">
        <f t="shared" si="0"/>
        <v>128.795436</v>
      </c>
      <c r="L16" s="39"/>
    </row>
    <row r="17" spans="1:12" s="27" customFormat="1" ht="19.5" customHeight="1" x14ac:dyDescent="0.3">
      <c r="A17" s="28"/>
      <c r="B17" s="29"/>
      <c r="C17" s="30"/>
      <c r="D17" s="31"/>
      <c r="E17" s="41"/>
      <c r="F17" s="42"/>
      <c r="G17" s="34"/>
      <c r="H17" s="35"/>
      <c r="I17" s="36"/>
      <c r="J17" s="37"/>
      <c r="K17" s="38">
        <f t="shared" si="0"/>
        <v>0</v>
      </c>
      <c r="L17" s="39"/>
    </row>
    <row r="18" spans="1:12" s="27" customFormat="1" ht="19.5" customHeight="1" x14ac:dyDescent="0.3">
      <c r="A18" s="28" t="s">
        <v>144</v>
      </c>
      <c r="B18" s="29" t="s">
        <v>145</v>
      </c>
      <c r="C18" s="30">
        <v>24</v>
      </c>
      <c r="D18" s="31" t="s">
        <v>146</v>
      </c>
      <c r="E18" s="41">
        <v>15</v>
      </c>
      <c r="F18" s="42">
        <v>47.1</v>
      </c>
      <c r="G18" s="43" t="s">
        <v>148</v>
      </c>
      <c r="H18" s="35">
        <v>1981</v>
      </c>
      <c r="I18" s="36">
        <v>3353</v>
      </c>
      <c r="J18" s="37">
        <v>8</v>
      </c>
      <c r="K18" s="38">
        <f t="shared" si="0"/>
        <v>53.138344000000004</v>
      </c>
      <c r="L18" s="39"/>
    </row>
    <row r="19" spans="1:12" s="27" customFormat="1" ht="19.5" customHeight="1" x14ac:dyDescent="0.3">
      <c r="A19" s="28"/>
      <c r="B19" s="29"/>
      <c r="C19" s="30">
        <v>24</v>
      </c>
      <c r="D19" s="31" t="s">
        <v>147</v>
      </c>
      <c r="E19" s="41">
        <v>2</v>
      </c>
      <c r="F19" s="42">
        <v>2.92</v>
      </c>
      <c r="G19" s="34" t="s">
        <v>149</v>
      </c>
      <c r="H19" s="35">
        <v>1981</v>
      </c>
      <c r="I19" s="36">
        <v>3353</v>
      </c>
      <c r="J19" s="37">
        <v>8</v>
      </c>
      <c r="K19" s="38">
        <f t="shared" si="0"/>
        <v>53.138344000000004</v>
      </c>
      <c r="L19" s="39" t="s">
        <v>150</v>
      </c>
    </row>
    <row r="20" spans="1:12" s="27" customFormat="1" ht="19.5" customHeight="1" x14ac:dyDescent="0.3">
      <c r="A20" s="28"/>
      <c r="B20" s="29"/>
      <c r="C20" s="30"/>
      <c r="D20" s="31"/>
      <c r="E20" s="41"/>
      <c r="F20" s="42"/>
      <c r="G20" s="43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 t="s">
        <v>151</v>
      </c>
      <c r="B21" s="29" t="s">
        <v>145</v>
      </c>
      <c r="C21" s="30">
        <v>24</v>
      </c>
      <c r="D21" s="31" t="s">
        <v>146</v>
      </c>
      <c r="E21" s="41">
        <v>10</v>
      </c>
      <c r="F21" s="42">
        <v>31.4</v>
      </c>
      <c r="G21" s="43" t="s">
        <v>148</v>
      </c>
      <c r="H21" s="35">
        <v>1981</v>
      </c>
      <c r="I21" s="36">
        <v>3353</v>
      </c>
      <c r="J21" s="37">
        <v>5</v>
      </c>
      <c r="K21" s="38">
        <f t="shared" si="0"/>
        <v>33.211465000000004</v>
      </c>
      <c r="L21" s="39"/>
    </row>
    <row r="22" spans="1:12" s="27" customFormat="1" ht="19.5" customHeight="1" x14ac:dyDescent="0.3">
      <c r="A22" s="28"/>
      <c r="B22" s="29"/>
      <c r="C22" s="30"/>
      <c r="D22" s="31"/>
      <c r="E22" s="41"/>
      <c r="F22" s="42"/>
      <c r="G22" s="34" t="s">
        <v>149</v>
      </c>
      <c r="H22" s="35">
        <v>1981</v>
      </c>
      <c r="I22" s="36">
        <v>3353</v>
      </c>
      <c r="J22" s="37">
        <v>5</v>
      </c>
      <c r="K22" s="38">
        <f t="shared" si="0"/>
        <v>33.211465000000004</v>
      </c>
      <c r="L22" s="39"/>
    </row>
    <row r="23" spans="1:12" s="27" customFormat="1" ht="19.5" customHeight="1" x14ac:dyDescent="0.3">
      <c r="A23" s="28"/>
      <c r="B23" s="29"/>
      <c r="C23" s="30"/>
      <c r="D23" s="31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 t="s">
        <v>152</v>
      </c>
      <c r="B24" s="29" t="s">
        <v>145</v>
      </c>
      <c r="C24" s="30">
        <v>24</v>
      </c>
      <c r="D24" s="31" t="s">
        <v>146</v>
      </c>
      <c r="E24" s="41">
        <v>8</v>
      </c>
      <c r="F24" s="42">
        <v>26.64</v>
      </c>
      <c r="G24" s="43" t="s">
        <v>148</v>
      </c>
      <c r="H24" s="35">
        <v>1981</v>
      </c>
      <c r="I24" s="36">
        <v>3353</v>
      </c>
      <c r="J24" s="37">
        <v>30</v>
      </c>
      <c r="K24" s="38">
        <f t="shared" ref="K24:K36" si="1">(H24/1000*I24/1000)*J24</f>
        <v>199.26879000000002</v>
      </c>
      <c r="L24" s="39"/>
    </row>
    <row r="25" spans="1:12" s="27" customFormat="1" ht="19.5" customHeight="1" x14ac:dyDescent="0.3">
      <c r="A25" s="28"/>
      <c r="B25" s="29"/>
      <c r="C25" s="30">
        <v>24</v>
      </c>
      <c r="D25" s="31" t="s">
        <v>147</v>
      </c>
      <c r="E25" s="41">
        <v>120</v>
      </c>
      <c r="F25" s="42">
        <v>118.72</v>
      </c>
      <c r="G25" s="34" t="s">
        <v>149</v>
      </c>
      <c r="H25" s="35">
        <v>1981</v>
      </c>
      <c r="I25" s="36">
        <v>3353</v>
      </c>
      <c r="J25" s="37">
        <v>8</v>
      </c>
      <c r="K25" s="38">
        <f t="shared" si="1"/>
        <v>53.138344000000004</v>
      </c>
      <c r="L25" s="39"/>
    </row>
    <row r="26" spans="1:12" s="27" customFormat="1" ht="19.5" customHeight="1" x14ac:dyDescent="0.3">
      <c r="A26" s="28"/>
      <c r="B26" s="29"/>
      <c r="C26" s="30">
        <v>22</v>
      </c>
      <c r="D26" s="31" t="s">
        <v>147</v>
      </c>
      <c r="E26" s="41">
        <v>32</v>
      </c>
      <c r="F26" s="42">
        <v>36.799999999999997</v>
      </c>
      <c r="G26" s="34" t="s">
        <v>153</v>
      </c>
      <c r="H26" s="35">
        <v>1981</v>
      </c>
      <c r="I26" s="36">
        <v>3353</v>
      </c>
      <c r="J26" s="37">
        <f>23</f>
        <v>23</v>
      </c>
      <c r="K26" s="38">
        <f t="shared" si="1"/>
        <v>152.772739</v>
      </c>
      <c r="L26" s="39"/>
    </row>
    <row r="27" spans="1:12" s="27" customFormat="1" ht="19.5" customHeight="1" x14ac:dyDescent="0.3">
      <c r="A27" s="28"/>
      <c r="B27" s="29"/>
      <c r="C27" s="30"/>
      <c r="D27" s="31"/>
      <c r="E27" s="41"/>
      <c r="F27" s="42"/>
      <c r="G27" s="34"/>
      <c r="H27" s="35"/>
      <c r="I27" s="36"/>
      <c r="J27" s="37"/>
      <c r="K27" s="38">
        <f t="shared" si="1"/>
        <v>0</v>
      </c>
      <c r="L27" s="39"/>
    </row>
    <row r="28" spans="1:12" s="27" customFormat="1" ht="19.5" customHeight="1" x14ac:dyDescent="0.3">
      <c r="A28" s="28" t="s">
        <v>152</v>
      </c>
      <c r="B28" s="29" t="s">
        <v>145</v>
      </c>
      <c r="C28" s="30">
        <v>24</v>
      </c>
      <c r="D28" s="31" t="s">
        <v>138</v>
      </c>
      <c r="E28" s="41">
        <v>128</v>
      </c>
      <c r="F28" s="42">
        <v>145.36000000000001</v>
      </c>
      <c r="G28" s="34" t="s">
        <v>153</v>
      </c>
      <c r="H28" s="35">
        <v>1981</v>
      </c>
      <c r="I28" s="36">
        <v>3353</v>
      </c>
      <c r="J28" s="37">
        <v>23</v>
      </c>
      <c r="K28" s="38">
        <f t="shared" si="1"/>
        <v>152.772739</v>
      </c>
      <c r="L28" s="39" t="s">
        <v>154</v>
      </c>
    </row>
    <row r="29" spans="1:12" s="27" customFormat="1" ht="19.5" customHeight="1" x14ac:dyDescent="0.3">
      <c r="A29" s="28"/>
      <c r="B29" s="29"/>
      <c r="C29" s="30"/>
      <c r="D29" s="31"/>
      <c r="E29" s="41"/>
      <c r="F29" s="42"/>
      <c r="G29" s="34"/>
      <c r="H29" s="35"/>
      <c r="I29" s="36"/>
      <c r="J29" s="37"/>
      <c r="K29" s="38">
        <f t="shared" si="1"/>
        <v>0</v>
      </c>
      <c r="L29" s="39"/>
    </row>
    <row r="30" spans="1:12" s="27" customFormat="1" ht="19.5" customHeight="1" x14ac:dyDescent="0.3">
      <c r="A30" s="28" t="s">
        <v>155</v>
      </c>
      <c r="B30" s="29"/>
      <c r="C30" s="30"/>
      <c r="D30" s="31"/>
      <c r="E30" s="41"/>
      <c r="F30" s="42"/>
      <c r="G30" s="34"/>
      <c r="H30" s="35"/>
      <c r="I30" s="36"/>
      <c r="J30" s="37"/>
      <c r="K30" s="38">
        <f t="shared" si="1"/>
        <v>0</v>
      </c>
      <c r="L30" s="39"/>
    </row>
    <row r="31" spans="1:12" s="27" customFormat="1" ht="19.5" customHeight="1" x14ac:dyDescent="0.3">
      <c r="A31" s="28" t="s">
        <v>178</v>
      </c>
      <c r="B31" s="29" t="s">
        <v>145</v>
      </c>
      <c r="C31" s="30">
        <v>24</v>
      </c>
      <c r="D31" s="31" t="s">
        <v>17</v>
      </c>
      <c r="E31" s="41">
        <v>128</v>
      </c>
      <c r="F31" s="42">
        <v>145.36000000000001</v>
      </c>
      <c r="G31" s="34" t="s">
        <v>179</v>
      </c>
      <c r="H31" s="35">
        <v>2590</v>
      </c>
      <c r="I31" s="36">
        <v>3353</v>
      </c>
      <c r="J31" s="37">
        <v>18</v>
      </c>
      <c r="K31" s="38">
        <f t="shared" si="1"/>
        <v>156.31685999999996</v>
      </c>
      <c r="L31" s="39" t="s">
        <v>180</v>
      </c>
    </row>
    <row r="32" spans="1:12" s="27" customFormat="1" ht="19.5" customHeight="1" x14ac:dyDescent="0.3">
      <c r="A32" s="28"/>
      <c r="B32" s="29"/>
      <c r="C32" s="30"/>
      <c r="D32" s="31"/>
      <c r="E32" s="41"/>
      <c r="F32" s="42"/>
      <c r="G32" s="34" t="s">
        <v>179</v>
      </c>
      <c r="H32" s="35">
        <v>2590</v>
      </c>
      <c r="I32" s="36">
        <v>3048</v>
      </c>
      <c r="J32" s="37">
        <v>1</v>
      </c>
      <c r="K32" s="38">
        <f t="shared" si="1"/>
        <v>7.8943199999999996</v>
      </c>
      <c r="L32" s="39"/>
    </row>
    <row r="33" spans="1:12" s="27" customFormat="1" ht="19.5" customHeight="1" x14ac:dyDescent="0.3">
      <c r="A33" s="28"/>
      <c r="B33" s="29"/>
      <c r="C33" s="30"/>
      <c r="D33" s="31"/>
      <c r="E33" s="41"/>
      <c r="F33" s="42"/>
      <c r="G33" s="34"/>
      <c r="H33" s="35"/>
      <c r="I33" s="36"/>
      <c r="J33" s="37"/>
      <c r="K33" s="38">
        <f t="shared" si="1"/>
        <v>0</v>
      </c>
      <c r="L33" s="39"/>
    </row>
    <row r="34" spans="1:12" s="27" customFormat="1" ht="19.5" customHeight="1" x14ac:dyDescent="0.3">
      <c r="A34" s="28" t="s">
        <v>181</v>
      </c>
      <c r="B34" s="29" t="s">
        <v>145</v>
      </c>
      <c r="C34" s="30">
        <v>24</v>
      </c>
      <c r="D34" s="31" t="s">
        <v>45</v>
      </c>
      <c r="E34" s="41">
        <v>144</v>
      </c>
      <c r="F34" s="42">
        <v>138.4</v>
      </c>
      <c r="G34" s="34" t="s">
        <v>19</v>
      </c>
      <c r="H34" s="35">
        <v>1981</v>
      </c>
      <c r="I34" s="36">
        <v>3353</v>
      </c>
      <c r="J34" s="37">
        <v>28</v>
      </c>
      <c r="K34" s="38">
        <f t="shared" si="1"/>
        <v>185.98420400000001</v>
      </c>
      <c r="L34" s="39" t="s">
        <v>182</v>
      </c>
    </row>
    <row r="35" spans="1:12" s="27" customFormat="1" ht="19.5" customHeight="1" x14ac:dyDescent="0.3">
      <c r="A35" s="28"/>
      <c r="B35" s="29"/>
      <c r="C35" s="30">
        <v>22</v>
      </c>
      <c r="D35" s="31" t="s">
        <v>45</v>
      </c>
      <c r="E35" s="41">
        <v>32</v>
      </c>
      <c r="F35" s="42">
        <v>38.24</v>
      </c>
      <c r="G35" s="34"/>
      <c r="H35" s="35"/>
      <c r="I35" s="36"/>
      <c r="J35" s="37"/>
      <c r="K35" s="38">
        <f t="shared" si="1"/>
        <v>0</v>
      </c>
      <c r="L35" s="39" t="s">
        <v>182</v>
      </c>
    </row>
    <row r="36" spans="1:12" s="27" customFormat="1" ht="19.5" customHeight="1" x14ac:dyDescent="0.3">
      <c r="A36" s="28"/>
      <c r="B36" s="29"/>
      <c r="C36" s="30"/>
      <c r="D36" s="31"/>
      <c r="E36" s="41"/>
      <c r="F36" s="42"/>
      <c r="G36" s="43"/>
      <c r="H36" s="35"/>
      <c r="I36" s="36"/>
      <c r="J36" s="37"/>
      <c r="K36" s="38">
        <f t="shared" si="1"/>
        <v>0</v>
      </c>
      <c r="L36" s="39"/>
    </row>
    <row r="37" spans="1:12" s="27" customFormat="1" ht="19.5" customHeight="1" x14ac:dyDescent="0.3">
      <c r="A37" s="28" t="s">
        <v>181</v>
      </c>
      <c r="B37" s="29" t="s">
        <v>145</v>
      </c>
      <c r="C37" s="30">
        <v>24</v>
      </c>
      <c r="D37" s="31" t="s">
        <v>45</v>
      </c>
      <c r="E37" s="41">
        <v>64</v>
      </c>
      <c r="F37" s="42">
        <v>82.72</v>
      </c>
      <c r="G37" s="43" t="s">
        <v>183</v>
      </c>
      <c r="H37" s="35">
        <v>1981</v>
      </c>
      <c r="I37" s="36">
        <v>3353</v>
      </c>
      <c r="J37" s="37">
        <v>14</v>
      </c>
      <c r="K37" s="38">
        <f t="shared" si="0"/>
        <v>92.992102000000003</v>
      </c>
      <c r="L37" s="39" t="s">
        <v>184</v>
      </c>
    </row>
    <row r="38" spans="1:12" s="27" customFormat="1" ht="19.5" customHeight="1" x14ac:dyDescent="0.3">
      <c r="A38" s="28"/>
      <c r="B38" s="29"/>
      <c r="C38" s="30"/>
      <c r="D38" s="31"/>
      <c r="E38" s="41"/>
      <c r="F38" s="42"/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28"/>
      <c r="B39" s="29"/>
      <c r="C39" s="30"/>
      <c r="D39" s="31"/>
      <c r="E39" s="41"/>
      <c r="F39" s="42"/>
      <c r="G39" s="34"/>
      <c r="H39" s="35"/>
      <c r="I39" s="36"/>
      <c r="J39" s="37"/>
      <c r="K39" s="38">
        <f t="shared" si="0"/>
        <v>0</v>
      </c>
      <c r="L39" s="39"/>
    </row>
    <row r="40" spans="1:12" s="27" customFormat="1" ht="19.5" customHeight="1" x14ac:dyDescent="0.3">
      <c r="A40" s="28"/>
      <c r="B40" s="29"/>
      <c r="C40" s="30"/>
      <c r="D40" s="31"/>
      <c r="E40" s="41"/>
      <c r="F40" s="42"/>
      <c r="G40" s="34"/>
      <c r="H40" s="35"/>
      <c r="I40" s="36"/>
      <c r="J40" s="37"/>
      <c r="K40" s="38">
        <f t="shared" si="0"/>
        <v>0</v>
      </c>
      <c r="L40" s="39"/>
    </row>
    <row r="41" spans="1:12" s="27" customFormat="1" ht="19.5" customHeight="1" x14ac:dyDescent="0.3">
      <c r="A41" s="28"/>
      <c r="B41" s="29"/>
      <c r="C41" s="30"/>
      <c r="D41" s="31"/>
      <c r="E41" s="41"/>
      <c r="F41" s="42"/>
      <c r="G41" s="34"/>
      <c r="H41" s="35"/>
      <c r="I41" s="36"/>
      <c r="J41" s="37"/>
      <c r="K41" s="38">
        <f t="shared" si="0"/>
        <v>0</v>
      </c>
      <c r="L41" s="39"/>
    </row>
    <row r="42" spans="1:12" s="27" customFormat="1" ht="19.5" customHeight="1" x14ac:dyDescent="0.3">
      <c r="A42" s="28"/>
      <c r="B42" s="29"/>
      <c r="C42" s="30"/>
      <c r="D42" s="31"/>
      <c r="E42" s="41"/>
      <c r="F42" s="42"/>
      <c r="G42" s="43"/>
      <c r="H42" s="35"/>
      <c r="I42" s="36"/>
      <c r="J42" s="37"/>
      <c r="K42" s="38">
        <f t="shared" si="0"/>
        <v>0</v>
      </c>
      <c r="L42" s="39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 t="s">
        <v>156</v>
      </c>
      <c r="B44" s="45" t="s">
        <v>157</v>
      </c>
      <c r="C44" s="46">
        <v>24</v>
      </c>
      <c r="D44" s="47" t="s">
        <v>158</v>
      </c>
      <c r="E44" s="48">
        <v>2</v>
      </c>
      <c r="F44" s="49">
        <v>1.5</v>
      </c>
      <c r="G44" s="50"/>
      <c r="H44" s="51"/>
      <c r="I44" s="45"/>
      <c r="J44" s="52"/>
      <c r="K44" s="53">
        <f t="shared" si="0"/>
        <v>0</v>
      </c>
      <c r="L44" s="54" t="s">
        <v>139</v>
      </c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/>
    </row>
    <row r="46" spans="1:12" s="55" customFormat="1" ht="19.5" customHeight="1" x14ac:dyDescent="0.3">
      <c r="A46" s="44" t="s">
        <v>159</v>
      </c>
      <c r="B46" s="45" t="s">
        <v>160</v>
      </c>
      <c r="C46" s="46">
        <v>24</v>
      </c>
      <c r="D46" s="47" t="s">
        <v>161</v>
      </c>
      <c r="E46" s="48">
        <v>1</v>
      </c>
      <c r="F46" s="49">
        <v>0.4</v>
      </c>
      <c r="G46" s="50"/>
      <c r="H46" s="51"/>
      <c r="I46" s="45"/>
      <c r="J46" s="52"/>
      <c r="K46" s="53">
        <f t="shared" si="0"/>
        <v>0</v>
      </c>
      <c r="L46" s="54" t="s">
        <v>139</v>
      </c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 t="s">
        <v>162</v>
      </c>
      <c r="B48" s="45" t="s">
        <v>163</v>
      </c>
      <c r="C48" s="46">
        <v>24</v>
      </c>
      <c r="D48" s="47" t="s">
        <v>164</v>
      </c>
      <c r="E48" s="48">
        <v>2</v>
      </c>
      <c r="F48" s="49">
        <v>4.42</v>
      </c>
      <c r="G48" s="50" t="s">
        <v>165</v>
      </c>
      <c r="H48" s="51">
        <v>2438</v>
      </c>
      <c r="I48" s="45">
        <v>3353</v>
      </c>
      <c r="J48" s="52">
        <v>1</v>
      </c>
      <c r="K48" s="53">
        <f t="shared" si="0"/>
        <v>8.174614</v>
      </c>
      <c r="L48" s="54" t="s">
        <v>166</v>
      </c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 t="s">
        <v>167</v>
      </c>
      <c r="B50" s="45" t="s">
        <v>168</v>
      </c>
      <c r="C50" s="46">
        <v>24</v>
      </c>
      <c r="D50" s="47" t="s">
        <v>169</v>
      </c>
      <c r="E50" s="48">
        <v>116</v>
      </c>
      <c r="F50" s="49">
        <v>163.6</v>
      </c>
      <c r="G50" s="50" t="s">
        <v>170</v>
      </c>
      <c r="H50" s="51">
        <v>2438</v>
      </c>
      <c r="I50" s="45">
        <v>3048</v>
      </c>
      <c r="J50" s="52">
        <v>52</v>
      </c>
      <c r="K50" s="53">
        <f t="shared" si="0"/>
        <v>386.41324800000007</v>
      </c>
      <c r="L50" s="54" t="s">
        <v>172</v>
      </c>
    </row>
    <row r="51" spans="1:12" s="55" customFormat="1" ht="19.5" customHeight="1" x14ac:dyDescent="0.3">
      <c r="A51" s="44" t="s">
        <v>171</v>
      </c>
      <c r="B51" s="45" t="s">
        <v>168</v>
      </c>
      <c r="C51" s="46">
        <v>24</v>
      </c>
      <c r="D51" s="47" t="s">
        <v>169</v>
      </c>
      <c r="E51" s="48">
        <v>40</v>
      </c>
      <c r="F51" s="49">
        <v>11.2</v>
      </c>
      <c r="G51" s="50"/>
      <c r="H51" s="51"/>
      <c r="I51" s="45"/>
      <c r="J51" s="52"/>
      <c r="K51" s="53">
        <f t="shared" si="0"/>
        <v>0</v>
      </c>
      <c r="L51" s="54" t="s">
        <v>173</v>
      </c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 t="s">
        <v>174</v>
      </c>
      <c r="B53" s="45" t="s">
        <v>168</v>
      </c>
      <c r="C53" s="46">
        <v>24</v>
      </c>
      <c r="D53" s="47" t="s">
        <v>175</v>
      </c>
      <c r="E53" s="48">
        <v>14</v>
      </c>
      <c r="F53" s="49">
        <v>20.260000000000002</v>
      </c>
      <c r="G53" s="50" t="s">
        <v>176</v>
      </c>
      <c r="H53" s="51">
        <v>2438</v>
      </c>
      <c r="I53" s="45">
        <v>3353</v>
      </c>
      <c r="J53" s="52">
        <v>6</v>
      </c>
      <c r="K53" s="53">
        <f t="shared" si="0"/>
        <v>49.047684000000004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 t="s">
        <v>171</v>
      </c>
      <c r="B55" s="45" t="s">
        <v>168</v>
      </c>
      <c r="C55" s="46">
        <v>24</v>
      </c>
      <c r="D55" s="47" t="s">
        <v>169</v>
      </c>
      <c r="E55" s="48">
        <v>156</v>
      </c>
      <c r="F55" s="49">
        <v>237.98099999999999</v>
      </c>
      <c r="G55" s="50" t="s">
        <v>170</v>
      </c>
      <c r="H55" s="51">
        <v>2438</v>
      </c>
      <c r="I55" s="45">
        <v>3048</v>
      </c>
      <c r="J55" s="52">
        <v>58</v>
      </c>
      <c r="K55" s="53">
        <f t="shared" si="0"/>
        <v>430.99939200000006</v>
      </c>
      <c r="L55" s="54" t="s">
        <v>177</v>
      </c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 t="s">
        <v>170</v>
      </c>
      <c r="H56" s="51">
        <v>2438</v>
      </c>
      <c r="I56" s="45">
        <v>3353</v>
      </c>
      <c r="J56" s="52">
        <v>14</v>
      </c>
      <c r="K56" s="53">
        <f t="shared" si="0"/>
        <v>114.444596</v>
      </c>
      <c r="L56" s="54"/>
    </row>
    <row r="57" spans="1:12" s="55" customFormat="1" ht="19.5" customHeight="1" x14ac:dyDescent="0.3">
      <c r="A57" s="44" t="s">
        <v>185</v>
      </c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5" customFormat="1" ht="19.5" customHeight="1" x14ac:dyDescent="0.3">
      <c r="A58" s="44" t="s">
        <v>186</v>
      </c>
      <c r="B58" s="45" t="s">
        <v>187</v>
      </c>
      <c r="C58" s="46">
        <v>28</v>
      </c>
      <c r="D58" s="47" t="s">
        <v>188</v>
      </c>
      <c r="E58" s="48">
        <v>194</v>
      </c>
      <c r="F58" s="49">
        <v>259.83</v>
      </c>
      <c r="G58" s="50" t="s">
        <v>189</v>
      </c>
      <c r="H58" s="51">
        <v>3048</v>
      </c>
      <c r="I58" s="45">
        <v>3658</v>
      </c>
      <c r="J58" s="52">
        <v>25</v>
      </c>
      <c r="K58" s="53">
        <f t="shared" si="0"/>
        <v>278.7396</v>
      </c>
      <c r="L58" s="54" t="s">
        <v>180</v>
      </c>
    </row>
    <row r="59" spans="1:12" s="55" customFormat="1" ht="19.5" customHeight="1" x14ac:dyDescent="0.3">
      <c r="A59" s="44"/>
      <c r="B59" s="45"/>
      <c r="C59" s="46"/>
      <c r="D59" s="47"/>
      <c r="E59" s="48"/>
      <c r="F59" s="49"/>
      <c r="G59" s="50" t="s">
        <v>189</v>
      </c>
      <c r="H59" s="51">
        <v>1981</v>
      </c>
      <c r="I59" s="45">
        <v>3048</v>
      </c>
      <c r="J59" s="52">
        <v>1</v>
      </c>
      <c r="K59" s="53">
        <f t="shared" si="0"/>
        <v>6.038088000000001</v>
      </c>
      <c r="L59" s="54"/>
    </row>
    <row r="60" spans="1:12" s="55" customFormat="1" ht="19.5" customHeight="1" x14ac:dyDescent="0.3">
      <c r="A60" s="44"/>
      <c r="B60" s="45"/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190</v>
      </c>
      <c r="B61" s="45" t="s">
        <v>191</v>
      </c>
      <c r="C61" s="46">
        <v>22</v>
      </c>
      <c r="D61" s="47" t="s">
        <v>192</v>
      </c>
      <c r="E61" s="48">
        <v>8</v>
      </c>
      <c r="F61" s="49">
        <v>16.14</v>
      </c>
      <c r="G61" s="50" t="s">
        <v>179</v>
      </c>
      <c r="H61" s="51">
        <v>2134</v>
      </c>
      <c r="I61" s="45">
        <v>3353</v>
      </c>
      <c r="J61" s="52">
        <v>4</v>
      </c>
      <c r="K61" s="53">
        <f t="shared" si="0"/>
        <v>28.621207999999999</v>
      </c>
      <c r="L61" s="54"/>
    </row>
    <row r="62" spans="1:12" s="55" customFormat="1" ht="19.5" customHeight="1" x14ac:dyDescent="0.3">
      <c r="A62" s="44"/>
      <c r="B62" s="45"/>
      <c r="C62" s="46"/>
      <c r="D62" s="47"/>
      <c r="E62" s="48"/>
      <c r="F62" s="49"/>
      <c r="G62" s="50" t="s">
        <v>179</v>
      </c>
      <c r="H62" s="51">
        <v>2134</v>
      </c>
      <c r="I62" s="45">
        <v>3048</v>
      </c>
      <c r="J62" s="52">
        <v>1</v>
      </c>
      <c r="K62" s="53">
        <f t="shared" si="0"/>
        <v>6.5044319999999995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193</v>
      </c>
      <c r="B64" s="45" t="s">
        <v>194</v>
      </c>
      <c r="C64" s="46">
        <v>24</v>
      </c>
      <c r="D64" s="47" t="s">
        <v>195</v>
      </c>
      <c r="E64" s="48">
        <v>43</v>
      </c>
      <c r="F64" s="49">
        <v>84.66</v>
      </c>
      <c r="G64" s="50" t="s">
        <v>179</v>
      </c>
      <c r="H64" s="51">
        <v>2590</v>
      </c>
      <c r="I64" s="45">
        <v>3048</v>
      </c>
      <c r="J64" s="52">
        <v>9</v>
      </c>
      <c r="K64" s="53">
        <f t="shared" si="0"/>
        <v>71.048879999999997</v>
      </c>
      <c r="L64" s="54" t="s">
        <v>180</v>
      </c>
    </row>
    <row r="65" spans="1:12" s="55" customFormat="1" ht="19.5" customHeight="1" x14ac:dyDescent="0.3">
      <c r="A65" s="44"/>
      <c r="B65" s="45"/>
      <c r="C65" s="46">
        <v>28</v>
      </c>
      <c r="D65" s="47" t="s">
        <v>196</v>
      </c>
      <c r="E65" s="48">
        <v>2</v>
      </c>
      <c r="F65" s="49">
        <v>0.88</v>
      </c>
      <c r="G65" s="50" t="s">
        <v>179</v>
      </c>
      <c r="H65" s="51">
        <v>2590</v>
      </c>
      <c r="I65" s="45">
        <v>3353</v>
      </c>
      <c r="J65" s="52">
        <v>2</v>
      </c>
      <c r="K65" s="53">
        <f t="shared" si="0"/>
        <v>17.368539999999996</v>
      </c>
      <c r="L65" s="54" t="s">
        <v>197</v>
      </c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/>
      <c r="B67" s="45"/>
      <c r="C67" s="46"/>
      <c r="D67" s="47"/>
      <c r="E67" s="48"/>
      <c r="F67" s="49"/>
      <c r="G67" s="50"/>
      <c r="H67" s="51"/>
      <c r="I67" s="45"/>
      <c r="J67" s="52"/>
      <c r="K67" s="53">
        <f t="shared" si="0"/>
        <v>0</v>
      </c>
      <c r="L67" s="54"/>
    </row>
    <row r="68" spans="1:12" s="55" customFormat="1" ht="19.5" customHeight="1" x14ac:dyDescent="0.3">
      <c r="A68" s="44"/>
      <c r="B68" s="45"/>
      <c r="C68" s="46"/>
      <c r="D68" s="47"/>
      <c r="E68" s="48"/>
      <c r="F68" s="49"/>
      <c r="G68" s="50"/>
      <c r="H68" s="51"/>
      <c r="I68" s="45"/>
      <c r="J68" s="52"/>
      <c r="K68" s="53">
        <f t="shared" si="0"/>
        <v>0</v>
      </c>
      <c r="L68" s="54"/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/>
      <c r="H69" s="51"/>
      <c r="I69" s="45"/>
      <c r="J69" s="52"/>
      <c r="K69" s="53">
        <f t="shared" si="0"/>
        <v>0</v>
      </c>
      <c r="L69" s="54"/>
    </row>
    <row r="70" spans="1:12" s="59" customFormat="1" ht="20.100000000000001" customHeight="1" x14ac:dyDescent="0.3">
      <c r="A70" s="44"/>
      <c r="B70" s="45"/>
      <c r="C70" s="46"/>
      <c r="D70" s="47"/>
      <c r="E70" s="56"/>
      <c r="F70" s="57"/>
      <c r="G70" s="50"/>
      <c r="H70" s="51"/>
      <c r="I70" s="45"/>
      <c r="J70" s="52"/>
      <c r="K70" s="53">
        <f t="shared" si="0"/>
        <v>0</v>
      </c>
      <c r="L70" s="58">
        <f>SUM(J43:J71)</f>
        <v>173</v>
      </c>
    </row>
    <row r="71" spans="1:12" s="59" customFormat="1" ht="20.100000000000001" customHeight="1" x14ac:dyDescent="0.3">
      <c r="A71" s="44"/>
      <c r="B71" s="45"/>
      <c r="C71" s="46"/>
      <c r="D71" s="47"/>
      <c r="E71" s="60"/>
      <c r="F71" s="61"/>
      <c r="G71" s="62"/>
      <c r="H71" s="51"/>
      <c r="I71" s="45"/>
      <c r="J71" s="63"/>
      <c r="K71" s="53">
        <f t="shared" si="0"/>
        <v>0</v>
      </c>
      <c r="L71" s="64">
        <f>SUM(K43:K71)</f>
        <v>1397.4002820000003</v>
      </c>
    </row>
    <row r="72" spans="1:12" s="59" customFormat="1" ht="20.100000000000001" customHeight="1" thickBot="1" x14ac:dyDescent="0.35">
      <c r="A72" s="114"/>
      <c r="B72" s="115"/>
      <c r="C72" s="115"/>
      <c r="D72" s="115"/>
      <c r="E72" s="115"/>
      <c r="F72" s="115"/>
      <c r="G72" s="115"/>
      <c r="H72" s="115"/>
      <c r="I72" s="115"/>
      <c r="J72" s="65">
        <f>SUM(J7:J71)</f>
        <v>378</v>
      </c>
      <c r="K72" s="66">
        <f>SUM(K7:K71)</f>
        <v>2814.888708</v>
      </c>
      <c r="L72" s="67"/>
    </row>
    <row r="73" spans="1:12" s="59" customFormat="1" ht="20.100000000000001" customHeight="1" thickTop="1" thickBot="1" x14ac:dyDescent="0.35">
      <c r="A73" s="116" t="s">
        <v>52</v>
      </c>
      <c r="B73" s="117"/>
      <c r="C73" s="68"/>
      <c r="D73" s="118">
        <f>J72</f>
        <v>378</v>
      </c>
      <c r="E73" s="119"/>
      <c r="F73" s="119"/>
      <c r="G73" s="120"/>
      <c r="H73" s="121"/>
      <c r="I73" s="121"/>
      <c r="J73" s="122"/>
      <c r="K73" s="119"/>
      <c r="L73" s="123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71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72"/>
      <c r="F79" s="5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5"/>
      <c r="G80" s="73"/>
      <c r="H80" s="5"/>
      <c r="I80" s="74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72"/>
      <c r="I84" s="72"/>
      <c r="J84" s="5"/>
      <c r="K84" s="5"/>
      <c r="L84" s="5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A88" s="113"/>
      <c r="B88" s="113"/>
      <c r="H88" s="72"/>
      <c r="I88" s="72"/>
    </row>
    <row r="89" spans="1:12" ht="20.100000000000001" customHeight="1" x14ac:dyDescent="0.3">
      <c r="A89" s="113"/>
      <c r="B89" s="113"/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H92" s="72"/>
      <c r="I92" s="72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5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5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5" customFormat="1" ht="19.5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2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ht="19.5" customHeight="1" x14ac:dyDescent="0.3"/>
    <row r="101" spans="1:12" ht="19.5" customHeight="1" x14ac:dyDescent="0.3"/>
    <row r="102" spans="1:12" ht="19.5" customHeight="1" x14ac:dyDescent="0.3"/>
    <row r="103" spans="1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>
        <v>2</v>
      </c>
      <c r="C163" s="5"/>
      <c r="D163" s="5"/>
      <c r="E163" s="5"/>
      <c r="F163" s="70"/>
      <c r="G163" s="5"/>
      <c r="H163" s="5"/>
      <c r="I163" s="5"/>
      <c r="J163" s="5"/>
      <c r="K163" s="5"/>
      <c r="L163" s="5"/>
    </row>
  </sheetData>
  <mergeCells count="30">
    <mergeCell ref="A88:B88"/>
    <mergeCell ref="A89:B89"/>
    <mergeCell ref="A79:B79"/>
    <mergeCell ref="A80:B80"/>
    <mergeCell ref="A81:B81"/>
    <mergeCell ref="A83:B83"/>
    <mergeCell ref="A84:B84"/>
    <mergeCell ref="A85:B85"/>
    <mergeCell ref="A78:B7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2:I72"/>
    <mergeCell ref="A73:B73"/>
    <mergeCell ref="D73:G73"/>
    <mergeCell ref="H73:J73"/>
    <mergeCell ref="K73:L73"/>
    <mergeCell ref="A1:H2"/>
    <mergeCell ref="A3:B3"/>
    <mergeCell ref="C3:H3"/>
    <mergeCell ref="A4:A6"/>
    <mergeCell ref="B4:B6"/>
    <mergeCell ref="C4:F4"/>
    <mergeCell ref="G4:K4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pageSetUpPr fitToPage="1"/>
  </sheetPr>
  <dimension ref="A1:L151"/>
  <sheetViews>
    <sheetView view="pageBreakPreview" topLeftCell="A19" zoomScale="85" zoomScaleSheetLayoutView="85" workbookViewId="0">
      <selection activeCell="B19" sqref="B19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46027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8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9" si="0">(H7/1000*I7/1000)*J7</f>
        <v>0</v>
      </c>
      <c r="L7" s="26">
        <f>SUM(J7:J30)</f>
        <v>139</v>
      </c>
    </row>
    <row r="8" spans="1:12" s="27" customFormat="1" ht="19.5" customHeight="1" x14ac:dyDescent="0.3">
      <c r="A8" s="28"/>
      <c r="B8" s="29"/>
      <c r="C8" s="30"/>
      <c r="D8" s="31"/>
      <c r="E8" s="32"/>
      <c r="F8" s="33"/>
      <c r="G8" s="34"/>
      <c r="H8" s="35"/>
      <c r="I8" s="36"/>
      <c r="J8" s="37"/>
      <c r="K8" s="38">
        <f t="shared" si="0"/>
        <v>0</v>
      </c>
      <c r="L8" s="39">
        <f>SUM(K7:K30)</f>
        <v>988.05422799999997</v>
      </c>
    </row>
    <row r="9" spans="1:12" s="27" customFormat="1" ht="19.5" customHeight="1" x14ac:dyDescent="0.3">
      <c r="A9" s="28" t="s">
        <v>120</v>
      </c>
      <c r="B9" s="29" t="s">
        <v>25</v>
      </c>
      <c r="C9" s="30">
        <v>5</v>
      </c>
      <c r="D9" s="31" t="s">
        <v>121</v>
      </c>
      <c r="E9" s="41">
        <v>112</v>
      </c>
      <c r="F9" s="42">
        <v>104.01</v>
      </c>
      <c r="G9" s="34" t="s">
        <v>18</v>
      </c>
      <c r="H9" s="35">
        <v>2134</v>
      </c>
      <c r="I9" s="36">
        <v>3353</v>
      </c>
      <c r="J9" s="37">
        <v>16</v>
      </c>
      <c r="K9" s="38">
        <f t="shared" si="0"/>
        <v>114.484832</v>
      </c>
      <c r="L9" s="39"/>
    </row>
    <row r="10" spans="1:12" s="27" customFormat="1" ht="19.5" customHeight="1" x14ac:dyDescent="0.3">
      <c r="A10" s="28"/>
      <c r="B10" s="29"/>
      <c r="C10" s="30"/>
      <c r="D10" s="31"/>
      <c r="E10" s="41"/>
      <c r="F10" s="42"/>
      <c r="G10" s="34"/>
      <c r="H10" s="35"/>
      <c r="I10" s="36"/>
      <c r="J10" s="37"/>
      <c r="K10" s="38">
        <f t="shared" si="0"/>
        <v>0</v>
      </c>
      <c r="L10" s="39"/>
    </row>
    <row r="11" spans="1:12" s="27" customFormat="1" ht="19.5" customHeight="1" x14ac:dyDescent="0.3">
      <c r="A11" s="28" t="s">
        <v>122</v>
      </c>
      <c r="B11" s="29" t="s">
        <v>25</v>
      </c>
      <c r="C11" s="30">
        <v>5</v>
      </c>
      <c r="D11" s="31" t="s">
        <v>121</v>
      </c>
      <c r="E11" s="41">
        <v>124</v>
      </c>
      <c r="F11" s="42">
        <v>118.27</v>
      </c>
      <c r="G11" s="34" t="s">
        <v>18</v>
      </c>
      <c r="H11" s="35">
        <v>2134</v>
      </c>
      <c r="I11" s="36">
        <v>3353</v>
      </c>
      <c r="J11" s="37">
        <v>17</v>
      </c>
      <c r="K11" s="38">
        <f t="shared" si="0"/>
        <v>121.640134</v>
      </c>
      <c r="L11" s="39"/>
    </row>
    <row r="12" spans="1:12" s="27" customFormat="1" ht="19.5" customHeight="1" x14ac:dyDescent="0.3">
      <c r="A12" s="28"/>
      <c r="B12" s="29"/>
      <c r="C12" s="30"/>
      <c r="D12" s="31"/>
      <c r="E12" s="41"/>
      <c r="F12" s="42"/>
      <c r="G12" s="43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28" t="s">
        <v>123</v>
      </c>
      <c r="B13" s="29" t="s">
        <v>25</v>
      </c>
      <c r="C13" s="30">
        <v>5</v>
      </c>
      <c r="D13" s="31" t="s">
        <v>121</v>
      </c>
      <c r="E13" s="41">
        <v>139</v>
      </c>
      <c r="F13" s="42">
        <v>132.58000000000001</v>
      </c>
      <c r="G13" s="34" t="s">
        <v>18</v>
      </c>
      <c r="H13" s="35">
        <v>2134</v>
      </c>
      <c r="I13" s="36">
        <v>3353</v>
      </c>
      <c r="J13" s="37">
        <v>20</v>
      </c>
      <c r="K13" s="38">
        <f t="shared" ref="K13:K26" si="1">(H13/1000*I13/1000)*J13</f>
        <v>143.10604000000001</v>
      </c>
      <c r="L13" s="39"/>
    </row>
    <row r="14" spans="1:12" s="27" customFormat="1" ht="19.5" customHeight="1" x14ac:dyDescent="0.3">
      <c r="A14" s="28"/>
      <c r="B14" s="29"/>
      <c r="C14" s="30"/>
      <c r="D14" s="31"/>
      <c r="E14" s="41"/>
      <c r="F14" s="42"/>
      <c r="G14" s="43"/>
      <c r="H14" s="35"/>
      <c r="I14" s="36"/>
      <c r="J14" s="37"/>
      <c r="K14" s="38">
        <f t="shared" si="1"/>
        <v>0</v>
      </c>
      <c r="L14" s="39"/>
    </row>
    <row r="15" spans="1:12" s="27" customFormat="1" ht="19.5" customHeight="1" x14ac:dyDescent="0.3">
      <c r="A15" s="28" t="s">
        <v>124</v>
      </c>
      <c r="B15" s="29" t="s">
        <v>25</v>
      </c>
      <c r="C15" s="30">
        <v>5</v>
      </c>
      <c r="D15" s="31" t="s">
        <v>121</v>
      </c>
      <c r="E15" s="41">
        <v>139</v>
      </c>
      <c r="F15" s="42">
        <v>132.6</v>
      </c>
      <c r="G15" s="34" t="s">
        <v>18</v>
      </c>
      <c r="H15" s="35">
        <v>2134</v>
      </c>
      <c r="I15" s="36">
        <v>3353</v>
      </c>
      <c r="J15" s="37">
        <v>19</v>
      </c>
      <c r="K15" s="38">
        <f t="shared" si="1"/>
        <v>135.950738</v>
      </c>
      <c r="L15" s="39"/>
    </row>
    <row r="16" spans="1:12" s="27" customFormat="1" ht="19.5" customHeight="1" x14ac:dyDescent="0.3">
      <c r="A16" s="28"/>
      <c r="B16" s="29"/>
      <c r="C16" s="30"/>
      <c r="D16" s="31"/>
      <c r="E16" s="41"/>
      <c r="F16" s="42"/>
      <c r="G16" s="43"/>
      <c r="H16" s="35"/>
      <c r="I16" s="36"/>
      <c r="J16" s="37"/>
      <c r="K16" s="38">
        <f t="shared" si="1"/>
        <v>0</v>
      </c>
      <c r="L16" s="39"/>
    </row>
    <row r="17" spans="1:12" s="27" customFormat="1" ht="19.5" customHeight="1" x14ac:dyDescent="0.3">
      <c r="A17" s="28" t="s">
        <v>125</v>
      </c>
      <c r="B17" s="29" t="s">
        <v>25</v>
      </c>
      <c r="C17" s="30">
        <v>5</v>
      </c>
      <c r="D17" s="31" t="s">
        <v>121</v>
      </c>
      <c r="E17" s="41">
        <v>124</v>
      </c>
      <c r="F17" s="42">
        <v>118.27</v>
      </c>
      <c r="G17" s="34" t="s">
        <v>18</v>
      </c>
      <c r="H17" s="35">
        <v>2134</v>
      </c>
      <c r="I17" s="36">
        <v>3353</v>
      </c>
      <c r="J17" s="37">
        <v>17</v>
      </c>
      <c r="K17" s="38">
        <f t="shared" si="1"/>
        <v>121.640134</v>
      </c>
      <c r="L17" s="39"/>
    </row>
    <row r="18" spans="1:12" s="27" customFormat="1" ht="19.5" customHeight="1" x14ac:dyDescent="0.3">
      <c r="A18" s="28"/>
      <c r="B18" s="29"/>
      <c r="C18" s="30"/>
      <c r="D18" s="31"/>
      <c r="E18" s="41"/>
      <c r="F18" s="42"/>
      <c r="G18" s="43"/>
      <c r="H18" s="35"/>
      <c r="I18" s="36"/>
      <c r="J18" s="37"/>
      <c r="K18" s="38">
        <f t="shared" si="1"/>
        <v>0</v>
      </c>
      <c r="L18" s="39"/>
    </row>
    <row r="19" spans="1:12" s="27" customFormat="1" ht="19.5" customHeight="1" x14ac:dyDescent="0.3">
      <c r="A19" s="28" t="s">
        <v>126</v>
      </c>
      <c r="B19" s="29" t="s">
        <v>25</v>
      </c>
      <c r="C19" s="30">
        <v>5</v>
      </c>
      <c r="D19" s="31" t="s">
        <v>121</v>
      </c>
      <c r="E19" s="41">
        <v>124</v>
      </c>
      <c r="F19" s="42">
        <v>118.37</v>
      </c>
      <c r="G19" s="34" t="s">
        <v>18</v>
      </c>
      <c r="H19" s="35">
        <v>2134</v>
      </c>
      <c r="I19" s="36">
        <v>3353</v>
      </c>
      <c r="J19" s="37">
        <v>17</v>
      </c>
      <c r="K19" s="38">
        <f t="shared" si="1"/>
        <v>121.640134</v>
      </c>
      <c r="L19" s="39"/>
    </row>
    <row r="20" spans="1:12" s="27" customFormat="1" ht="19.5" customHeight="1" x14ac:dyDescent="0.3">
      <c r="A20" s="28"/>
      <c r="B20" s="29"/>
      <c r="C20" s="30"/>
      <c r="D20" s="31"/>
      <c r="E20" s="41"/>
      <c r="F20" s="42"/>
      <c r="G20" s="43"/>
      <c r="H20" s="35"/>
      <c r="I20" s="36"/>
      <c r="J20" s="37"/>
      <c r="K20" s="38">
        <f t="shared" si="1"/>
        <v>0</v>
      </c>
      <c r="L20" s="39"/>
    </row>
    <row r="21" spans="1:12" s="27" customFormat="1" ht="19.5" customHeight="1" x14ac:dyDescent="0.3">
      <c r="A21" s="28" t="s">
        <v>116</v>
      </c>
      <c r="B21" s="29" t="s">
        <v>16</v>
      </c>
      <c r="C21" s="30">
        <v>22</v>
      </c>
      <c r="D21" s="31" t="s">
        <v>17</v>
      </c>
      <c r="E21" s="41">
        <v>135</v>
      </c>
      <c r="F21" s="42">
        <v>106.2</v>
      </c>
      <c r="G21" s="43" t="s">
        <v>18</v>
      </c>
      <c r="H21" s="35">
        <v>2590</v>
      </c>
      <c r="I21" s="36">
        <v>3353</v>
      </c>
      <c r="J21" s="37">
        <v>1</v>
      </c>
      <c r="K21" s="38">
        <f t="shared" si="1"/>
        <v>8.6842699999999979</v>
      </c>
      <c r="L21" s="39"/>
    </row>
    <row r="22" spans="1:12" s="27" customFormat="1" ht="19.5" customHeight="1" x14ac:dyDescent="0.3">
      <c r="A22" s="28"/>
      <c r="B22" s="29"/>
      <c r="C22" s="30"/>
      <c r="D22" s="31"/>
      <c r="E22" s="41"/>
      <c r="F22" s="42"/>
      <c r="G22" s="43" t="s">
        <v>18</v>
      </c>
      <c r="H22" s="35">
        <v>2590</v>
      </c>
      <c r="I22" s="36">
        <v>3048</v>
      </c>
      <c r="J22" s="37">
        <v>14</v>
      </c>
      <c r="K22" s="38">
        <f t="shared" si="1"/>
        <v>110.52047999999999</v>
      </c>
      <c r="L22" s="39"/>
    </row>
    <row r="23" spans="1:12" s="27" customFormat="1" ht="19.5" customHeight="1" x14ac:dyDescent="0.3">
      <c r="A23" s="28"/>
      <c r="B23" s="29"/>
      <c r="C23" s="30"/>
      <c r="D23" s="31"/>
      <c r="E23" s="41"/>
      <c r="F23" s="42"/>
      <c r="G23" s="34" t="s">
        <v>19</v>
      </c>
      <c r="H23" s="35">
        <v>1829</v>
      </c>
      <c r="I23" s="36">
        <v>3353</v>
      </c>
      <c r="J23" s="37">
        <v>18</v>
      </c>
      <c r="K23" s="38">
        <f t="shared" si="1"/>
        <v>110.387466</v>
      </c>
      <c r="L23" s="39"/>
    </row>
    <row r="24" spans="1:12" s="27" customFormat="1" ht="19.5" customHeight="1" x14ac:dyDescent="0.3">
      <c r="A24" s="28"/>
      <c r="B24" s="29"/>
      <c r="C24" s="30"/>
      <c r="D24" s="31"/>
      <c r="E24" s="41"/>
      <c r="F24" s="42"/>
      <c r="G24" s="43"/>
      <c r="H24" s="35"/>
      <c r="I24" s="36"/>
      <c r="J24" s="37"/>
      <c r="K24" s="38">
        <f t="shared" si="1"/>
        <v>0</v>
      </c>
      <c r="L24" s="39"/>
    </row>
    <row r="25" spans="1:12" s="27" customFormat="1" ht="19.5" customHeight="1" x14ac:dyDescent="0.3">
      <c r="A25" s="28"/>
      <c r="B25" s="29"/>
      <c r="C25" s="30"/>
      <c r="D25" s="31"/>
      <c r="E25" s="41"/>
      <c r="F25" s="42"/>
      <c r="G25" s="43"/>
      <c r="H25" s="35"/>
      <c r="I25" s="36"/>
      <c r="J25" s="37"/>
      <c r="K25" s="38">
        <f t="shared" si="1"/>
        <v>0</v>
      </c>
      <c r="L25" s="39"/>
    </row>
    <row r="26" spans="1:12" s="27" customFormat="1" ht="19.5" customHeight="1" x14ac:dyDescent="0.3">
      <c r="A26" s="28"/>
      <c r="B26" s="29"/>
      <c r="C26" s="30"/>
      <c r="D26" s="31"/>
      <c r="E26" s="41"/>
      <c r="F26" s="42"/>
      <c r="G26" s="34"/>
      <c r="H26" s="35"/>
      <c r="I26" s="36"/>
      <c r="J26" s="37"/>
      <c r="K26" s="38">
        <f t="shared" si="1"/>
        <v>0</v>
      </c>
      <c r="L26" s="39"/>
    </row>
    <row r="27" spans="1:12" s="27" customFormat="1" ht="19.5" customHeight="1" x14ac:dyDescent="0.3">
      <c r="A27" s="28"/>
      <c r="B27" s="29"/>
      <c r="C27" s="30"/>
      <c r="D27" s="31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28"/>
      <c r="B29" s="29"/>
      <c r="C29" s="30"/>
      <c r="D29" s="31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28"/>
      <c r="B30" s="29"/>
      <c r="C30" s="30"/>
      <c r="D30" s="31"/>
      <c r="E30" s="41"/>
      <c r="F30" s="42"/>
      <c r="G30" s="43"/>
      <c r="H30" s="35"/>
      <c r="I30" s="36"/>
      <c r="J30" s="37"/>
      <c r="K30" s="38">
        <f t="shared" si="0"/>
        <v>0</v>
      </c>
      <c r="L30" s="39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/>
      <c r="H31" s="51"/>
      <c r="I31" s="45"/>
      <c r="J31" s="52"/>
      <c r="K31" s="53">
        <f t="shared" si="0"/>
        <v>0</v>
      </c>
      <c r="L31" s="54"/>
    </row>
    <row r="32" spans="1:12" s="55" customFormat="1" ht="19.5" customHeight="1" x14ac:dyDescent="0.3">
      <c r="A32" s="44" t="s">
        <v>127</v>
      </c>
      <c r="B32" s="45" t="s">
        <v>128</v>
      </c>
      <c r="C32" s="46">
        <v>22</v>
      </c>
      <c r="D32" s="47" t="s">
        <v>55</v>
      </c>
      <c r="E32" s="48">
        <v>1</v>
      </c>
      <c r="F32" s="49">
        <v>0.47</v>
      </c>
      <c r="G32" s="50"/>
      <c r="H32" s="51"/>
      <c r="I32" s="45"/>
      <c r="J32" s="52"/>
      <c r="K32" s="53">
        <f t="shared" si="0"/>
        <v>0</v>
      </c>
      <c r="L32" s="54" t="s">
        <v>31</v>
      </c>
    </row>
    <row r="33" spans="1:12" s="55" customFormat="1" ht="19.5" customHeight="1" x14ac:dyDescent="0.3">
      <c r="A33" s="44"/>
      <c r="B33" s="45"/>
      <c r="C33" s="46"/>
      <c r="D33" s="47"/>
      <c r="E33" s="48"/>
      <c r="F33" s="49"/>
      <c r="G33" s="50"/>
      <c r="H33" s="51"/>
      <c r="I33" s="45"/>
      <c r="J33" s="52"/>
      <c r="K33" s="53">
        <f t="shared" si="0"/>
        <v>0</v>
      </c>
      <c r="L33" s="54"/>
    </row>
    <row r="34" spans="1:12" s="55" customFormat="1" ht="19.5" customHeight="1" x14ac:dyDescent="0.3">
      <c r="A34" s="44" t="s">
        <v>129</v>
      </c>
      <c r="B34" s="45" t="s">
        <v>110</v>
      </c>
      <c r="C34" s="46">
        <v>24</v>
      </c>
      <c r="D34" s="47" t="s">
        <v>55</v>
      </c>
      <c r="E34" s="48">
        <v>78</v>
      </c>
      <c r="F34" s="49">
        <v>32.76</v>
      </c>
      <c r="G34" s="50" t="s">
        <v>56</v>
      </c>
      <c r="H34" s="51">
        <v>1981</v>
      </c>
      <c r="I34" s="45">
        <v>3353</v>
      </c>
      <c r="J34" s="52">
        <v>6</v>
      </c>
      <c r="K34" s="53">
        <f t="shared" si="0"/>
        <v>39.853757999999999</v>
      </c>
      <c r="L34" s="54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 t="s">
        <v>18</v>
      </c>
      <c r="H35" s="51">
        <v>1981</v>
      </c>
      <c r="I35" s="45">
        <v>3353</v>
      </c>
      <c r="J35" s="52">
        <v>6</v>
      </c>
      <c r="K35" s="53">
        <f t="shared" ref="K35:K48" si="2">(H35/1000*I35/1000)*J35</f>
        <v>39.853757999999999</v>
      </c>
      <c r="L35" s="54"/>
    </row>
    <row r="36" spans="1:12" s="55" customFormat="1" ht="19.5" customHeight="1" x14ac:dyDescent="0.3">
      <c r="A36" s="44"/>
      <c r="B36" s="45"/>
      <c r="C36" s="46"/>
      <c r="D36" s="47"/>
      <c r="E36" s="48"/>
      <c r="F36" s="49"/>
      <c r="G36" s="50"/>
      <c r="H36" s="51"/>
      <c r="I36" s="45"/>
      <c r="J36" s="52"/>
      <c r="K36" s="53">
        <f t="shared" si="2"/>
        <v>0</v>
      </c>
      <c r="L36" s="54"/>
    </row>
    <row r="37" spans="1:12" s="55" customFormat="1" ht="19.5" customHeight="1" x14ac:dyDescent="0.3">
      <c r="A37" s="44" t="s">
        <v>113</v>
      </c>
      <c r="B37" s="45" t="s">
        <v>110</v>
      </c>
      <c r="C37" s="46">
        <v>24</v>
      </c>
      <c r="D37" s="47" t="s">
        <v>55</v>
      </c>
      <c r="E37" s="48">
        <v>130</v>
      </c>
      <c r="F37" s="49">
        <v>235.3</v>
      </c>
      <c r="G37" s="50" t="s">
        <v>18</v>
      </c>
      <c r="H37" s="51">
        <v>1981</v>
      </c>
      <c r="I37" s="45">
        <v>3048</v>
      </c>
      <c r="J37" s="52">
        <v>43</v>
      </c>
      <c r="K37" s="53">
        <f t="shared" si="2"/>
        <v>259.63778400000007</v>
      </c>
      <c r="L37" s="54" t="s">
        <v>100</v>
      </c>
    </row>
    <row r="38" spans="1:12" s="55" customFormat="1" ht="19.5" customHeight="1" x14ac:dyDescent="0.3">
      <c r="A38" s="44"/>
      <c r="B38" s="45"/>
      <c r="C38" s="46"/>
      <c r="D38" s="47"/>
      <c r="E38" s="48"/>
      <c r="F38" s="49"/>
      <c r="G38" s="50"/>
      <c r="H38" s="51"/>
      <c r="I38" s="45"/>
      <c r="J38" s="52"/>
      <c r="K38" s="53">
        <f t="shared" si="2"/>
        <v>0</v>
      </c>
      <c r="L38" s="54"/>
    </row>
    <row r="39" spans="1:12" s="55" customFormat="1" ht="19.5" customHeight="1" x14ac:dyDescent="0.3">
      <c r="A39" s="44" t="s">
        <v>115</v>
      </c>
      <c r="B39" s="45" t="s">
        <v>110</v>
      </c>
      <c r="C39" s="46">
        <v>24</v>
      </c>
      <c r="D39" s="47" t="s">
        <v>55</v>
      </c>
      <c r="E39" s="48">
        <v>138</v>
      </c>
      <c r="F39" s="49">
        <v>238.34</v>
      </c>
      <c r="G39" s="50" t="s">
        <v>18</v>
      </c>
      <c r="H39" s="51">
        <v>1981</v>
      </c>
      <c r="I39" s="45">
        <v>3048</v>
      </c>
      <c r="J39" s="52">
        <v>29</v>
      </c>
      <c r="K39" s="53">
        <f t="shared" si="2"/>
        <v>175.10455200000004</v>
      </c>
      <c r="L39" s="54" t="s">
        <v>100</v>
      </c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 t="s">
        <v>18</v>
      </c>
      <c r="H40" s="51">
        <v>1981</v>
      </c>
      <c r="I40" s="45">
        <v>3353</v>
      </c>
      <c r="J40" s="52">
        <v>13</v>
      </c>
      <c r="K40" s="53">
        <f t="shared" si="2"/>
        <v>86.349809000000008</v>
      </c>
      <c r="L40" s="54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2"/>
        <v>0</v>
      </c>
      <c r="L41" s="54"/>
    </row>
    <row r="42" spans="1:12" s="55" customFormat="1" ht="19.5" customHeight="1" x14ac:dyDescent="0.3">
      <c r="A42" s="44" t="s">
        <v>109</v>
      </c>
      <c r="B42" s="45" t="s">
        <v>110</v>
      </c>
      <c r="C42" s="46">
        <v>24</v>
      </c>
      <c r="D42" s="47" t="s">
        <v>55</v>
      </c>
      <c r="E42" s="48">
        <v>72</v>
      </c>
      <c r="F42" s="49">
        <v>120.48</v>
      </c>
      <c r="G42" s="50" t="s">
        <v>18</v>
      </c>
      <c r="H42" s="51">
        <v>1981</v>
      </c>
      <c r="I42" s="45">
        <v>3048</v>
      </c>
      <c r="J42" s="52">
        <v>8</v>
      </c>
      <c r="K42" s="53">
        <f t="shared" si="2"/>
        <v>48.304704000000008</v>
      </c>
      <c r="L42" s="54" t="s">
        <v>100</v>
      </c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 t="s">
        <v>18</v>
      </c>
      <c r="H43" s="51">
        <v>1981</v>
      </c>
      <c r="I43" s="45">
        <v>3353</v>
      </c>
      <c r="J43" s="52">
        <v>12</v>
      </c>
      <c r="K43" s="53">
        <f t="shared" si="2"/>
        <v>79.707515999999998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2"/>
        <v>0</v>
      </c>
      <c r="L44" s="54"/>
    </row>
    <row r="45" spans="1:12" s="55" customFormat="1" ht="19.5" customHeight="1" x14ac:dyDescent="0.3">
      <c r="A45" s="44" t="s">
        <v>117</v>
      </c>
      <c r="B45" s="45" t="s">
        <v>110</v>
      </c>
      <c r="C45" s="46">
        <v>24</v>
      </c>
      <c r="D45" s="47" t="s">
        <v>55</v>
      </c>
      <c r="E45" s="48">
        <v>44</v>
      </c>
      <c r="F45" s="49">
        <v>35.379999999999995</v>
      </c>
      <c r="G45" s="50" t="s">
        <v>56</v>
      </c>
      <c r="H45" s="51">
        <v>1981</v>
      </c>
      <c r="I45" s="45">
        <v>3048</v>
      </c>
      <c r="J45" s="52">
        <v>10</v>
      </c>
      <c r="K45" s="53">
        <f t="shared" si="2"/>
        <v>60.380880000000012</v>
      </c>
      <c r="L45" s="54" t="s">
        <v>130</v>
      </c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2"/>
        <v>0</v>
      </c>
      <c r="L46" s="54"/>
    </row>
    <row r="47" spans="1:12" s="55" customFormat="1" ht="19.5" customHeight="1" x14ac:dyDescent="0.3">
      <c r="A47" s="44" t="s">
        <v>117</v>
      </c>
      <c r="B47" s="45" t="s">
        <v>110</v>
      </c>
      <c r="C47" s="46">
        <v>24</v>
      </c>
      <c r="D47" s="47" t="s">
        <v>55</v>
      </c>
      <c r="E47" s="48">
        <v>144</v>
      </c>
      <c r="F47" s="49">
        <v>218.38</v>
      </c>
      <c r="G47" s="50" t="s">
        <v>18</v>
      </c>
      <c r="H47" s="51">
        <v>1981</v>
      </c>
      <c r="I47" s="45">
        <v>3048</v>
      </c>
      <c r="J47" s="52">
        <v>40</v>
      </c>
      <c r="K47" s="53">
        <f t="shared" si="2"/>
        <v>241.52352000000005</v>
      </c>
      <c r="L47" s="54" t="s">
        <v>100</v>
      </c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2"/>
        <v>0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5" customFormat="1" ht="19.5" customHeight="1" x14ac:dyDescent="0.3">
      <c r="A50" s="44"/>
      <c r="B50" s="45"/>
      <c r="C50" s="46"/>
      <c r="D50" s="47"/>
      <c r="E50" s="48"/>
      <c r="F50" s="49"/>
      <c r="G50" s="50"/>
      <c r="H50" s="51"/>
      <c r="I50" s="45"/>
      <c r="J50" s="52"/>
      <c r="K50" s="53">
        <f t="shared" si="0"/>
        <v>0</v>
      </c>
      <c r="L50" s="54"/>
    </row>
    <row r="51" spans="1:12" s="55" customFormat="1" ht="19.5" customHeight="1" x14ac:dyDescent="0.3">
      <c r="A51" s="44"/>
      <c r="B51" s="45"/>
      <c r="C51" s="46"/>
      <c r="D51" s="47"/>
      <c r="E51" s="48"/>
      <c r="F51" s="49"/>
      <c r="G51" s="50"/>
      <c r="H51" s="51"/>
      <c r="I51" s="45"/>
      <c r="J51" s="52"/>
      <c r="K51" s="53">
        <f t="shared" si="0"/>
        <v>0</v>
      </c>
      <c r="L51" s="54"/>
    </row>
    <row r="52" spans="1:12" s="55" customFormat="1" ht="19.5" customHeight="1" x14ac:dyDescent="0.3">
      <c r="A52" s="44"/>
      <c r="B52" s="45"/>
      <c r="C52" s="46"/>
      <c r="D52" s="47"/>
      <c r="E52" s="48"/>
      <c r="F52" s="49"/>
      <c r="G52" s="50"/>
      <c r="H52" s="51"/>
      <c r="I52" s="45"/>
      <c r="J52" s="52"/>
      <c r="K52" s="53">
        <f t="shared" si="0"/>
        <v>0</v>
      </c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/>
      <c r="B54" s="45"/>
      <c r="C54" s="46"/>
      <c r="D54" s="47"/>
      <c r="E54" s="48"/>
      <c r="F54" s="49"/>
      <c r="G54" s="50"/>
      <c r="H54" s="51"/>
      <c r="I54" s="45"/>
      <c r="J54" s="52"/>
      <c r="K54" s="53">
        <f t="shared" si="0"/>
        <v>0</v>
      </c>
      <c r="L54" s="54"/>
    </row>
    <row r="55" spans="1:12" s="55" customFormat="1" ht="19.5" customHeight="1" x14ac:dyDescent="0.3">
      <c r="A55" s="44"/>
      <c r="B55" s="45"/>
      <c r="C55" s="46"/>
      <c r="D55" s="47"/>
      <c r="E55" s="48"/>
      <c r="F55" s="49"/>
      <c r="G55" s="50"/>
      <c r="H55" s="51"/>
      <c r="I55" s="45"/>
      <c r="J55" s="52"/>
      <c r="K55" s="53">
        <f t="shared" si="0"/>
        <v>0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/>
      <c r="B57" s="45"/>
      <c r="C57" s="46"/>
      <c r="D57" s="47"/>
      <c r="E57" s="48"/>
      <c r="F57" s="49"/>
      <c r="G57" s="50"/>
      <c r="H57" s="51"/>
      <c r="I57" s="45"/>
      <c r="J57" s="52"/>
      <c r="K57" s="53">
        <f t="shared" si="0"/>
        <v>0</v>
      </c>
      <c r="L57" s="54"/>
    </row>
    <row r="58" spans="1:12" s="59" customFormat="1" ht="20.100000000000001" customHeight="1" x14ac:dyDescent="0.3">
      <c r="A58" s="44"/>
      <c r="B58" s="45"/>
      <c r="C58" s="46"/>
      <c r="D58" s="47"/>
      <c r="E58" s="56"/>
      <c r="F58" s="57"/>
      <c r="G58" s="50"/>
      <c r="H58" s="51"/>
      <c r="I58" s="45"/>
      <c r="J58" s="52"/>
      <c r="K58" s="53">
        <f t="shared" si="0"/>
        <v>0</v>
      </c>
      <c r="L58" s="58">
        <f>SUM(J31:J59)</f>
        <v>167</v>
      </c>
    </row>
    <row r="59" spans="1:12" s="59" customFormat="1" ht="20.100000000000001" customHeight="1" x14ac:dyDescent="0.3">
      <c r="A59" s="44"/>
      <c r="B59" s="45"/>
      <c r="C59" s="46"/>
      <c r="D59" s="47"/>
      <c r="E59" s="60"/>
      <c r="F59" s="61"/>
      <c r="G59" s="62"/>
      <c r="H59" s="51"/>
      <c r="I59" s="45"/>
      <c r="J59" s="63"/>
      <c r="K59" s="53">
        <f t="shared" si="0"/>
        <v>0</v>
      </c>
      <c r="L59" s="64">
        <f>SUM(K31:K59)</f>
        <v>1030.7162810000002</v>
      </c>
    </row>
    <row r="60" spans="1:12" s="59" customFormat="1" ht="20.100000000000001" customHeight="1" thickBot="1" x14ac:dyDescent="0.35">
      <c r="A60" s="114"/>
      <c r="B60" s="115"/>
      <c r="C60" s="115"/>
      <c r="D60" s="115"/>
      <c r="E60" s="115"/>
      <c r="F60" s="115"/>
      <c r="G60" s="115"/>
      <c r="H60" s="115"/>
      <c r="I60" s="115"/>
      <c r="J60" s="65">
        <f>SUM(J7:J59)</f>
        <v>306</v>
      </c>
      <c r="K60" s="66">
        <f>SUM(K7:K59)</f>
        <v>2018.7705089999997</v>
      </c>
      <c r="L60" s="67"/>
    </row>
    <row r="61" spans="1:12" s="59" customFormat="1" ht="20.100000000000001" customHeight="1" thickTop="1" thickBot="1" x14ac:dyDescent="0.35">
      <c r="A61" s="116" t="s">
        <v>52</v>
      </c>
      <c r="B61" s="117"/>
      <c r="C61" s="68"/>
      <c r="D61" s="118">
        <f>J60</f>
        <v>306</v>
      </c>
      <c r="E61" s="119"/>
      <c r="F61" s="119"/>
      <c r="G61" s="120"/>
      <c r="H61" s="121"/>
      <c r="I61" s="121"/>
      <c r="J61" s="122"/>
      <c r="K61" s="119"/>
      <c r="L61" s="123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71"/>
    </row>
    <row r="63" spans="1:12" s="59" customFormat="1" ht="20.100000000000001" customHeight="1" x14ac:dyDescent="0.3">
      <c r="A63" s="69"/>
      <c r="B63" s="5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69"/>
      <c r="B64" s="5"/>
      <c r="C64" s="5"/>
      <c r="D64" s="5"/>
      <c r="E64" s="5"/>
      <c r="F64" s="70"/>
      <c r="G64" s="5"/>
      <c r="H64" s="5"/>
      <c r="I64" s="5"/>
      <c r="J64" s="5"/>
      <c r="K64" s="5"/>
      <c r="L64" s="5"/>
    </row>
    <row r="65" spans="1:12" s="59" customFormat="1" ht="20.100000000000001" customHeight="1" x14ac:dyDescent="0.3">
      <c r="A65" s="69"/>
      <c r="B65" s="5"/>
      <c r="C65" s="5"/>
      <c r="D65" s="5"/>
      <c r="E65" s="5"/>
      <c r="F65" s="70"/>
      <c r="G65" s="5"/>
      <c r="H65" s="5"/>
      <c r="I65" s="5"/>
      <c r="J65" s="5"/>
      <c r="K65" s="5"/>
      <c r="L65" s="5"/>
    </row>
    <row r="66" spans="1:12" s="59" customFormat="1" ht="20.100000000000001" customHeight="1" x14ac:dyDescent="0.3">
      <c r="A66" s="113"/>
      <c r="B66" s="113"/>
      <c r="C66" s="5"/>
      <c r="D66" s="5"/>
      <c r="E66" s="5"/>
      <c r="F66" s="70"/>
      <c r="G66" s="5"/>
      <c r="H66" s="5"/>
      <c r="I66" s="5"/>
      <c r="J66" s="5"/>
      <c r="K66" s="5"/>
      <c r="L66" s="5"/>
    </row>
    <row r="67" spans="1:12" s="59" customFormat="1" ht="20.100000000000001" customHeight="1" x14ac:dyDescent="0.3">
      <c r="A67" s="113"/>
      <c r="B67" s="113"/>
      <c r="C67" s="5"/>
      <c r="D67" s="5"/>
      <c r="E67" s="72"/>
      <c r="F67" s="5"/>
      <c r="G67" s="5"/>
      <c r="H67" s="5"/>
      <c r="I67" s="5"/>
      <c r="J67" s="5"/>
      <c r="K67" s="5"/>
      <c r="L67" s="5"/>
    </row>
    <row r="68" spans="1:12" s="59" customFormat="1" ht="20.100000000000001" customHeight="1" x14ac:dyDescent="0.3">
      <c r="A68" s="113"/>
      <c r="B68" s="113"/>
      <c r="C68" s="5"/>
      <c r="D68" s="5"/>
      <c r="E68" s="5"/>
      <c r="F68" s="5"/>
      <c r="G68" s="73"/>
      <c r="H68" s="5"/>
      <c r="I68" s="74"/>
      <c r="J68" s="5"/>
      <c r="K68" s="5"/>
      <c r="L68" s="5"/>
    </row>
    <row r="69" spans="1:12" s="59" customFormat="1" ht="20.100000000000001" customHeight="1" x14ac:dyDescent="0.3">
      <c r="A69" s="113"/>
      <c r="B69" s="113"/>
      <c r="C69" s="5"/>
      <c r="D69" s="5"/>
      <c r="E69" s="5"/>
      <c r="F69" s="70"/>
      <c r="G69" s="5"/>
      <c r="H69" s="5"/>
      <c r="I69" s="5"/>
      <c r="J69" s="5"/>
      <c r="K69" s="5"/>
      <c r="L69" s="5"/>
    </row>
    <row r="70" spans="1:12" s="59" customFormat="1" ht="20.100000000000001" customHeight="1" x14ac:dyDescent="0.3">
      <c r="A70" s="69"/>
      <c r="B70" s="5"/>
      <c r="C70" s="5"/>
      <c r="D70" s="5"/>
      <c r="E70" s="5"/>
      <c r="F70" s="70"/>
      <c r="G70" s="5"/>
      <c r="H70" s="5"/>
      <c r="I70" s="5"/>
      <c r="J70" s="5"/>
      <c r="K70" s="5"/>
      <c r="L70" s="5"/>
    </row>
    <row r="71" spans="1:12" s="59" customFormat="1" ht="20.100000000000001" customHeight="1" x14ac:dyDescent="0.3">
      <c r="A71" s="113"/>
      <c r="B71" s="113"/>
      <c r="C71" s="5"/>
      <c r="D71" s="5"/>
      <c r="E71" s="5"/>
      <c r="F71" s="70"/>
      <c r="G71" s="5"/>
      <c r="H71" s="5"/>
      <c r="I71" s="5"/>
      <c r="J71" s="5"/>
      <c r="K71" s="5"/>
      <c r="L71" s="5"/>
    </row>
    <row r="72" spans="1:12" s="59" customFormat="1" ht="20.100000000000001" customHeight="1" x14ac:dyDescent="0.3">
      <c r="A72" s="113"/>
      <c r="B72" s="113"/>
      <c r="C72" s="5"/>
      <c r="D72" s="5"/>
      <c r="E72" s="5"/>
      <c r="F72" s="70"/>
      <c r="G72" s="5"/>
      <c r="H72" s="72"/>
      <c r="I72" s="72"/>
      <c r="J72" s="5"/>
      <c r="K72" s="5"/>
      <c r="L72" s="5"/>
    </row>
    <row r="73" spans="1:12" ht="20.100000000000001" customHeight="1" x14ac:dyDescent="0.3">
      <c r="A73" s="113"/>
      <c r="B73" s="113"/>
      <c r="H73" s="72"/>
      <c r="I73" s="72"/>
    </row>
    <row r="74" spans="1:12" ht="20.100000000000001" customHeight="1" x14ac:dyDescent="0.3">
      <c r="H74" s="72"/>
      <c r="I74" s="72"/>
    </row>
    <row r="75" spans="1:12" ht="20.100000000000001" customHeight="1" x14ac:dyDescent="0.3">
      <c r="H75" s="72"/>
      <c r="I75" s="72"/>
    </row>
    <row r="76" spans="1:12" ht="20.100000000000001" customHeight="1" x14ac:dyDescent="0.3">
      <c r="A76" s="113"/>
      <c r="B76" s="113"/>
      <c r="H76" s="72"/>
      <c r="I76" s="72"/>
    </row>
    <row r="77" spans="1:12" ht="20.100000000000001" customHeight="1" x14ac:dyDescent="0.3">
      <c r="A77" s="113"/>
      <c r="B77" s="113"/>
      <c r="H77" s="72"/>
      <c r="I77" s="72"/>
    </row>
    <row r="78" spans="1:12" ht="20.100000000000001" customHeight="1" x14ac:dyDescent="0.3">
      <c r="H78" s="72"/>
      <c r="I78" s="72"/>
    </row>
    <row r="79" spans="1:12" ht="20.100000000000001" customHeight="1" x14ac:dyDescent="0.3">
      <c r="H79" s="72"/>
      <c r="I79" s="72"/>
    </row>
    <row r="80" spans="1:12" ht="20.100000000000001" customHeight="1" x14ac:dyDescent="0.3">
      <c r="H80" s="72"/>
      <c r="I80" s="72"/>
    </row>
    <row r="81" spans="1:12" s="72" customFormat="1" ht="20.100000000000001" customHeight="1" x14ac:dyDescent="0.3">
      <c r="A81" s="69"/>
      <c r="B81" s="5"/>
      <c r="C81" s="5"/>
      <c r="D81" s="5"/>
      <c r="E81" s="5"/>
      <c r="F81" s="70"/>
      <c r="G81" s="5"/>
      <c r="J81" s="5"/>
      <c r="K81" s="5"/>
      <c r="L81" s="5"/>
    </row>
    <row r="82" spans="1:12" s="72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75" customFormat="1" ht="20.100000000000001" customHeight="1" x14ac:dyDescent="0.3">
      <c r="A83" s="69"/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75" customFormat="1" ht="20.100000000000001" customHeight="1" x14ac:dyDescent="0.3">
      <c r="A84" s="69"/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1:12" s="75" customFormat="1" ht="19.5" customHeight="1" x14ac:dyDescent="0.3">
      <c r="A85" s="69"/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1:12" s="72" customFormat="1" ht="20.100000000000001" customHeight="1" x14ac:dyDescent="0.3">
      <c r="A86" s="69"/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1:12" s="72" customFormat="1" ht="20.100000000000001" customHeight="1" x14ac:dyDescent="0.3">
      <c r="A87" s="69"/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1:12" ht="19.5" customHeight="1" x14ac:dyDescent="0.3"/>
    <row r="89" spans="1:12" ht="19.5" customHeight="1" x14ac:dyDescent="0.3"/>
    <row r="90" spans="1:12" ht="19.5" customHeight="1" x14ac:dyDescent="0.3"/>
    <row r="91" spans="1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1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1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1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s="69" customFormat="1" ht="19.5" customHeight="1" x14ac:dyDescent="0.3"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2:12" s="69" customFormat="1" ht="19.5" customHeight="1" x14ac:dyDescent="0.3">
      <c r="B100" s="5"/>
      <c r="C100" s="5"/>
      <c r="D100" s="5"/>
      <c r="E100" s="5"/>
      <c r="F100" s="70"/>
      <c r="G100" s="5"/>
      <c r="H100" s="5"/>
      <c r="I100" s="5"/>
      <c r="J100" s="5"/>
      <c r="K100" s="5"/>
      <c r="L100" s="5"/>
    </row>
    <row r="101" spans="2:12" s="69" customFormat="1" ht="19.5" customHeight="1" x14ac:dyDescent="0.3">
      <c r="B101" s="5"/>
      <c r="C101" s="5"/>
      <c r="D101" s="5"/>
      <c r="E101" s="5"/>
      <c r="F101" s="70"/>
      <c r="G101" s="5"/>
      <c r="H101" s="5"/>
      <c r="I101" s="5"/>
      <c r="J101" s="5"/>
      <c r="K101" s="5"/>
      <c r="L101" s="5"/>
    </row>
    <row r="102" spans="2:12" s="69" customFormat="1" ht="19.5" customHeight="1" x14ac:dyDescent="0.3">
      <c r="B102" s="5"/>
      <c r="C102" s="5"/>
      <c r="D102" s="5"/>
      <c r="E102" s="5"/>
      <c r="F102" s="70"/>
      <c r="G102" s="5"/>
      <c r="H102" s="5"/>
      <c r="I102" s="5"/>
      <c r="J102" s="5"/>
      <c r="K102" s="5"/>
      <c r="L102" s="5"/>
    </row>
    <row r="103" spans="2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2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2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2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2:12" ht="19.5" customHeight="1" x14ac:dyDescent="0.3"/>
    <row r="108" spans="2:12" ht="19.5" customHeight="1" x14ac:dyDescent="0.3"/>
    <row r="109" spans="2:12" ht="19.5" customHeight="1" x14ac:dyDescent="0.3"/>
    <row r="110" spans="2:12" ht="19.5" customHeight="1" x14ac:dyDescent="0.3"/>
    <row r="111" spans="2:12" ht="19.5" customHeight="1" x14ac:dyDescent="0.3"/>
    <row r="112" spans="2:12" ht="19.5" customHeight="1" x14ac:dyDescent="0.3"/>
    <row r="113" spans="2:12" ht="19.5" customHeight="1" x14ac:dyDescent="0.3"/>
    <row r="114" spans="2:12" ht="19.5" customHeight="1" x14ac:dyDescent="0.3"/>
    <row r="115" spans="2:12" ht="19.5" customHeight="1" x14ac:dyDescent="0.3"/>
    <row r="116" spans="2:12" ht="19.5" customHeight="1" x14ac:dyDescent="0.3"/>
    <row r="117" spans="2:12" ht="19.5" customHeight="1" x14ac:dyDescent="0.3"/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>
        <v>2</v>
      </c>
      <c r="C151" s="5"/>
      <c r="D151" s="5"/>
      <c r="E151" s="5"/>
      <c r="F151" s="70"/>
      <c r="G151" s="5"/>
      <c r="H151" s="5"/>
      <c r="I151" s="5"/>
      <c r="J151" s="5"/>
      <c r="K151" s="5"/>
      <c r="L151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66:B66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60:I60"/>
    <mergeCell ref="A61:B61"/>
    <mergeCell ref="D61:G61"/>
    <mergeCell ref="H61:J61"/>
    <mergeCell ref="K61:L61"/>
    <mergeCell ref="A76:B76"/>
    <mergeCell ref="A77:B77"/>
    <mergeCell ref="A67:B67"/>
    <mergeCell ref="A68:B68"/>
    <mergeCell ref="A69:B69"/>
    <mergeCell ref="A71:B71"/>
    <mergeCell ref="A72:B72"/>
    <mergeCell ref="A73:B73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pageSetUpPr fitToPage="1"/>
  </sheetPr>
  <dimension ref="A1:L143"/>
  <sheetViews>
    <sheetView view="pageBreakPreview" topLeftCell="E19" zoomScale="85" zoomScaleSheetLayoutView="85" workbookViewId="0">
      <selection activeCell="G29" sqref="G29:J41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46025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12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51" si="0">(H7/1000*I7/1000)*J7</f>
        <v>0</v>
      </c>
      <c r="L7" s="26">
        <f>SUM(J7:J28)</f>
        <v>146</v>
      </c>
    </row>
    <row r="8" spans="1:12" s="27" customFormat="1" ht="19.5" customHeight="1" x14ac:dyDescent="0.3">
      <c r="A8" s="28"/>
      <c r="B8" s="29"/>
      <c r="C8" s="30"/>
      <c r="D8" s="31"/>
      <c r="E8" s="32"/>
      <c r="F8" s="33"/>
      <c r="G8" s="34"/>
      <c r="H8" s="35"/>
      <c r="I8" s="36"/>
      <c r="J8" s="37"/>
      <c r="K8" s="38">
        <f t="shared" si="0"/>
        <v>0</v>
      </c>
      <c r="L8" s="39">
        <f>SUM(K7:K28)</f>
        <v>930.59866199999999</v>
      </c>
    </row>
    <row r="9" spans="1:12" s="27" customFormat="1" ht="19.5" customHeight="1" x14ac:dyDescent="0.3">
      <c r="A9" s="28" t="s">
        <v>63</v>
      </c>
      <c r="B9" s="29" t="s">
        <v>64</v>
      </c>
      <c r="C9" s="30">
        <v>22</v>
      </c>
      <c r="D9" s="31" t="s">
        <v>17</v>
      </c>
      <c r="E9" s="41">
        <v>26</v>
      </c>
      <c r="F9" s="42">
        <v>28.06</v>
      </c>
      <c r="G9" s="34" t="s">
        <v>18</v>
      </c>
      <c r="H9" s="35">
        <v>2590</v>
      </c>
      <c r="I9" s="36">
        <v>3048</v>
      </c>
      <c r="J9" s="37">
        <v>4</v>
      </c>
      <c r="K9" s="38">
        <f t="shared" si="0"/>
        <v>31.577279999999998</v>
      </c>
      <c r="L9" s="39"/>
    </row>
    <row r="10" spans="1:12" s="27" customFormat="1" ht="19.5" customHeight="1" x14ac:dyDescent="0.3">
      <c r="A10" s="28"/>
      <c r="B10" s="29"/>
      <c r="C10" s="30"/>
      <c r="D10" s="31"/>
      <c r="E10" s="41"/>
      <c r="F10" s="42"/>
      <c r="G10" s="34" t="s">
        <v>62</v>
      </c>
      <c r="H10" s="35">
        <v>1829</v>
      </c>
      <c r="I10" s="36">
        <v>3353</v>
      </c>
      <c r="J10" s="37">
        <v>5</v>
      </c>
      <c r="K10" s="38">
        <f t="shared" si="0"/>
        <v>30.663184999999999</v>
      </c>
      <c r="L10" s="39"/>
    </row>
    <row r="11" spans="1:12" s="27" customFormat="1" ht="19.5" customHeight="1" x14ac:dyDescent="0.3">
      <c r="A11" s="28"/>
      <c r="B11" s="29"/>
      <c r="C11" s="30"/>
      <c r="D11" s="31"/>
      <c r="E11" s="41"/>
      <c r="F11" s="42"/>
      <c r="G11" s="34"/>
      <c r="H11" s="35"/>
      <c r="I11" s="36"/>
      <c r="J11" s="37"/>
      <c r="K11" s="38">
        <f t="shared" si="0"/>
        <v>0</v>
      </c>
      <c r="L11" s="39"/>
    </row>
    <row r="12" spans="1:12" s="27" customFormat="1" ht="19.5" customHeight="1" x14ac:dyDescent="0.3">
      <c r="A12" s="28" t="s">
        <v>107</v>
      </c>
      <c r="B12" s="29" t="s">
        <v>16</v>
      </c>
      <c r="C12" s="30">
        <v>22</v>
      </c>
      <c r="D12" s="31" t="s">
        <v>60</v>
      </c>
      <c r="E12" s="41">
        <v>190</v>
      </c>
      <c r="F12" s="42">
        <v>150</v>
      </c>
      <c r="G12" s="43" t="s">
        <v>108</v>
      </c>
      <c r="H12" s="35">
        <v>1829</v>
      </c>
      <c r="I12" s="36">
        <v>3353</v>
      </c>
      <c r="J12" s="37">
        <v>25</v>
      </c>
      <c r="K12" s="38">
        <f t="shared" si="0"/>
        <v>153.31592499999999</v>
      </c>
      <c r="L12" s="39"/>
    </row>
    <row r="13" spans="1:12" s="27" customFormat="1" ht="19.5" customHeight="1" x14ac:dyDescent="0.3">
      <c r="A13" s="28"/>
      <c r="B13" s="29"/>
      <c r="C13" s="30"/>
      <c r="D13" s="31"/>
      <c r="E13" s="41"/>
      <c r="F13" s="42"/>
      <c r="G13" s="34" t="s">
        <v>19</v>
      </c>
      <c r="H13" s="35">
        <v>1829</v>
      </c>
      <c r="I13" s="36">
        <v>3353</v>
      </c>
      <c r="J13" s="37">
        <v>25</v>
      </c>
      <c r="K13" s="38">
        <f t="shared" si="0"/>
        <v>153.31592499999999</v>
      </c>
      <c r="L13" s="39"/>
    </row>
    <row r="14" spans="1:12" s="27" customFormat="1" ht="19.5" customHeight="1" x14ac:dyDescent="0.3">
      <c r="A14" s="28"/>
      <c r="B14" s="29"/>
      <c r="C14" s="30">
        <v>22</v>
      </c>
      <c r="D14" s="31" t="s">
        <v>17</v>
      </c>
      <c r="E14" s="41">
        <v>150</v>
      </c>
      <c r="F14" s="42">
        <v>118</v>
      </c>
      <c r="G14" s="34" t="s">
        <v>86</v>
      </c>
      <c r="H14" s="35">
        <v>2590</v>
      </c>
      <c r="I14" s="36">
        <v>3048</v>
      </c>
      <c r="J14" s="37">
        <v>16</v>
      </c>
      <c r="K14" s="38">
        <f t="shared" si="0"/>
        <v>126.30911999999999</v>
      </c>
      <c r="L14" s="39"/>
    </row>
    <row r="15" spans="1:12" s="27" customFormat="1" ht="19.5" customHeight="1" x14ac:dyDescent="0.3">
      <c r="A15" s="28"/>
      <c r="B15" s="29"/>
      <c r="C15" s="30"/>
      <c r="D15" s="31"/>
      <c r="E15" s="41"/>
      <c r="F15" s="42"/>
      <c r="G15" s="34" t="s">
        <v>19</v>
      </c>
      <c r="H15" s="35">
        <v>1829</v>
      </c>
      <c r="I15" s="36">
        <v>3353</v>
      </c>
      <c r="J15" s="37">
        <v>25</v>
      </c>
      <c r="K15" s="38">
        <f t="shared" si="0"/>
        <v>153.31592499999999</v>
      </c>
      <c r="L15" s="39"/>
    </row>
    <row r="16" spans="1:12" s="27" customFormat="1" ht="19.5" customHeight="1" x14ac:dyDescent="0.3">
      <c r="A16" s="28"/>
      <c r="B16" s="29"/>
      <c r="C16" s="30"/>
      <c r="D16" s="31"/>
      <c r="E16" s="41"/>
      <c r="F16" s="42"/>
      <c r="G16" s="34"/>
      <c r="H16" s="35"/>
      <c r="I16" s="36"/>
      <c r="J16" s="37"/>
      <c r="K16" s="38">
        <f t="shared" si="0"/>
        <v>0</v>
      </c>
      <c r="L16" s="39"/>
    </row>
    <row r="17" spans="1:12" s="27" customFormat="1" ht="19.5" customHeight="1" x14ac:dyDescent="0.3">
      <c r="A17" s="28" t="s">
        <v>116</v>
      </c>
      <c r="B17" s="29" t="s">
        <v>16</v>
      </c>
      <c r="C17" s="30">
        <v>22</v>
      </c>
      <c r="D17" s="31" t="s">
        <v>60</v>
      </c>
      <c r="E17" s="41">
        <v>171</v>
      </c>
      <c r="F17" s="42">
        <v>135</v>
      </c>
      <c r="G17" s="43" t="s">
        <v>108</v>
      </c>
      <c r="H17" s="35">
        <v>1829</v>
      </c>
      <c r="I17" s="36">
        <v>3353</v>
      </c>
      <c r="J17" s="37">
        <v>23</v>
      </c>
      <c r="K17" s="38">
        <f t="shared" si="0"/>
        <v>141.05065099999999</v>
      </c>
      <c r="L17" s="39"/>
    </row>
    <row r="18" spans="1:12" s="27" customFormat="1" ht="19.5" customHeight="1" x14ac:dyDescent="0.3">
      <c r="A18" s="28"/>
      <c r="B18" s="29"/>
      <c r="C18" s="30"/>
      <c r="D18" s="31"/>
      <c r="E18" s="41"/>
      <c r="F18" s="42"/>
      <c r="G18" s="34" t="s">
        <v>19</v>
      </c>
      <c r="H18" s="35">
        <v>1829</v>
      </c>
      <c r="I18" s="36">
        <v>3353</v>
      </c>
      <c r="J18" s="37">
        <v>23</v>
      </c>
      <c r="K18" s="38">
        <f t="shared" si="0"/>
        <v>141.05065099999999</v>
      </c>
      <c r="L18" s="39"/>
    </row>
    <row r="19" spans="1:12" s="27" customFormat="1" ht="19.5" customHeight="1" x14ac:dyDescent="0.3">
      <c r="A19" s="28"/>
      <c r="B19" s="29"/>
      <c r="C19" s="30"/>
      <c r="D19" s="31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28"/>
      <c r="B20" s="29"/>
      <c r="C20" s="30"/>
      <c r="D20" s="31"/>
      <c r="E20" s="41"/>
      <c r="F20" s="42"/>
      <c r="G20" s="43"/>
      <c r="H20" s="35"/>
      <c r="I20" s="36"/>
      <c r="J20" s="37"/>
      <c r="K20" s="38">
        <f t="shared" si="0"/>
        <v>0</v>
      </c>
      <c r="L20" s="39"/>
    </row>
    <row r="21" spans="1:12" s="27" customFormat="1" ht="19.5" customHeight="1" x14ac:dyDescent="0.3">
      <c r="A21" s="28"/>
      <c r="B21" s="29"/>
      <c r="C21" s="30"/>
      <c r="D21" s="31"/>
      <c r="E21" s="41"/>
      <c r="F21" s="42"/>
      <c r="G21" s="34"/>
      <c r="H21" s="35"/>
      <c r="I21" s="36"/>
      <c r="J21" s="37"/>
      <c r="K21" s="38">
        <f t="shared" si="0"/>
        <v>0</v>
      </c>
      <c r="L21" s="39"/>
    </row>
    <row r="22" spans="1:12" s="27" customFormat="1" ht="19.5" customHeight="1" x14ac:dyDescent="0.3">
      <c r="A22" s="28"/>
      <c r="B22" s="29"/>
      <c r="C22" s="30"/>
      <c r="D22" s="31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28"/>
      <c r="B23" s="29"/>
      <c r="C23" s="30"/>
      <c r="D23" s="31"/>
      <c r="E23" s="41"/>
      <c r="F23" s="42"/>
      <c r="G23" s="34"/>
      <c r="H23" s="35"/>
      <c r="I23" s="36"/>
      <c r="J23" s="37"/>
      <c r="K23" s="38">
        <f t="shared" si="0"/>
        <v>0</v>
      </c>
      <c r="L23" s="39"/>
    </row>
    <row r="24" spans="1:12" s="27" customFormat="1" ht="19.5" customHeight="1" x14ac:dyDescent="0.3">
      <c r="A24" s="28"/>
      <c r="B24" s="29"/>
      <c r="C24" s="30"/>
      <c r="D24" s="31"/>
      <c r="E24" s="41"/>
      <c r="F24" s="42"/>
      <c r="G24" s="34"/>
      <c r="H24" s="35"/>
      <c r="I24" s="36"/>
      <c r="J24" s="37"/>
      <c r="K24" s="38">
        <f t="shared" si="0"/>
        <v>0</v>
      </c>
      <c r="L24" s="39"/>
    </row>
    <row r="25" spans="1:12" s="27" customFormat="1" ht="19.5" customHeight="1" x14ac:dyDescent="0.3">
      <c r="A25" s="28"/>
      <c r="B25" s="29"/>
      <c r="C25" s="30"/>
      <c r="D25" s="31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28"/>
      <c r="B26" s="29"/>
      <c r="C26" s="30"/>
      <c r="D26" s="31"/>
      <c r="E26" s="41"/>
      <c r="F26" s="42"/>
      <c r="G26" s="34"/>
      <c r="H26" s="35"/>
      <c r="I26" s="36"/>
      <c r="J26" s="37"/>
      <c r="K26" s="38">
        <f t="shared" si="0"/>
        <v>0</v>
      </c>
      <c r="L26" s="39"/>
    </row>
    <row r="27" spans="1:12" s="27" customFormat="1" ht="19.5" customHeight="1" x14ac:dyDescent="0.3">
      <c r="A27" s="28"/>
      <c r="B27" s="29"/>
      <c r="C27" s="30"/>
      <c r="D27" s="31"/>
      <c r="E27" s="41"/>
      <c r="F27" s="42"/>
      <c r="G27" s="34"/>
      <c r="H27" s="35"/>
      <c r="I27" s="36"/>
      <c r="J27" s="37"/>
      <c r="K27" s="38">
        <f t="shared" si="0"/>
        <v>0</v>
      </c>
      <c r="L27" s="39"/>
    </row>
    <row r="28" spans="1:12" s="27" customFormat="1" ht="19.5" customHeight="1" x14ac:dyDescent="0.3">
      <c r="A28" s="28"/>
      <c r="B28" s="29"/>
      <c r="C28" s="30"/>
      <c r="D28" s="31"/>
      <c r="E28" s="41"/>
      <c r="F28" s="42"/>
      <c r="G28" s="43"/>
      <c r="H28" s="35"/>
      <c r="I28" s="36"/>
      <c r="J28" s="37"/>
      <c r="K28" s="38">
        <f t="shared" si="0"/>
        <v>0</v>
      </c>
      <c r="L28" s="39"/>
    </row>
    <row r="29" spans="1:12" s="55" customFormat="1" ht="19.5" customHeight="1" x14ac:dyDescent="0.3">
      <c r="A29" s="44" t="s">
        <v>103</v>
      </c>
      <c r="B29" s="45" t="s">
        <v>102</v>
      </c>
      <c r="C29" s="46">
        <v>24</v>
      </c>
      <c r="D29" s="47" t="s">
        <v>98</v>
      </c>
      <c r="E29" s="48">
        <v>19</v>
      </c>
      <c r="F29" s="49">
        <v>32.24</v>
      </c>
      <c r="G29" s="50" t="s">
        <v>105</v>
      </c>
      <c r="H29" s="51">
        <v>1981</v>
      </c>
      <c r="I29" s="45">
        <v>3353</v>
      </c>
      <c r="J29" s="52">
        <v>6</v>
      </c>
      <c r="K29" s="53">
        <f t="shared" si="0"/>
        <v>39.853757999999999</v>
      </c>
      <c r="L29" s="54" t="s">
        <v>106</v>
      </c>
    </row>
    <row r="30" spans="1:12" s="55" customFormat="1" ht="19.5" customHeight="1" x14ac:dyDescent="0.3">
      <c r="A30" s="44" t="s">
        <v>104</v>
      </c>
      <c r="B30" s="45" t="s">
        <v>102</v>
      </c>
      <c r="C30" s="46">
        <v>24</v>
      </c>
      <c r="D30" s="47" t="s">
        <v>98</v>
      </c>
      <c r="E30" s="48">
        <v>36</v>
      </c>
      <c r="F30" s="49">
        <v>40.56</v>
      </c>
      <c r="G30" s="50" t="s">
        <v>105</v>
      </c>
      <c r="H30" s="51">
        <v>1981</v>
      </c>
      <c r="I30" s="45">
        <v>3353</v>
      </c>
      <c r="J30" s="52">
        <v>5</v>
      </c>
      <c r="K30" s="53">
        <f t="shared" si="0"/>
        <v>33.211465000000004</v>
      </c>
      <c r="L30" s="54"/>
    </row>
    <row r="31" spans="1:12" s="55" customFormat="1" ht="19.5" customHeight="1" x14ac:dyDescent="0.3">
      <c r="A31" s="44"/>
      <c r="B31" s="45"/>
      <c r="C31" s="46"/>
      <c r="D31" s="47"/>
      <c r="E31" s="48"/>
      <c r="F31" s="49"/>
      <c r="G31" s="50" t="s">
        <v>105</v>
      </c>
      <c r="H31" s="51">
        <v>1981</v>
      </c>
      <c r="I31" s="45">
        <v>3048</v>
      </c>
      <c r="J31" s="52">
        <v>2</v>
      </c>
      <c r="K31" s="53">
        <f t="shared" si="0"/>
        <v>12.076176000000002</v>
      </c>
      <c r="L31" s="54"/>
    </row>
    <row r="32" spans="1:12" s="55" customFormat="1" ht="19.5" customHeight="1" x14ac:dyDescent="0.3">
      <c r="A32" s="44"/>
      <c r="B32" s="45"/>
      <c r="C32" s="46"/>
      <c r="D32" s="47"/>
      <c r="E32" s="48"/>
      <c r="F32" s="49"/>
      <c r="G32" s="50"/>
      <c r="H32" s="51"/>
      <c r="I32" s="45"/>
      <c r="J32" s="52"/>
      <c r="K32" s="53">
        <f t="shared" si="0"/>
        <v>0</v>
      </c>
      <c r="L32" s="54"/>
    </row>
    <row r="33" spans="1:12" s="55" customFormat="1" ht="19.5" customHeight="1" x14ac:dyDescent="0.3">
      <c r="A33" s="44" t="s">
        <v>109</v>
      </c>
      <c r="B33" s="45" t="s">
        <v>110</v>
      </c>
      <c r="C33" s="46">
        <v>24</v>
      </c>
      <c r="D33" s="47" t="s">
        <v>111</v>
      </c>
      <c r="E33" s="48">
        <v>72</v>
      </c>
      <c r="F33" s="49">
        <v>120.48</v>
      </c>
      <c r="G33" s="50" t="s">
        <v>112</v>
      </c>
      <c r="H33" s="51">
        <v>1981</v>
      </c>
      <c r="I33" s="45">
        <v>3048</v>
      </c>
      <c r="J33" s="52">
        <v>8</v>
      </c>
      <c r="K33" s="53">
        <f t="shared" si="0"/>
        <v>48.304704000000008</v>
      </c>
      <c r="L33" s="54" t="s">
        <v>106</v>
      </c>
    </row>
    <row r="34" spans="1:12" s="55" customFormat="1" ht="19.5" customHeight="1" x14ac:dyDescent="0.3">
      <c r="A34" s="44"/>
      <c r="B34" s="45"/>
      <c r="C34" s="46"/>
      <c r="D34" s="47"/>
      <c r="E34" s="48"/>
      <c r="F34" s="49"/>
      <c r="G34" s="50" t="s">
        <v>112</v>
      </c>
      <c r="H34" s="51">
        <v>1981</v>
      </c>
      <c r="I34" s="45">
        <v>3353</v>
      </c>
      <c r="J34" s="52">
        <v>12</v>
      </c>
      <c r="K34" s="53">
        <f t="shared" si="0"/>
        <v>79.707515999999998</v>
      </c>
      <c r="L34" s="54"/>
    </row>
    <row r="35" spans="1:12" s="55" customFormat="1" ht="19.5" customHeight="1" x14ac:dyDescent="0.3">
      <c r="A35" s="44"/>
      <c r="B35" s="45"/>
      <c r="C35" s="46"/>
      <c r="D35" s="47"/>
      <c r="E35" s="48"/>
      <c r="F35" s="49"/>
      <c r="G35" s="50"/>
      <c r="H35" s="51"/>
      <c r="I35" s="45"/>
      <c r="J35" s="52"/>
      <c r="K35" s="53">
        <f t="shared" si="0"/>
        <v>0</v>
      </c>
      <c r="L35" s="54"/>
    </row>
    <row r="36" spans="1:12" s="55" customFormat="1" ht="19.5" customHeight="1" x14ac:dyDescent="0.3">
      <c r="A36" s="44" t="s">
        <v>113</v>
      </c>
      <c r="B36" s="45" t="s">
        <v>110</v>
      </c>
      <c r="C36" s="46">
        <v>24</v>
      </c>
      <c r="D36" s="47" t="s">
        <v>111</v>
      </c>
      <c r="E36" s="48">
        <v>130</v>
      </c>
      <c r="F36" s="49">
        <v>235.3</v>
      </c>
      <c r="G36" s="50" t="s">
        <v>112</v>
      </c>
      <c r="H36" s="51">
        <v>1981</v>
      </c>
      <c r="I36" s="45">
        <v>3048</v>
      </c>
      <c r="J36" s="52">
        <v>43</v>
      </c>
      <c r="K36" s="53">
        <f t="shared" si="0"/>
        <v>259.63778400000007</v>
      </c>
      <c r="L36" s="54" t="s">
        <v>106</v>
      </c>
    </row>
    <row r="37" spans="1:12" s="55" customFormat="1" ht="19.5" customHeight="1" x14ac:dyDescent="0.3">
      <c r="A37" s="44"/>
      <c r="B37" s="45"/>
      <c r="C37" s="46"/>
      <c r="D37" s="47"/>
      <c r="E37" s="48"/>
      <c r="F37" s="49"/>
      <c r="G37" s="50"/>
      <c r="H37" s="51"/>
      <c r="I37" s="45"/>
      <c r="J37" s="52"/>
      <c r="K37" s="53">
        <f t="shared" si="0"/>
        <v>0</v>
      </c>
      <c r="L37" s="54"/>
    </row>
    <row r="38" spans="1:12" s="55" customFormat="1" ht="19.5" customHeight="1" x14ac:dyDescent="0.3">
      <c r="A38" s="44" t="s">
        <v>115</v>
      </c>
      <c r="B38" s="45" t="s">
        <v>110</v>
      </c>
      <c r="C38" s="46">
        <v>24</v>
      </c>
      <c r="D38" s="47" t="s">
        <v>111</v>
      </c>
      <c r="E38" s="48">
        <v>138</v>
      </c>
      <c r="F38" s="49">
        <v>238.34</v>
      </c>
      <c r="G38" s="50" t="s">
        <v>112</v>
      </c>
      <c r="H38" s="51">
        <v>1981</v>
      </c>
      <c r="I38" s="45">
        <v>3048</v>
      </c>
      <c r="J38" s="52">
        <v>30</v>
      </c>
      <c r="K38" s="53">
        <f t="shared" si="0"/>
        <v>181.14264000000003</v>
      </c>
      <c r="L38" s="54" t="s">
        <v>106</v>
      </c>
    </row>
    <row r="39" spans="1:12" s="55" customFormat="1" ht="19.5" customHeight="1" x14ac:dyDescent="0.3">
      <c r="A39" s="44"/>
      <c r="B39" s="45"/>
      <c r="C39" s="46"/>
      <c r="D39" s="47"/>
      <c r="E39" s="48"/>
      <c r="F39" s="49"/>
      <c r="G39" s="50" t="s">
        <v>112</v>
      </c>
      <c r="H39" s="51">
        <v>1981</v>
      </c>
      <c r="I39" s="45">
        <v>3353</v>
      </c>
      <c r="J39" s="52">
        <v>12</v>
      </c>
      <c r="K39" s="53">
        <f t="shared" si="0"/>
        <v>79.707515999999998</v>
      </c>
      <c r="L39" s="54"/>
    </row>
    <row r="40" spans="1:12" s="55" customFormat="1" ht="19.5" customHeight="1" x14ac:dyDescent="0.3">
      <c r="A40" s="44"/>
      <c r="B40" s="45"/>
      <c r="C40" s="46"/>
      <c r="D40" s="47"/>
      <c r="E40" s="48"/>
      <c r="F40" s="49"/>
      <c r="G40" s="50"/>
      <c r="H40" s="51"/>
      <c r="I40" s="45"/>
      <c r="J40" s="52"/>
      <c r="K40" s="53"/>
      <c r="L40" s="54"/>
    </row>
    <row r="41" spans="1:12" s="55" customFormat="1" ht="19.5" customHeight="1" x14ac:dyDescent="0.3">
      <c r="A41" s="44" t="s">
        <v>117</v>
      </c>
      <c r="B41" s="45" t="s">
        <v>110</v>
      </c>
      <c r="C41" s="46">
        <v>24</v>
      </c>
      <c r="D41" s="47" t="s">
        <v>111</v>
      </c>
      <c r="E41" s="48">
        <v>100</v>
      </c>
      <c r="F41" s="49">
        <v>183</v>
      </c>
      <c r="G41" s="50" t="s">
        <v>112</v>
      </c>
      <c r="H41" s="51">
        <v>1981</v>
      </c>
      <c r="I41" s="45">
        <v>3048</v>
      </c>
      <c r="J41" s="52">
        <v>30</v>
      </c>
      <c r="K41" s="53">
        <f t="shared" si="0"/>
        <v>181.14264000000003</v>
      </c>
      <c r="L41" s="54" t="s">
        <v>118</v>
      </c>
    </row>
    <row r="42" spans="1:12" s="55" customFormat="1" ht="19.5" customHeight="1" x14ac:dyDescent="0.3">
      <c r="A42" s="44"/>
      <c r="B42" s="45"/>
      <c r="C42" s="46"/>
      <c r="D42" s="47"/>
      <c r="E42" s="48"/>
      <c r="F42" s="49"/>
      <c r="G42" s="50"/>
      <c r="H42" s="51"/>
      <c r="I42" s="45"/>
      <c r="J42" s="52"/>
      <c r="K42" s="53">
        <f t="shared" si="0"/>
        <v>0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/>
      <c r="H43" s="51"/>
      <c r="I43" s="45"/>
      <c r="J43" s="52"/>
      <c r="K43" s="53">
        <f t="shared" si="0"/>
        <v>0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/>
      <c r="B45" s="45"/>
      <c r="C45" s="46"/>
      <c r="D45" s="47"/>
      <c r="E45" s="48"/>
      <c r="F45" s="49"/>
      <c r="G45" s="50"/>
      <c r="H45" s="51"/>
      <c r="I45" s="45"/>
      <c r="J45" s="52"/>
      <c r="K45" s="53">
        <f t="shared" si="0"/>
        <v>0</v>
      </c>
      <c r="L45" s="54" t="s">
        <v>114</v>
      </c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>
        <f t="shared" si="0"/>
        <v>0</v>
      </c>
      <c r="L46" s="54"/>
    </row>
    <row r="47" spans="1:12" s="55" customFormat="1" ht="19.5" customHeight="1" x14ac:dyDescent="0.3">
      <c r="A47" s="44"/>
      <c r="B47" s="45"/>
      <c r="C47" s="46"/>
      <c r="D47" s="47"/>
      <c r="E47" s="48"/>
      <c r="F47" s="49"/>
      <c r="G47" s="50"/>
      <c r="H47" s="51"/>
      <c r="I47" s="45"/>
      <c r="J47" s="52"/>
      <c r="K47" s="53">
        <f t="shared" si="0"/>
        <v>0</v>
      </c>
      <c r="L47" s="54"/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/>
      <c r="B49" s="45"/>
      <c r="C49" s="46"/>
      <c r="D49" s="47"/>
      <c r="E49" s="48"/>
      <c r="F49" s="49"/>
      <c r="G49" s="50"/>
      <c r="H49" s="51"/>
      <c r="I49" s="45"/>
      <c r="J49" s="52"/>
      <c r="K49" s="53">
        <f t="shared" si="0"/>
        <v>0</v>
      </c>
      <c r="L49" s="54"/>
    </row>
    <row r="50" spans="1:12" s="59" customFormat="1" ht="20.100000000000001" customHeight="1" x14ac:dyDescent="0.3">
      <c r="A50" s="44"/>
      <c r="B50" s="45"/>
      <c r="C50" s="46"/>
      <c r="D50" s="47"/>
      <c r="E50" s="56"/>
      <c r="F50" s="57"/>
      <c r="G50" s="50"/>
      <c r="H50" s="51"/>
      <c r="I50" s="45"/>
      <c r="J50" s="52"/>
      <c r="K50" s="53">
        <f t="shared" si="0"/>
        <v>0</v>
      </c>
      <c r="L50" s="58">
        <f>SUM(J29:J51)</f>
        <v>148</v>
      </c>
    </row>
    <row r="51" spans="1:12" s="59" customFormat="1" ht="20.100000000000001" customHeight="1" x14ac:dyDescent="0.3">
      <c r="A51" s="44"/>
      <c r="B51" s="45"/>
      <c r="C51" s="46"/>
      <c r="D51" s="47"/>
      <c r="E51" s="60"/>
      <c r="F51" s="61"/>
      <c r="G51" s="62"/>
      <c r="H51" s="51"/>
      <c r="I51" s="45"/>
      <c r="J51" s="63"/>
      <c r="K51" s="53">
        <f t="shared" si="0"/>
        <v>0</v>
      </c>
      <c r="L51" s="64">
        <f>SUM(K29:K51)</f>
        <v>914.78419900000017</v>
      </c>
    </row>
    <row r="52" spans="1:12" s="59" customFormat="1" ht="20.100000000000001" customHeight="1" thickBot="1" x14ac:dyDescent="0.35">
      <c r="A52" s="114"/>
      <c r="B52" s="115"/>
      <c r="C52" s="115"/>
      <c r="D52" s="115"/>
      <c r="E52" s="115"/>
      <c r="F52" s="115"/>
      <c r="G52" s="115"/>
      <c r="H52" s="115"/>
      <c r="I52" s="115"/>
      <c r="J52" s="65">
        <f>SUM(J7:J51)</f>
        <v>294</v>
      </c>
      <c r="K52" s="66">
        <f>SUM(K7:K51)</f>
        <v>1845.3828609999998</v>
      </c>
      <c r="L52" s="67"/>
    </row>
    <row r="53" spans="1:12" s="59" customFormat="1" ht="20.100000000000001" customHeight="1" thickTop="1" thickBot="1" x14ac:dyDescent="0.35">
      <c r="A53" s="116" t="s">
        <v>52</v>
      </c>
      <c r="B53" s="117"/>
      <c r="C53" s="68"/>
      <c r="D53" s="118">
        <f>J52</f>
        <v>294</v>
      </c>
      <c r="E53" s="119"/>
      <c r="F53" s="119"/>
      <c r="G53" s="120"/>
      <c r="H53" s="121"/>
      <c r="I53" s="121"/>
      <c r="J53" s="122"/>
      <c r="K53" s="119"/>
      <c r="L53" s="123"/>
    </row>
    <row r="54" spans="1:12" s="59" customFormat="1" ht="20.100000000000001" customHeight="1" x14ac:dyDescent="0.3">
      <c r="A54" s="69"/>
      <c r="B54" s="5"/>
      <c r="C54" s="5"/>
      <c r="D54" s="5"/>
      <c r="E54" s="5"/>
      <c r="F54" s="70"/>
      <c r="G54" s="5"/>
      <c r="H54" s="5"/>
      <c r="I54" s="5"/>
      <c r="J54" s="5"/>
      <c r="K54" s="5"/>
      <c r="L54" s="71"/>
    </row>
    <row r="55" spans="1:12" s="59" customFormat="1" ht="20.100000000000001" customHeight="1" x14ac:dyDescent="0.3">
      <c r="A55" s="69"/>
      <c r="B55" s="5"/>
      <c r="C55" s="5"/>
      <c r="D55" s="5"/>
      <c r="E55" s="5"/>
      <c r="F55" s="70"/>
      <c r="G55" s="5"/>
      <c r="H55" s="5"/>
      <c r="I55" s="5"/>
      <c r="J55" s="5"/>
      <c r="K55" s="5"/>
      <c r="L55" s="5"/>
    </row>
    <row r="56" spans="1:12" s="59" customFormat="1" ht="20.100000000000001" customHeight="1" x14ac:dyDescent="0.3">
      <c r="A56" s="69"/>
      <c r="B56" s="5"/>
      <c r="C56" s="5"/>
      <c r="D56" s="5"/>
      <c r="E56" s="5"/>
      <c r="F56" s="70"/>
      <c r="G56" s="5"/>
      <c r="H56" s="5"/>
      <c r="I56" s="5"/>
      <c r="J56" s="5"/>
      <c r="K56" s="5"/>
      <c r="L56" s="5"/>
    </row>
    <row r="57" spans="1:12" s="59" customFormat="1" ht="20.100000000000001" customHeight="1" x14ac:dyDescent="0.3">
      <c r="A57" s="69"/>
      <c r="B57" s="5"/>
      <c r="C57" s="5"/>
      <c r="D57" s="5"/>
      <c r="E57" s="5"/>
      <c r="F57" s="70"/>
      <c r="G57" s="5"/>
      <c r="H57" s="5"/>
      <c r="I57" s="5"/>
      <c r="J57" s="5"/>
      <c r="K57" s="5"/>
      <c r="L57" s="5"/>
    </row>
    <row r="58" spans="1:12" s="59" customFormat="1" ht="20.100000000000001" customHeight="1" x14ac:dyDescent="0.3">
      <c r="A58" s="113"/>
      <c r="B58" s="113"/>
      <c r="C58" s="5"/>
      <c r="D58" s="5"/>
      <c r="E58" s="5"/>
      <c r="F58" s="70"/>
      <c r="G58" s="5"/>
      <c r="H58" s="5"/>
      <c r="I58" s="5"/>
      <c r="J58" s="5"/>
      <c r="K58" s="5"/>
      <c r="L58" s="5"/>
    </row>
    <row r="59" spans="1:12" s="59" customFormat="1" ht="20.100000000000001" customHeight="1" x14ac:dyDescent="0.3">
      <c r="A59" s="113"/>
      <c r="B59" s="113"/>
      <c r="C59" s="5"/>
      <c r="D59" s="5"/>
      <c r="E59" s="72"/>
      <c r="F59" s="5"/>
      <c r="G59" s="5"/>
      <c r="H59" s="5"/>
      <c r="I59" s="5"/>
      <c r="J59" s="5"/>
      <c r="K59" s="5"/>
      <c r="L59" s="5"/>
    </row>
    <row r="60" spans="1:12" s="59" customFormat="1" ht="20.100000000000001" customHeight="1" x14ac:dyDescent="0.3">
      <c r="A60" s="113"/>
      <c r="B60" s="113"/>
      <c r="C60" s="5"/>
      <c r="D60" s="5"/>
      <c r="E60" s="5"/>
      <c r="F60" s="5"/>
      <c r="G60" s="73"/>
      <c r="H60" s="5"/>
      <c r="I60" s="74"/>
      <c r="J60" s="5"/>
      <c r="K60" s="5"/>
      <c r="L60" s="5"/>
    </row>
    <row r="61" spans="1:12" s="59" customFormat="1" ht="20.100000000000001" customHeight="1" x14ac:dyDescent="0.3">
      <c r="A61" s="113"/>
      <c r="B61" s="113"/>
      <c r="C61" s="5"/>
      <c r="D61" s="5"/>
      <c r="E61" s="5"/>
      <c r="F61" s="70"/>
      <c r="G61" s="5"/>
      <c r="H61" s="5"/>
      <c r="I61" s="5"/>
      <c r="J61" s="5"/>
      <c r="K61" s="5"/>
      <c r="L61" s="5"/>
    </row>
    <row r="62" spans="1:12" s="59" customFormat="1" ht="20.100000000000001" customHeight="1" x14ac:dyDescent="0.3">
      <c r="A62" s="69"/>
      <c r="B62" s="5"/>
      <c r="C62" s="5"/>
      <c r="D62" s="5"/>
      <c r="E62" s="5"/>
      <c r="F62" s="70"/>
      <c r="G62" s="5"/>
      <c r="H62" s="5"/>
      <c r="I62" s="5"/>
      <c r="J62" s="5"/>
      <c r="K62" s="5"/>
      <c r="L62" s="5"/>
    </row>
    <row r="63" spans="1:12" s="59" customFormat="1" ht="20.100000000000001" customHeight="1" x14ac:dyDescent="0.3">
      <c r="A63" s="113"/>
      <c r="B63" s="113"/>
      <c r="C63" s="5"/>
      <c r="D63" s="5"/>
      <c r="E63" s="5"/>
      <c r="F63" s="70"/>
      <c r="G63" s="5"/>
      <c r="H63" s="5"/>
      <c r="I63" s="5"/>
      <c r="J63" s="5"/>
      <c r="K63" s="5"/>
      <c r="L63" s="5"/>
    </row>
    <row r="64" spans="1:12" s="59" customFormat="1" ht="20.100000000000001" customHeight="1" x14ac:dyDescent="0.3">
      <c r="A64" s="113"/>
      <c r="B64" s="113"/>
      <c r="C64" s="5"/>
      <c r="D64" s="5"/>
      <c r="E64" s="5"/>
      <c r="F64" s="70"/>
      <c r="G64" s="5"/>
      <c r="H64" s="72"/>
      <c r="I64" s="72"/>
      <c r="J64" s="5"/>
      <c r="K64" s="5"/>
      <c r="L64" s="5"/>
    </row>
    <row r="65" spans="1:12" ht="20.100000000000001" customHeight="1" x14ac:dyDescent="0.3">
      <c r="A65" s="113"/>
      <c r="B65" s="113"/>
      <c r="H65" s="72"/>
      <c r="I65" s="72"/>
    </row>
    <row r="66" spans="1:12" ht="20.100000000000001" customHeight="1" x14ac:dyDescent="0.3">
      <c r="H66" s="72"/>
      <c r="I66" s="72"/>
    </row>
    <row r="67" spans="1:12" ht="20.100000000000001" customHeight="1" x14ac:dyDescent="0.3">
      <c r="H67" s="72"/>
      <c r="I67" s="72"/>
    </row>
    <row r="68" spans="1:12" ht="20.100000000000001" customHeight="1" x14ac:dyDescent="0.3">
      <c r="A68" s="113"/>
      <c r="B68" s="113"/>
      <c r="H68" s="72"/>
      <c r="I68" s="72"/>
    </row>
    <row r="69" spans="1:12" ht="20.100000000000001" customHeight="1" x14ac:dyDescent="0.3">
      <c r="A69" s="113"/>
      <c r="B69" s="113"/>
      <c r="H69" s="72"/>
      <c r="I69" s="72"/>
    </row>
    <row r="70" spans="1:12" ht="20.100000000000001" customHeight="1" x14ac:dyDescent="0.3">
      <c r="H70" s="72"/>
      <c r="I70" s="72"/>
    </row>
    <row r="71" spans="1:12" ht="20.100000000000001" customHeight="1" x14ac:dyDescent="0.3">
      <c r="H71" s="72"/>
      <c r="I71" s="72"/>
    </row>
    <row r="72" spans="1:12" ht="20.100000000000001" customHeight="1" x14ac:dyDescent="0.3">
      <c r="H72" s="72"/>
      <c r="I72" s="72"/>
    </row>
    <row r="73" spans="1:12" s="72" customFormat="1" ht="20.100000000000001" customHeight="1" x14ac:dyDescent="0.3">
      <c r="A73" s="69"/>
      <c r="B73" s="5"/>
      <c r="C73" s="5"/>
      <c r="D73" s="5"/>
      <c r="E73" s="5"/>
      <c r="F73" s="70"/>
      <c r="G73" s="5"/>
      <c r="J73" s="5"/>
      <c r="K73" s="5"/>
      <c r="L73" s="5"/>
    </row>
    <row r="74" spans="1:12" s="72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5"/>
    </row>
    <row r="75" spans="1:12" s="75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75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75" customFormat="1" ht="19.5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72" customFormat="1" ht="20.100000000000001" customHeight="1" x14ac:dyDescent="0.3">
      <c r="A78" s="69"/>
      <c r="B78" s="5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72" customFormat="1" ht="20.100000000000001" customHeight="1" x14ac:dyDescent="0.3">
      <c r="A79" s="69"/>
      <c r="B79" s="5"/>
      <c r="C79" s="5"/>
      <c r="D79" s="5"/>
      <c r="E79" s="5"/>
      <c r="F79" s="70"/>
      <c r="G79" s="5"/>
      <c r="H79" s="5"/>
      <c r="I79" s="5"/>
      <c r="J79" s="5"/>
      <c r="K79" s="5"/>
      <c r="L79" s="5"/>
    </row>
    <row r="80" spans="1:12" ht="19.5" customHeight="1" x14ac:dyDescent="0.3"/>
    <row r="81" spans="2:12" ht="19.5" customHeight="1" x14ac:dyDescent="0.3"/>
    <row r="82" spans="2:12" ht="19.5" customHeight="1" x14ac:dyDescent="0.3"/>
    <row r="83" spans="2:12" s="69" customFormat="1" ht="19.5" customHeight="1" x14ac:dyDescent="0.3">
      <c r="B83" s="5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2:12" s="69" customFormat="1" ht="19.5" customHeight="1" x14ac:dyDescent="0.3">
      <c r="B84" s="5"/>
      <c r="C84" s="5"/>
      <c r="D84" s="5"/>
      <c r="E84" s="5"/>
      <c r="F84" s="70"/>
      <c r="G84" s="5"/>
      <c r="H84" s="5"/>
      <c r="I84" s="5"/>
      <c r="J84" s="5"/>
      <c r="K84" s="5"/>
      <c r="L84" s="5"/>
    </row>
    <row r="85" spans="2:12" s="69" customFormat="1" ht="19.5" customHeight="1" x14ac:dyDescent="0.3">
      <c r="B85" s="5"/>
      <c r="C85" s="5"/>
      <c r="D85" s="5"/>
      <c r="E85" s="5"/>
      <c r="F85" s="70"/>
      <c r="G85" s="5"/>
      <c r="H85" s="5"/>
      <c r="I85" s="5"/>
      <c r="J85" s="5"/>
      <c r="K85" s="5"/>
      <c r="L85" s="5"/>
    </row>
    <row r="86" spans="2:12" s="69" customFormat="1" ht="19.5" customHeight="1" x14ac:dyDescent="0.3">
      <c r="B86" s="5"/>
      <c r="C86" s="5"/>
      <c r="D86" s="5"/>
      <c r="E86" s="5"/>
      <c r="F86" s="70"/>
      <c r="G86" s="5"/>
      <c r="H86" s="5"/>
      <c r="I86" s="5"/>
      <c r="J86" s="5"/>
      <c r="K86" s="5"/>
      <c r="L86" s="5"/>
    </row>
    <row r="87" spans="2:12" s="69" customFormat="1" ht="19.5" customHeight="1" x14ac:dyDescent="0.3">
      <c r="B87" s="5"/>
      <c r="C87" s="5"/>
      <c r="D87" s="5"/>
      <c r="E87" s="5"/>
      <c r="F87" s="70"/>
      <c r="G87" s="5"/>
      <c r="H87" s="5"/>
      <c r="I87" s="5"/>
      <c r="J87" s="5"/>
      <c r="K87" s="5"/>
      <c r="L87" s="5"/>
    </row>
    <row r="88" spans="2:12" s="69" customFormat="1" ht="19.5" customHeight="1" x14ac:dyDescent="0.3">
      <c r="B88" s="5"/>
      <c r="C88" s="5"/>
      <c r="D88" s="5"/>
      <c r="E88" s="5"/>
      <c r="F88" s="70"/>
      <c r="G88" s="5"/>
      <c r="H88" s="5"/>
      <c r="I88" s="5"/>
      <c r="J88" s="5"/>
      <c r="K88" s="5"/>
      <c r="L88" s="5"/>
    </row>
    <row r="89" spans="2:12" s="69" customFormat="1" ht="19.5" customHeight="1" x14ac:dyDescent="0.3">
      <c r="B89" s="5"/>
      <c r="C89" s="5"/>
      <c r="D89" s="5"/>
      <c r="E89" s="5"/>
      <c r="F89" s="70"/>
      <c r="G89" s="5"/>
      <c r="H89" s="5"/>
      <c r="I89" s="5"/>
      <c r="J89" s="5"/>
      <c r="K89" s="5"/>
      <c r="L89" s="5"/>
    </row>
    <row r="90" spans="2:12" s="69" customFormat="1" ht="19.5" customHeight="1" x14ac:dyDescent="0.3">
      <c r="B90" s="5"/>
      <c r="C90" s="5"/>
      <c r="D90" s="5"/>
      <c r="E90" s="5"/>
      <c r="F90" s="70"/>
      <c r="G90" s="5"/>
      <c r="H90" s="5"/>
      <c r="I90" s="5"/>
      <c r="J90" s="5"/>
      <c r="K90" s="5"/>
      <c r="L90" s="5"/>
    </row>
    <row r="91" spans="2:12" s="69" customFormat="1" ht="19.5" customHeight="1" x14ac:dyDescent="0.3">
      <c r="B91" s="5"/>
      <c r="C91" s="5"/>
      <c r="D91" s="5"/>
      <c r="E91" s="5"/>
      <c r="F91" s="70"/>
      <c r="G91" s="5"/>
      <c r="H91" s="5"/>
      <c r="I91" s="5"/>
      <c r="J91" s="5"/>
      <c r="K91" s="5"/>
      <c r="L91" s="5"/>
    </row>
    <row r="92" spans="2:12" s="69" customFormat="1" ht="19.5" customHeight="1" x14ac:dyDescent="0.3">
      <c r="B92" s="5"/>
      <c r="C92" s="5"/>
      <c r="D92" s="5"/>
      <c r="E92" s="5"/>
      <c r="F92" s="70"/>
      <c r="G92" s="5"/>
      <c r="H92" s="5"/>
      <c r="I92" s="5"/>
      <c r="J92" s="5"/>
      <c r="K92" s="5"/>
      <c r="L92" s="5"/>
    </row>
    <row r="93" spans="2:12" s="69" customFormat="1" ht="19.5" customHeight="1" x14ac:dyDescent="0.3">
      <c r="B93" s="5"/>
      <c r="C93" s="5"/>
      <c r="D93" s="5"/>
      <c r="E93" s="5"/>
      <c r="F93" s="70"/>
      <c r="G93" s="5"/>
      <c r="H93" s="5"/>
      <c r="I93" s="5"/>
      <c r="J93" s="5"/>
      <c r="K93" s="5"/>
      <c r="L93" s="5"/>
    </row>
    <row r="94" spans="2:12" s="69" customFormat="1" ht="19.5" customHeight="1" x14ac:dyDescent="0.3"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2:12" s="69" customFormat="1" ht="19.5" customHeight="1" x14ac:dyDescent="0.3"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2:12" s="69" customFormat="1" ht="19.5" customHeight="1" x14ac:dyDescent="0.3"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2:12" s="69" customFormat="1" ht="19.5" customHeight="1" x14ac:dyDescent="0.3"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2:12" s="69" customFormat="1" ht="19.5" customHeight="1" x14ac:dyDescent="0.3"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2:12" ht="19.5" customHeight="1" x14ac:dyDescent="0.3"/>
    <row r="100" spans="2:12" ht="19.5" customHeight="1" x14ac:dyDescent="0.3"/>
    <row r="101" spans="2:12" ht="19.5" customHeight="1" x14ac:dyDescent="0.3"/>
    <row r="102" spans="2:12" ht="19.5" customHeight="1" x14ac:dyDescent="0.3"/>
    <row r="103" spans="2:12" ht="19.5" customHeight="1" x14ac:dyDescent="0.3"/>
    <row r="104" spans="2:12" ht="19.5" customHeight="1" x14ac:dyDescent="0.3"/>
    <row r="105" spans="2:12" ht="19.5" customHeight="1" x14ac:dyDescent="0.3"/>
    <row r="106" spans="2:12" ht="19.5" customHeight="1" x14ac:dyDescent="0.3"/>
    <row r="107" spans="2:12" ht="19.5" customHeight="1" x14ac:dyDescent="0.3"/>
    <row r="108" spans="2:12" ht="19.5" customHeight="1" x14ac:dyDescent="0.3"/>
    <row r="109" spans="2:12" ht="19.5" customHeight="1" x14ac:dyDescent="0.3"/>
    <row r="110" spans="2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2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2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s="69" customFormat="1" ht="19.5" customHeight="1" x14ac:dyDescent="0.3">
      <c r="B119" s="5"/>
      <c r="C119" s="5"/>
      <c r="D119" s="5"/>
      <c r="E119" s="5"/>
      <c r="F119" s="70"/>
      <c r="G119" s="5"/>
      <c r="H119" s="5"/>
      <c r="I119" s="5"/>
      <c r="J119" s="5"/>
      <c r="K119" s="5"/>
      <c r="L119" s="5"/>
    </row>
    <row r="120" spans="2:12" s="69" customFormat="1" ht="19.5" customHeight="1" x14ac:dyDescent="0.3">
      <c r="B120" s="5"/>
      <c r="C120" s="5"/>
      <c r="D120" s="5"/>
      <c r="E120" s="5"/>
      <c r="F120" s="70"/>
      <c r="G120" s="5"/>
      <c r="H120" s="5"/>
      <c r="I120" s="5"/>
      <c r="J120" s="5"/>
      <c r="K120" s="5"/>
      <c r="L120" s="5"/>
    </row>
    <row r="121" spans="2:12" s="69" customFormat="1" ht="19.5" customHeight="1" x14ac:dyDescent="0.3">
      <c r="B121" s="5"/>
      <c r="C121" s="5"/>
      <c r="D121" s="5"/>
      <c r="E121" s="5"/>
      <c r="F121" s="70"/>
      <c r="G121" s="5"/>
      <c r="H121" s="5"/>
      <c r="I121" s="5"/>
      <c r="J121" s="5"/>
      <c r="K121" s="5"/>
      <c r="L121" s="5"/>
    </row>
    <row r="122" spans="2:12" s="69" customFormat="1" ht="19.5" customHeight="1" x14ac:dyDescent="0.3">
      <c r="B122" s="5"/>
      <c r="C122" s="5"/>
      <c r="D122" s="5"/>
      <c r="E122" s="5"/>
      <c r="F122" s="70"/>
      <c r="G122" s="5"/>
      <c r="H122" s="5"/>
      <c r="I122" s="5"/>
      <c r="J122" s="5"/>
      <c r="K122" s="5"/>
      <c r="L122" s="5"/>
    </row>
    <row r="123" spans="2:12" s="69" customFormat="1" ht="19.5" customHeight="1" x14ac:dyDescent="0.3">
      <c r="B123" s="5"/>
      <c r="C123" s="5"/>
      <c r="D123" s="5"/>
      <c r="E123" s="5"/>
      <c r="F123" s="70"/>
      <c r="G123" s="5"/>
      <c r="H123" s="5"/>
      <c r="I123" s="5"/>
      <c r="J123" s="5"/>
      <c r="K123" s="5"/>
      <c r="L123" s="5"/>
    </row>
    <row r="124" spans="2:12" s="69" customFormat="1" ht="19.5" customHeight="1" x14ac:dyDescent="0.3">
      <c r="B124" s="5"/>
      <c r="C124" s="5"/>
      <c r="D124" s="5"/>
      <c r="E124" s="5"/>
      <c r="F124" s="70"/>
      <c r="G124" s="5"/>
      <c r="H124" s="5"/>
      <c r="I124" s="5"/>
      <c r="J124" s="5"/>
      <c r="K124" s="5"/>
      <c r="L124" s="5"/>
    </row>
    <row r="125" spans="2:12" s="69" customFormat="1" ht="19.5" customHeight="1" x14ac:dyDescent="0.3">
      <c r="B125" s="5"/>
      <c r="C125" s="5"/>
      <c r="D125" s="5"/>
      <c r="E125" s="5"/>
      <c r="F125" s="70"/>
      <c r="G125" s="5"/>
      <c r="H125" s="5"/>
      <c r="I125" s="5"/>
      <c r="J125" s="5"/>
      <c r="K125" s="5"/>
      <c r="L125" s="5"/>
    </row>
    <row r="126" spans="2:12" s="69" customFormat="1" ht="19.5" customHeight="1" x14ac:dyDescent="0.3">
      <c r="B126" s="5"/>
      <c r="C126" s="5"/>
      <c r="D126" s="5"/>
      <c r="E126" s="5"/>
      <c r="F126" s="70"/>
      <c r="G126" s="5"/>
      <c r="H126" s="5"/>
      <c r="I126" s="5"/>
      <c r="J126" s="5"/>
      <c r="K126" s="5"/>
      <c r="L126" s="5"/>
    </row>
    <row r="127" spans="2:12" s="69" customFormat="1" ht="19.5" customHeight="1" x14ac:dyDescent="0.3">
      <c r="B127" s="5"/>
      <c r="C127" s="5"/>
      <c r="D127" s="5"/>
      <c r="E127" s="5"/>
      <c r="F127" s="70"/>
      <c r="G127" s="5"/>
      <c r="H127" s="5"/>
      <c r="I127" s="5"/>
      <c r="J127" s="5"/>
      <c r="K127" s="5"/>
      <c r="L127" s="5"/>
    </row>
    <row r="128" spans="2:12" s="69" customFormat="1" ht="19.5" customHeight="1" x14ac:dyDescent="0.3">
      <c r="B128" s="5"/>
      <c r="C128" s="5"/>
      <c r="D128" s="5"/>
      <c r="E128" s="5"/>
      <c r="F128" s="70"/>
      <c r="G128" s="5"/>
      <c r="H128" s="5"/>
      <c r="I128" s="5"/>
      <c r="J128" s="5"/>
      <c r="K128" s="5"/>
      <c r="L128" s="5"/>
    </row>
    <row r="129" spans="2:12" s="69" customFormat="1" ht="19.5" customHeight="1" x14ac:dyDescent="0.3">
      <c r="B129" s="5"/>
      <c r="C129" s="5"/>
      <c r="D129" s="5"/>
      <c r="E129" s="5"/>
      <c r="F129" s="70"/>
      <c r="G129" s="5"/>
      <c r="H129" s="5"/>
      <c r="I129" s="5"/>
      <c r="J129" s="5"/>
      <c r="K129" s="5"/>
      <c r="L129" s="5"/>
    </row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>
        <v>2</v>
      </c>
      <c r="C143" s="5"/>
      <c r="D143" s="5"/>
      <c r="E143" s="5"/>
      <c r="F143" s="70"/>
      <c r="G143" s="5"/>
      <c r="H143" s="5"/>
      <c r="I143" s="5"/>
      <c r="J143" s="5"/>
      <c r="K143" s="5"/>
      <c r="L143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58:B5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52:I52"/>
    <mergeCell ref="A53:B53"/>
    <mergeCell ref="D53:G53"/>
    <mergeCell ref="H53:J53"/>
    <mergeCell ref="K53:L53"/>
    <mergeCell ref="A68:B68"/>
    <mergeCell ref="A69:B69"/>
    <mergeCell ref="A59:B59"/>
    <mergeCell ref="A60:B60"/>
    <mergeCell ref="A61:B61"/>
    <mergeCell ref="A63:B63"/>
    <mergeCell ref="A64:B64"/>
    <mergeCell ref="A65:B65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pageSetUpPr fitToPage="1"/>
  </sheetPr>
  <dimension ref="A1:L163"/>
  <sheetViews>
    <sheetView view="pageBreakPreview" topLeftCell="A23" zoomScale="85" zoomScaleSheetLayoutView="85" workbookViewId="0">
      <selection activeCell="B54" sqref="B54"/>
    </sheetView>
  </sheetViews>
  <sheetFormatPr defaultRowHeight="13.5" x14ac:dyDescent="0.3"/>
  <cols>
    <col min="1" max="1" width="8.625" style="69" customWidth="1"/>
    <col min="2" max="2" width="23.375" style="5" customWidth="1"/>
    <col min="3" max="3" width="7.625" style="5" customWidth="1"/>
    <col min="4" max="4" width="45.375" style="5" bestFit="1" customWidth="1"/>
    <col min="5" max="5" width="9.5" style="5" customWidth="1"/>
    <col min="6" max="6" width="11.5" style="70" customWidth="1"/>
    <col min="7" max="7" width="23.375" style="5" customWidth="1"/>
    <col min="8" max="9" width="8.5" style="5" customWidth="1"/>
    <col min="10" max="10" width="9.5" style="5" customWidth="1"/>
    <col min="11" max="11" width="11.5" style="5" customWidth="1"/>
    <col min="12" max="12" width="58.25" style="5" customWidth="1"/>
    <col min="13" max="16384" width="9" style="5"/>
  </cols>
  <sheetData>
    <row r="1" spans="1:12" ht="15.75" customHeigh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"/>
      <c r="J1" s="2"/>
      <c r="K1" s="3"/>
      <c r="L1" s="4"/>
    </row>
    <row r="2" spans="1:12" ht="23.25" customHeight="1" x14ac:dyDescent="0.3">
      <c r="A2" s="142"/>
      <c r="B2" s="143"/>
      <c r="C2" s="143"/>
      <c r="D2" s="143"/>
      <c r="E2" s="143"/>
      <c r="F2" s="143"/>
      <c r="G2" s="143"/>
      <c r="H2" s="143"/>
      <c r="I2" s="6"/>
      <c r="J2" s="7"/>
      <c r="K2" s="8"/>
      <c r="L2" s="9"/>
    </row>
    <row r="3" spans="1:12" ht="20.100000000000001" customHeight="1" thickBot="1" x14ac:dyDescent="0.35">
      <c r="A3" s="144" t="s">
        <v>1</v>
      </c>
      <c r="B3" s="145"/>
      <c r="C3" s="146">
        <v>46024</v>
      </c>
      <c r="D3" s="146"/>
      <c r="E3" s="146"/>
      <c r="F3" s="146"/>
      <c r="G3" s="146"/>
      <c r="H3" s="146"/>
      <c r="I3" s="10"/>
      <c r="J3" s="7"/>
      <c r="K3" s="7"/>
      <c r="L3" s="11"/>
    </row>
    <row r="4" spans="1:12" s="12" customFormat="1" ht="20.100000000000001" customHeight="1" x14ac:dyDescent="0.3">
      <c r="A4" s="147" t="s">
        <v>2</v>
      </c>
      <c r="B4" s="150" t="s">
        <v>3</v>
      </c>
      <c r="C4" s="150"/>
      <c r="D4" s="151"/>
      <c r="E4" s="151"/>
      <c r="F4" s="152"/>
      <c r="G4" s="153" t="s">
        <v>4</v>
      </c>
      <c r="H4" s="154"/>
      <c r="I4" s="154"/>
      <c r="J4" s="154"/>
      <c r="K4" s="154"/>
      <c r="L4" s="124" t="s">
        <v>5</v>
      </c>
    </row>
    <row r="5" spans="1:12" s="12" customFormat="1" ht="20.100000000000001" customHeight="1" x14ac:dyDescent="0.3">
      <c r="A5" s="148"/>
      <c r="B5" s="136"/>
      <c r="C5" s="127" t="s">
        <v>6</v>
      </c>
      <c r="D5" s="127" t="s">
        <v>7</v>
      </c>
      <c r="E5" s="129" t="s">
        <v>8</v>
      </c>
      <c r="F5" s="131" t="s">
        <v>9</v>
      </c>
      <c r="G5" s="133" t="s">
        <v>10</v>
      </c>
      <c r="H5" s="135" t="s">
        <v>11</v>
      </c>
      <c r="I5" s="135"/>
      <c r="J5" s="136" t="s">
        <v>12</v>
      </c>
      <c r="K5" s="138" t="s">
        <v>9</v>
      </c>
      <c r="L5" s="125"/>
    </row>
    <row r="6" spans="1:12" s="12" customFormat="1" ht="20.100000000000001" customHeight="1" thickBot="1" x14ac:dyDescent="0.35">
      <c r="A6" s="149"/>
      <c r="B6" s="137"/>
      <c r="C6" s="128"/>
      <c r="D6" s="128"/>
      <c r="E6" s="130"/>
      <c r="F6" s="132"/>
      <c r="G6" s="134"/>
      <c r="H6" s="13" t="s">
        <v>13</v>
      </c>
      <c r="I6" s="14" t="s">
        <v>14</v>
      </c>
      <c r="J6" s="137"/>
      <c r="K6" s="139"/>
      <c r="L6" s="126"/>
    </row>
    <row r="7" spans="1:12" s="27" customFormat="1" ht="19.5" customHeight="1" x14ac:dyDescent="0.3">
      <c r="A7" s="15"/>
      <c r="B7" s="16"/>
      <c r="C7" s="17"/>
      <c r="D7" s="18"/>
      <c r="E7" s="19"/>
      <c r="F7" s="20"/>
      <c r="G7" s="21"/>
      <c r="H7" s="22"/>
      <c r="I7" s="23"/>
      <c r="J7" s="24"/>
      <c r="K7" s="25">
        <f t="shared" ref="K7:K71" si="0">(H7/1000*I7/1000)*J7</f>
        <v>0</v>
      </c>
      <c r="L7" s="26">
        <f>SUM(J7:J40)</f>
        <v>155</v>
      </c>
    </row>
    <row r="8" spans="1:12" s="27" customFormat="1" ht="19.5" customHeight="1" x14ac:dyDescent="0.3">
      <c r="A8" s="28"/>
      <c r="B8" s="29"/>
      <c r="C8" s="30"/>
      <c r="D8" s="31"/>
      <c r="E8" s="32"/>
      <c r="F8" s="33"/>
      <c r="G8" s="34"/>
      <c r="H8" s="35"/>
      <c r="I8" s="36"/>
      <c r="J8" s="37"/>
      <c r="K8" s="38">
        <f t="shared" si="0"/>
        <v>0</v>
      </c>
      <c r="L8" s="39">
        <f>SUM(K7:K40)</f>
        <v>1071.99224</v>
      </c>
    </row>
    <row r="9" spans="1:12" s="27" customFormat="1" ht="19.5" customHeight="1" x14ac:dyDescent="0.3">
      <c r="A9" s="40" t="s">
        <v>15</v>
      </c>
      <c r="B9" s="29" t="s">
        <v>16</v>
      </c>
      <c r="C9" s="30">
        <v>22</v>
      </c>
      <c r="D9" s="31" t="s">
        <v>17</v>
      </c>
      <c r="E9" s="41">
        <v>300</v>
      </c>
      <c r="F9" s="42">
        <v>244.5</v>
      </c>
      <c r="G9" s="34" t="s">
        <v>18</v>
      </c>
      <c r="H9" s="35">
        <v>2590</v>
      </c>
      <c r="I9" s="36">
        <v>3048</v>
      </c>
      <c r="J9" s="37">
        <v>33</v>
      </c>
      <c r="K9" s="38">
        <f t="shared" si="0"/>
        <v>260.51256000000001</v>
      </c>
      <c r="L9" s="39"/>
    </row>
    <row r="10" spans="1:12" s="27" customFormat="1" ht="19.5" customHeight="1" x14ac:dyDescent="0.3">
      <c r="A10" s="40"/>
      <c r="B10" s="29"/>
      <c r="C10" s="30"/>
      <c r="D10" s="31"/>
      <c r="E10" s="41"/>
      <c r="F10" s="42"/>
      <c r="G10" s="34" t="s">
        <v>18</v>
      </c>
      <c r="H10" s="35">
        <v>1981</v>
      </c>
      <c r="I10" s="36">
        <v>3353</v>
      </c>
      <c r="J10" s="37">
        <v>1</v>
      </c>
      <c r="K10" s="38">
        <f t="shared" si="0"/>
        <v>6.6422930000000004</v>
      </c>
      <c r="L10" s="39"/>
    </row>
    <row r="11" spans="1:12" s="27" customFormat="1" ht="19.5" customHeight="1" x14ac:dyDescent="0.3">
      <c r="A11" s="40"/>
      <c r="B11" s="29"/>
      <c r="C11" s="30"/>
      <c r="D11" s="31"/>
      <c r="E11" s="41"/>
      <c r="F11" s="42"/>
      <c r="G11" s="34" t="s">
        <v>19</v>
      </c>
      <c r="H11" s="35">
        <v>1829</v>
      </c>
      <c r="I11" s="36">
        <v>3353</v>
      </c>
      <c r="J11" s="37">
        <v>41</v>
      </c>
      <c r="K11" s="38">
        <f t="shared" si="0"/>
        <v>251.43811700000001</v>
      </c>
      <c r="L11" s="39"/>
    </row>
    <row r="12" spans="1:12" s="27" customFormat="1" ht="19.5" customHeight="1" x14ac:dyDescent="0.3">
      <c r="A12" s="40"/>
      <c r="B12" s="29"/>
      <c r="C12" s="30"/>
      <c r="D12" s="31"/>
      <c r="E12" s="41"/>
      <c r="F12" s="42"/>
      <c r="G12" s="43"/>
      <c r="H12" s="35"/>
      <c r="I12" s="36"/>
      <c r="J12" s="37"/>
      <c r="K12" s="38">
        <f t="shared" si="0"/>
        <v>0</v>
      </c>
      <c r="L12" s="39"/>
    </row>
    <row r="13" spans="1:12" s="27" customFormat="1" ht="19.5" customHeight="1" x14ac:dyDescent="0.3">
      <c r="A13" s="40" t="s">
        <v>20</v>
      </c>
      <c r="B13" s="29" t="s">
        <v>21</v>
      </c>
      <c r="C13" s="30">
        <v>22</v>
      </c>
      <c r="D13" s="31" t="s">
        <v>17</v>
      </c>
      <c r="E13" s="41">
        <v>60</v>
      </c>
      <c r="F13" s="42">
        <v>17.399999999999999</v>
      </c>
      <c r="G13" s="34" t="s">
        <v>18</v>
      </c>
      <c r="H13" s="35">
        <v>1981</v>
      </c>
      <c r="I13" s="36">
        <v>3353</v>
      </c>
      <c r="J13" s="37">
        <v>3</v>
      </c>
      <c r="K13" s="38">
        <f t="shared" si="0"/>
        <v>19.926879</v>
      </c>
      <c r="L13" s="39"/>
    </row>
    <row r="14" spans="1:12" s="27" customFormat="1" ht="19.5" customHeight="1" x14ac:dyDescent="0.3">
      <c r="A14" s="40"/>
      <c r="B14" s="29"/>
      <c r="C14" s="30"/>
      <c r="D14" s="31"/>
      <c r="E14" s="41"/>
      <c r="F14" s="42"/>
      <c r="G14" s="34" t="s">
        <v>19</v>
      </c>
      <c r="H14" s="35">
        <v>1981</v>
      </c>
      <c r="I14" s="36">
        <v>3353</v>
      </c>
      <c r="J14" s="37">
        <v>3</v>
      </c>
      <c r="K14" s="38">
        <f t="shared" si="0"/>
        <v>19.926879</v>
      </c>
      <c r="L14" s="39"/>
    </row>
    <row r="15" spans="1:12" s="27" customFormat="1" ht="19.5" customHeight="1" x14ac:dyDescent="0.3">
      <c r="A15" s="40"/>
      <c r="B15" s="29"/>
      <c r="C15" s="30"/>
      <c r="D15" s="31"/>
      <c r="E15" s="41"/>
      <c r="F15" s="42"/>
      <c r="G15" s="34"/>
      <c r="H15" s="35"/>
      <c r="I15" s="36"/>
      <c r="J15" s="37"/>
      <c r="K15" s="38"/>
      <c r="L15" s="39"/>
    </row>
    <row r="16" spans="1:12" s="27" customFormat="1" ht="19.5" customHeight="1" x14ac:dyDescent="0.3">
      <c r="A16" s="40"/>
      <c r="B16" s="29"/>
      <c r="C16" s="30"/>
      <c r="D16" s="31"/>
      <c r="E16" s="41"/>
      <c r="F16" s="42"/>
      <c r="G16" s="34"/>
      <c r="H16" s="35"/>
      <c r="I16" s="36"/>
      <c r="J16" s="37"/>
      <c r="K16" s="38"/>
      <c r="L16" s="39"/>
    </row>
    <row r="17" spans="1:12" s="27" customFormat="1" ht="19.5" customHeight="1" x14ac:dyDescent="0.3">
      <c r="A17" s="40" t="s">
        <v>22</v>
      </c>
      <c r="B17" s="29" t="s">
        <v>16</v>
      </c>
      <c r="C17" s="30">
        <v>22</v>
      </c>
      <c r="D17" s="31" t="s">
        <v>23</v>
      </c>
      <c r="E17" s="41">
        <v>210</v>
      </c>
      <c r="F17" s="42">
        <v>175.28</v>
      </c>
      <c r="G17" s="34" t="s">
        <v>18</v>
      </c>
      <c r="H17" s="35">
        <v>2590</v>
      </c>
      <c r="I17" s="36">
        <v>3048</v>
      </c>
      <c r="J17" s="37">
        <v>24</v>
      </c>
      <c r="K17" s="38">
        <f t="shared" si="0"/>
        <v>189.46367999999998</v>
      </c>
      <c r="L17" s="39"/>
    </row>
    <row r="18" spans="1:12" s="27" customFormat="1" ht="19.5" customHeight="1" x14ac:dyDescent="0.3">
      <c r="A18" s="40"/>
      <c r="B18" s="29"/>
      <c r="C18" s="30"/>
      <c r="D18" s="31"/>
      <c r="E18" s="41"/>
      <c r="F18" s="42"/>
      <c r="G18" s="34" t="s">
        <v>19</v>
      </c>
      <c r="H18" s="35">
        <v>1829</v>
      </c>
      <c r="I18" s="36">
        <v>3353</v>
      </c>
      <c r="J18" s="37">
        <v>31</v>
      </c>
      <c r="K18" s="38">
        <f t="shared" si="0"/>
        <v>190.11174700000001</v>
      </c>
      <c r="L18" s="39"/>
    </row>
    <row r="19" spans="1:12" s="27" customFormat="1" ht="19.5" customHeight="1" x14ac:dyDescent="0.3">
      <c r="A19" s="40"/>
      <c r="B19" s="29" t="s">
        <v>57</v>
      </c>
      <c r="C19" s="30"/>
      <c r="D19" s="31"/>
      <c r="E19" s="41"/>
      <c r="F19" s="42"/>
      <c r="G19" s="34"/>
      <c r="H19" s="35"/>
      <c r="I19" s="36"/>
      <c r="J19" s="37"/>
      <c r="K19" s="38">
        <f t="shared" si="0"/>
        <v>0</v>
      </c>
      <c r="L19" s="39"/>
    </row>
    <row r="20" spans="1:12" s="27" customFormat="1" ht="19.5" customHeight="1" x14ac:dyDescent="0.3">
      <c r="A20" s="40" t="s">
        <v>53</v>
      </c>
      <c r="B20" s="29" t="s">
        <v>54</v>
      </c>
      <c r="C20" s="30">
        <v>24</v>
      </c>
      <c r="D20" s="31" t="s">
        <v>55</v>
      </c>
      <c r="E20" s="41">
        <v>36</v>
      </c>
      <c r="F20" s="42">
        <v>18.3</v>
      </c>
      <c r="G20" s="43" t="s">
        <v>56</v>
      </c>
      <c r="H20" s="35">
        <v>2438</v>
      </c>
      <c r="I20" s="36">
        <v>3353</v>
      </c>
      <c r="J20" s="37">
        <v>3</v>
      </c>
      <c r="K20" s="38">
        <f t="shared" si="0"/>
        <v>24.523842000000002</v>
      </c>
      <c r="L20" s="39"/>
    </row>
    <row r="21" spans="1:12" s="27" customFormat="1" ht="19.5" customHeight="1" x14ac:dyDescent="0.3">
      <c r="A21" s="40"/>
      <c r="B21" s="29"/>
      <c r="C21" s="30"/>
      <c r="D21" s="31"/>
      <c r="E21" s="41"/>
      <c r="F21" s="42"/>
      <c r="G21" s="34" t="s">
        <v>18</v>
      </c>
      <c r="H21" s="35">
        <v>2590</v>
      </c>
      <c r="I21" s="36">
        <v>3353</v>
      </c>
      <c r="J21" s="37">
        <v>2</v>
      </c>
      <c r="K21" s="38">
        <f t="shared" si="0"/>
        <v>17.368539999999996</v>
      </c>
      <c r="L21" s="39"/>
    </row>
    <row r="22" spans="1:12" s="27" customFormat="1" ht="19.5" customHeight="1" x14ac:dyDescent="0.3">
      <c r="A22" s="40"/>
      <c r="B22" s="29"/>
      <c r="C22" s="30"/>
      <c r="D22" s="31"/>
      <c r="E22" s="41"/>
      <c r="F22" s="42"/>
      <c r="G22" s="34"/>
      <c r="H22" s="35"/>
      <c r="I22" s="36"/>
      <c r="J22" s="37"/>
      <c r="K22" s="38">
        <f t="shared" si="0"/>
        <v>0</v>
      </c>
      <c r="L22" s="39"/>
    </row>
    <row r="23" spans="1:12" s="27" customFormat="1" ht="19.5" customHeight="1" x14ac:dyDescent="0.3">
      <c r="A23" s="40" t="s">
        <v>58</v>
      </c>
      <c r="B23" s="29" t="s">
        <v>59</v>
      </c>
      <c r="C23" s="30">
        <v>22</v>
      </c>
      <c r="D23" s="31" t="s">
        <v>60</v>
      </c>
      <c r="E23" s="41">
        <v>22</v>
      </c>
      <c r="F23" s="42">
        <v>13.57</v>
      </c>
      <c r="G23" s="34" t="s">
        <v>61</v>
      </c>
      <c r="H23" s="35">
        <v>1829</v>
      </c>
      <c r="I23" s="36">
        <v>3353</v>
      </c>
      <c r="J23" s="37">
        <v>2</v>
      </c>
      <c r="K23" s="38">
        <f t="shared" si="0"/>
        <v>12.265274</v>
      </c>
      <c r="L23" s="39"/>
    </row>
    <row r="24" spans="1:12" s="27" customFormat="1" ht="19.5" customHeight="1" x14ac:dyDescent="0.3">
      <c r="A24" s="40"/>
      <c r="B24" s="29"/>
      <c r="C24" s="30"/>
      <c r="D24" s="31"/>
      <c r="E24" s="41"/>
      <c r="F24" s="42"/>
      <c r="G24" s="34" t="s">
        <v>62</v>
      </c>
      <c r="H24" s="35">
        <v>1829</v>
      </c>
      <c r="I24" s="36">
        <v>3353</v>
      </c>
      <c r="J24" s="37">
        <v>2</v>
      </c>
      <c r="K24" s="38">
        <f t="shared" si="0"/>
        <v>12.265274</v>
      </c>
      <c r="L24" s="39"/>
    </row>
    <row r="25" spans="1:12" s="27" customFormat="1" ht="19.5" customHeight="1" x14ac:dyDescent="0.3">
      <c r="A25" s="40"/>
      <c r="B25" s="29"/>
      <c r="C25" s="30"/>
      <c r="D25" s="31"/>
      <c r="E25" s="41"/>
      <c r="F25" s="42"/>
      <c r="G25" s="34"/>
      <c r="H25" s="35"/>
      <c r="I25" s="36"/>
      <c r="J25" s="37"/>
      <c r="K25" s="38">
        <f t="shared" si="0"/>
        <v>0</v>
      </c>
      <c r="L25" s="39"/>
    </row>
    <row r="26" spans="1:12" s="27" customFormat="1" ht="19.5" customHeight="1" x14ac:dyDescent="0.3">
      <c r="A26" s="40" t="s">
        <v>65</v>
      </c>
      <c r="B26" s="29" t="s">
        <v>36</v>
      </c>
      <c r="C26" s="30">
        <v>22</v>
      </c>
      <c r="D26" s="31" t="s">
        <v>66</v>
      </c>
      <c r="E26" s="41">
        <v>1</v>
      </c>
      <c r="F26" s="42">
        <v>0.72</v>
      </c>
      <c r="G26" s="34" t="s">
        <v>18</v>
      </c>
      <c r="H26" s="35">
        <v>1981</v>
      </c>
      <c r="I26" s="36">
        <v>3353</v>
      </c>
      <c r="J26" s="37">
        <v>1</v>
      </c>
      <c r="K26" s="38">
        <f t="shared" si="0"/>
        <v>6.6422930000000004</v>
      </c>
      <c r="L26" s="39"/>
    </row>
    <row r="27" spans="1:12" s="27" customFormat="1" ht="19.5" customHeight="1" x14ac:dyDescent="0.3">
      <c r="A27" s="40" t="s">
        <v>67</v>
      </c>
      <c r="B27" s="29" t="s">
        <v>68</v>
      </c>
      <c r="C27" s="30">
        <v>22</v>
      </c>
      <c r="D27" s="31" t="s">
        <v>17</v>
      </c>
      <c r="E27" s="41">
        <v>3</v>
      </c>
      <c r="F27" s="42">
        <v>5.31</v>
      </c>
      <c r="G27" s="34" t="s">
        <v>70</v>
      </c>
      <c r="H27" s="35">
        <v>1829</v>
      </c>
      <c r="I27" s="36">
        <v>3353</v>
      </c>
      <c r="J27" s="37">
        <v>1</v>
      </c>
      <c r="K27" s="38">
        <f t="shared" si="0"/>
        <v>6.1326369999999999</v>
      </c>
      <c r="L27" s="39"/>
    </row>
    <row r="28" spans="1:12" s="27" customFormat="1" ht="19.5" customHeight="1" x14ac:dyDescent="0.3">
      <c r="A28" s="40"/>
      <c r="B28" s="29"/>
      <c r="C28" s="30">
        <v>22</v>
      </c>
      <c r="D28" s="31" t="s">
        <v>69</v>
      </c>
      <c r="E28" s="41">
        <v>1</v>
      </c>
      <c r="F28" s="42">
        <v>0.57999999999999996</v>
      </c>
      <c r="G28" s="34"/>
      <c r="H28" s="35"/>
      <c r="I28" s="36"/>
      <c r="J28" s="37"/>
      <c r="K28" s="38">
        <f t="shared" si="0"/>
        <v>0</v>
      </c>
      <c r="L28" s="39"/>
    </row>
    <row r="29" spans="1:12" s="27" customFormat="1" ht="19.5" customHeight="1" x14ac:dyDescent="0.3">
      <c r="A29" s="40"/>
      <c r="B29" s="29"/>
      <c r="C29" s="30"/>
      <c r="D29" s="31"/>
      <c r="E29" s="41"/>
      <c r="F29" s="42"/>
      <c r="G29" s="34"/>
      <c r="H29" s="35"/>
      <c r="I29" s="36"/>
      <c r="J29" s="37"/>
      <c r="K29" s="38">
        <f t="shared" si="0"/>
        <v>0</v>
      </c>
      <c r="L29" s="39"/>
    </row>
    <row r="30" spans="1:12" s="27" customFormat="1" ht="19.5" customHeight="1" x14ac:dyDescent="0.3">
      <c r="A30" s="40" t="s">
        <v>71</v>
      </c>
      <c r="B30" s="29" t="s">
        <v>72</v>
      </c>
      <c r="C30" s="30">
        <v>24</v>
      </c>
      <c r="D30" s="31" t="s">
        <v>73</v>
      </c>
      <c r="E30" s="41">
        <v>2</v>
      </c>
      <c r="F30" s="42">
        <v>2.6</v>
      </c>
      <c r="G30" s="34" t="s">
        <v>61</v>
      </c>
      <c r="H30" s="35">
        <v>1829</v>
      </c>
      <c r="I30" s="36">
        <v>3353</v>
      </c>
      <c r="J30" s="37">
        <v>1</v>
      </c>
      <c r="K30" s="38">
        <f t="shared" si="0"/>
        <v>6.1326369999999999</v>
      </c>
      <c r="L30" s="39"/>
    </row>
    <row r="31" spans="1:12" s="27" customFormat="1" ht="19.5" customHeight="1" x14ac:dyDescent="0.3">
      <c r="A31" s="40"/>
      <c r="B31" s="29"/>
      <c r="C31" s="30">
        <v>24</v>
      </c>
      <c r="D31" s="31" t="s">
        <v>74</v>
      </c>
      <c r="E31" s="41">
        <v>2</v>
      </c>
      <c r="F31" s="42">
        <v>2.6</v>
      </c>
      <c r="G31" s="34" t="s">
        <v>19</v>
      </c>
      <c r="H31" s="35">
        <v>1829</v>
      </c>
      <c r="I31" s="36">
        <v>3353</v>
      </c>
      <c r="J31" s="37">
        <v>1</v>
      </c>
      <c r="K31" s="38">
        <f t="shared" si="0"/>
        <v>6.1326369999999999</v>
      </c>
      <c r="L31" s="39"/>
    </row>
    <row r="32" spans="1:12" s="27" customFormat="1" ht="19.5" customHeight="1" x14ac:dyDescent="0.3">
      <c r="A32" s="40" t="s">
        <v>76</v>
      </c>
      <c r="B32" s="29" t="s">
        <v>77</v>
      </c>
      <c r="C32" s="30">
        <v>22</v>
      </c>
      <c r="D32" s="31" t="s">
        <v>17</v>
      </c>
      <c r="E32" s="41">
        <v>1</v>
      </c>
      <c r="F32" s="42">
        <v>1.41</v>
      </c>
      <c r="G32" s="34" t="s">
        <v>75</v>
      </c>
      <c r="H32" s="35">
        <v>2134</v>
      </c>
      <c r="I32" s="36">
        <v>3353</v>
      </c>
      <c r="J32" s="37">
        <v>1</v>
      </c>
      <c r="K32" s="38">
        <f t="shared" si="0"/>
        <v>7.1553019999999998</v>
      </c>
      <c r="L32" s="39"/>
    </row>
    <row r="33" spans="1:12" s="27" customFormat="1" ht="19.5" customHeight="1" x14ac:dyDescent="0.3">
      <c r="A33" s="40"/>
      <c r="B33" s="29"/>
      <c r="C33" s="30">
        <v>22</v>
      </c>
      <c r="D33" s="31" t="s">
        <v>78</v>
      </c>
      <c r="E33" s="41">
        <v>1</v>
      </c>
      <c r="F33" s="42">
        <v>3.22</v>
      </c>
      <c r="G33" s="34" t="s">
        <v>18</v>
      </c>
      <c r="H33" s="35">
        <v>1981</v>
      </c>
      <c r="I33" s="36">
        <v>3353</v>
      </c>
      <c r="J33" s="37">
        <v>1</v>
      </c>
      <c r="K33" s="38">
        <f t="shared" si="0"/>
        <v>6.6422930000000004</v>
      </c>
      <c r="L33" s="39"/>
    </row>
    <row r="34" spans="1:12" s="27" customFormat="1" ht="19.5" customHeight="1" x14ac:dyDescent="0.3">
      <c r="A34" s="40"/>
      <c r="B34" s="29"/>
      <c r="C34" s="30">
        <v>25.76</v>
      </c>
      <c r="D34" s="31" t="s">
        <v>79</v>
      </c>
      <c r="E34" s="41">
        <v>1</v>
      </c>
      <c r="F34" s="42">
        <v>1.48</v>
      </c>
      <c r="G34" s="34" t="s">
        <v>80</v>
      </c>
      <c r="H34" s="35">
        <v>2590</v>
      </c>
      <c r="I34" s="36">
        <v>3048</v>
      </c>
      <c r="J34" s="37">
        <v>1</v>
      </c>
      <c r="K34" s="38">
        <f t="shared" si="0"/>
        <v>7.8943199999999996</v>
      </c>
      <c r="L34" s="39"/>
    </row>
    <row r="35" spans="1:12" s="27" customFormat="1" ht="19.5" customHeight="1" x14ac:dyDescent="0.3">
      <c r="A35" s="40"/>
      <c r="B35" s="29"/>
      <c r="C35" s="30"/>
      <c r="D35" s="31"/>
      <c r="E35" s="41"/>
      <c r="F35" s="42"/>
      <c r="G35" s="34"/>
      <c r="H35" s="35"/>
      <c r="I35" s="36"/>
      <c r="J35" s="37"/>
      <c r="K35" s="38">
        <f t="shared" si="0"/>
        <v>0</v>
      </c>
      <c r="L35" s="39"/>
    </row>
    <row r="36" spans="1:12" s="27" customFormat="1" ht="19.5" customHeight="1" x14ac:dyDescent="0.3">
      <c r="A36" s="40" t="s">
        <v>81</v>
      </c>
      <c r="B36" s="29" t="s">
        <v>82</v>
      </c>
      <c r="C36" s="30">
        <v>24</v>
      </c>
      <c r="D36" s="31" t="s">
        <v>83</v>
      </c>
      <c r="E36" s="41">
        <v>1</v>
      </c>
      <c r="F36" s="42">
        <v>1.44</v>
      </c>
      <c r="G36" s="34" t="s">
        <v>86</v>
      </c>
      <c r="H36" s="35">
        <v>2134</v>
      </c>
      <c r="I36" s="36">
        <v>3048</v>
      </c>
      <c r="J36" s="37">
        <v>1</v>
      </c>
      <c r="K36" s="38">
        <f t="shared" si="0"/>
        <v>6.5044319999999995</v>
      </c>
      <c r="L36" s="39"/>
    </row>
    <row r="37" spans="1:12" s="27" customFormat="1" ht="19.5" customHeight="1" x14ac:dyDescent="0.3">
      <c r="A37" s="40"/>
      <c r="B37" s="29"/>
      <c r="C37" s="30">
        <v>24</v>
      </c>
      <c r="D37" s="31" t="s">
        <v>84</v>
      </c>
      <c r="E37" s="41">
        <v>2</v>
      </c>
      <c r="F37" s="42">
        <v>2.75</v>
      </c>
      <c r="G37" s="34" t="s">
        <v>62</v>
      </c>
      <c r="H37" s="35">
        <v>2134</v>
      </c>
      <c r="I37" s="36">
        <v>3353</v>
      </c>
      <c r="J37" s="37">
        <v>2</v>
      </c>
      <c r="K37" s="38">
        <f t="shared" si="0"/>
        <v>14.310604</v>
      </c>
      <c r="L37" s="39"/>
    </row>
    <row r="38" spans="1:12" s="27" customFormat="1" ht="19.5" customHeight="1" x14ac:dyDescent="0.3">
      <c r="A38" s="40"/>
      <c r="B38" s="29"/>
      <c r="C38" s="30">
        <v>25.76</v>
      </c>
      <c r="D38" s="31" t="s">
        <v>85</v>
      </c>
      <c r="E38" s="41">
        <v>2</v>
      </c>
      <c r="F38" s="42">
        <v>8.94</v>
      </c>
      <c r="G38" s="34"/>
      <c r="H38" s="35"/>
      <c r="I38" s="36"/>
      <c r="J38" s="37"/>
      <c r="K38" s="38">
        <f t="shared" si="0"/>
        <v>0</v>
      </c>
      <c r="L38" s="39"/>
    </row>
    <row r="39" spans="1:12" s="27" customFormat="1" ht="19.5" customHeight="1" x14ac:dyDescent="0.3">
      <c r="A39" s="40"/>
      <c r="B39" s="29"/>
      <c r="C39" s="30"/>
      <c r="D39" s="31"/>
      <c r="E39" s="41"/>
      <c r="F39" s="42"/>
      <c r="G39" s="34"/>
      <c r="H39" s="35"/>
      <c r="I39" s="36"/>
      <c r="J39" s="37"/>
      <c r="K39" s="38">
        <f t="shared" si="0"/>
        <v>0</v>
      </c>
      <c r="L39" s="39"/>
    </row>
    <row r="40" spans="1:12" s="27" customFormat="1" ht="19.5" customHeight="1" x14ac:dyDescent="0.3">
      <c r="A40" s="40"/>
      <c r="B40" s="29"/>
      <c r="C40" s="30"/>
      <c r="D40" s="31"/>
      <c r="E40" s="41"/>
      <c r="F40" s="42"/>
      <c r="G40" s="43"/>
      <c r="H40" s="35"/>
      <c r="I40" s="36"/>
      <c r="J40" s="37"/>
      <c r="K40" s="38">
        <f t="shared" si="0"/>
        <v>0</v>
      </c>
      <c r="L40" s="39"/>
    </row>
    <row r="41" spans="1:12" s="55" customFormat="1" ht="19.5" customHeight="1" x14ac:dyDescent="0.3">
      <c r="A41" s="44"/>
      <c r="B41" s="45"/>
      <c r="C41" s="46"/>
      <c r="D41" s="47"/>
      <c r="E41" s="48"/>
      <c r="F41" s="49"/>
      <c r="G41" s="50"/>
      <c r="H41" s="51"/>
      <c r="I41" s="45"/>
      <c r="J41" s="52"/>
      <c r="K41" s="53">
        <f t="shared" si="0"/>
        <v>0</v>
      </c>
      <c r="L41" s="54"/>
    </row>
    <row r="42" spans="1:12" s="55" customFormat="1" ht="19.5" customHeight="1" x14ac:dyDescent="0.3">
      <c r="A42" s="44" t="s">
        <v>24</v>
      </c>
      <c r="B42" s="45" t="s">
        <v>25</v>
      </c>
      <c r="C42" s="46">
        <v>24</v>
      </c>
      <c r="D42" s="47" t="s">
        <v>26</v>
      </c>
      <c r="E42" s="48">
        <v>60</v>
      </c>
      <c r="F42" s="49">
        <v>75.260000000000005</v>
      </c>
      <c r="G42" s="50" t="s">
        <v>27</v>
      </c>
      <c r="H42" s="51">
        <v>1981</v>
      </c>
      <c r="I42" s="45">
        <v>3353</v>
      </c>
      <c r="J42" s="52">
        <v>13</v>
      </c>
      <c r="K42" s="53">
        <f t="shared" si="0"/>
        <v>86.349809000000008</v>
      </c>
      <c r="L42" s="54"/>
    </row>
    <row r="43" spans="1:12" s="55" customFormat="1" ht="19.5" customHeight="1" x14ac:dyDescent="0.3">
      <c r="A43" s="44"/>
      <c r="B43" s="45"/>
      <c r="C43" s="46"/>
      <c r="D43" s="47"/>
      <c r="E43" s="48"/>
      <c r="F43" s="49"/>
      <c r="G43" s="50" t="s">
        <v>18</v>
      </c>
      <c r="H43" s="51">
        <v>1981</v>
      </c>
      <c r="I43" s="45">
        <v>3353</v>
      </c>
      <c r="J43" s="52">
        <v>13</v>
      </c>
      <c r="K43" s="53">
        <f t="shared" si="0"/>
        <v>86.349809000000008</v>
      </c>
      <c r="L43" s="54"/>
    </row>
    <row r="44" spans="1:12" s="55" customFormat="1" ht="19.5" customHeight="1" x14ac:dyDescent="0.3">
      <c r="A44" s="44"/>
      <c r="B44" s="45"/>
      <c r="C44" s="46"/>
      <c r="D44" s="47"/>
      <c r="E44" s="48"/>
      <c r="F44" s="49"/>
      <c r="G44" s="50"/>
      <c r="H44" s="51"/>
      <c r="I44" s="45"/>
      <c r="J44" s="52"/>
      <c r="K44" s="53">
        <f t="shared" si="0"/>
        <v>0</v>
      </c>
      <c r="L44" s="54"/>
    </row>
    <row r="45" spans="1:12" s="55" customFormat="1" ht="19.5" customHeight="1" x14ac:dyDescent="0.3">
      <c r="A45" s="44" t="s">
        <v>28</v>
      </c>
      <c r="B45" s="45" t="s">
        <v>29</v>
      </c>
      <c r="C45" s="46">
        <v>24</v>
      </c>
      <c r="D45" s="47" t="s">
        <v>30</v>
      </c>
      <c r="E45" s="48">
        <v>1</v>
      </c>
      <c r="F45" s="49">
        <v>0.81</v>
      </c>
      <c r="G45" s="50"/>
      <c r="H45" s="51"/>
      <c r="I45" s="45"/>
      <c r="J45" s="52"/>
      <c r="K45" s="53"/>
      <c r="L45" s="54" t="s">
        <v>31</v>
      </c>
    </row>
    <row r="46" spans="1:12" s="55" customFormat="1" ht="19.5" customHeight="1" x14ac:dyDescent="0.3">
      <c r="A46" s="44"/>
      <c r="B46" s="45"/>
      <c r="C46" s="46"/>
      <c r="D46" s="47"/>
      <c r="E46" s="48"/>
      <c r="F46" s="49"/>
      <c r="G46" s="50"/>
      <c r="H46" s="51"/>
      <c r="I46" s="45"/>
      <c r="J46" s="52"/>
      <c r="K46" s="53"/>
      <c r="L46" s="54"/>
    </row>
    <row r="47" spans="1:12" s="55" customFormat="1" ht="19.5" customHeight="1" x14ac:dyDescent="0.3">
      <c r="A47" s="44" t="s">
        <v>32</v>
      </c>
      <c r="B47" s="45" t="s">
        <v>33</v>
      </c>
      <c r="C47" s="46">
        <v>24</v>
      </c>
      <c r="D47" s="47" t="s">
        <v>34</v>
      </c>
      <c r="E47" s="48">
        <v>1</v>
      </c>
      <c r="F47" s="49">
        <v>0.4</v>
      </c>
      <c r="G47" s="50"/>
      <c r="H47" s="51"/>
      <c r="I47" s="45"/>
      <c r="J47" s="52"/>
      <c r="K47" s="53"/>
      <c r="L47" s="54" t="s">
        <v>31</v>
      </c>
    </row>
    <row r="48" spans="1:12" s="55" customFormat="1" ht="19.5" customHeight="1" x14ac:dyDescent="0.3">
      <c r="A48" s="44"/>
      <c r="B48" s="45"/>
      <c r="C48" s="46"/>
      <c r="D48" s="47"/>
      <c r="E48" s="48"/>
      <c r="F48" s="49"/>
      <c r="G48" s="50"/>
      <c r="H48" s="51"/>
      <c r="I48" s="45"/>
      <c r="J48" s="52"/>
      <c r="K48" s="53">
        <f t="shared" si="0"/>
        <v>0</v>
      </c>
      <c r="L48" s="54"/>
    </row>
    <row r="49" spans="1:12" s="55" customFormat="1" ht="19.5" customHeight="1" x14ac:dyDescent="0.3">
      <c r="A49" s="44" t="s">
        <v>35</v>
      </c>
      <c r="B49" s="45" t="s">
        <v>36</v>
      </c>
      <c r="C49" s="46">
        <v>22</v>
      </c>
      <c r="D49" s="47" t="s">
        <v>37</v>
      </c>
      <c r="E49" s="48">
        <v>4</v>
      </c>
      <c r="F49" s="49">
        <v>3.72</v>
      </c>
      <c r="G49" s="50" t="s">
        <v>18</v>
      </c>
      <c r="H49" s="51">
        <v>2134</v>
      </c>
      <c r="I49" s="45">
        <v>3048</v>
      </c>
      <c r="J49" s="52">
        <v>3</v>
      </c>
      <c r="K49" s="53">
        <f t="shared" si="0"/>
        <v>19.513295999999997</v>
      </c>
      <c r="L49" s="54"/>
    </row>
    <row r="50" spans="1:12" s="55" customFormat="1" ht="19.5" customHeight="1" x14ac:dyDescent="0.3">
      <c r="A50" s="44"/>
      <c r="B50" s="45"/>
      <c r="C50" s="46">
        <v>22</v>
      </c>
      <c r="D50" s="47" t="s">
        <v>38</v>
      </c>
      <c r="E50" s="48">
        <v>3</v>
      </c>
      <c r="F50" s="49">
        <v>11.27</v>
      </c>
      <c r="G50" s="50" t="s">
        <v>39</v>
      </c>
      <c r="H50" s="51">
        <v>2286</v>
      </c>
      <c r="I50" s="45">
        <v>3048</v>
      </c>
      <c r="J50" s="52">
        <v>3</v>
      </c>
      <c r="K50" s="53">
        <f t="shared" si="0"/>
        <v>20.903184</v>
      </c>
      <c r="L50" s="54"/>
    </row>
    <row r="51" spans="1:12" s="55" customFormat="1" ht="19.5" customHeight="1" x14ac:dyDescent="0.3">
      <c r="A51" s="44"/>
      <c r="B51" s="45"/>
      <c r="C51" s="46">
        <v>22</v>
      </c>
      <c r="D51" s="47" t="s">
        <v>17</v>
      </c>
      <c r="E51" s="48">
        <v>1</v>
      </c>
      <c r="F51" s="49">
        <v>0.71</v>
      </c>
      <c r="G51" s="50"/>
      <c r="H51" s="51"/>
      <c r="I51" s="45"/>
      <c r="J51" s="52"/>
      <c r="K51" s="53"/>
      <c r="L51" s="54"/>
    </row>
    <row r="52" spans="1:12" s="55" customFormat="1" ht="19.5" customHeight="1" x14ac:dyDescent="0.3">
      <c r="A52" s="44"/>
      <c r="B52" s="45"/>
      <c r="C52" s="46">
        <v>47</v>
      </c>
      <c r="D52" s="47" t="s">
        <v>40</v>
      </c>
      <c r="E52" s="48">
        <v>1</v>
      </c>
      <c r="F52" s="49">
        <v>0.97</v>
      </c>
      <c r="G52" s="50"/>
      <c r="H52" s="51"/>
      <c r="I52" s="45"/>
      <c r="J52" s="52"/>
      <c r="K52" s="53"/>
      <c r="L52" s="54"/>
    </row>
    <row r="53" spans="1:12" s="55" customFormat="1" ht="19.5" customHeight="1" x14ac:dyDescent="0.3">
      <c r="A53" s="44"/>
      <c r="B53" s="45"/>
      <c r="C53" s="46"/>
      <c r="D53" s="47"/>
      <c r="E53" s="48"/>
      <c r="F53" s="49"/>
      <c r="G53" s="50"/>
      <c r="H53" s="51"/>
      <c r="I53" s="45"/>
      <c r="J53" s="52"/>
      <c r="K53" s="53">
        <f t="shared" si="0"/>
        <v>0</v>
      </c>
      <c r="L53" s="54"/>
    </row>
    <row r="54" spans="1:12" s="55" customFormat="1" ht="19.5" customHeight="1" x14ac:dyDescent="0.3">
      <c r="A54" s="44" t="s">
        <v>41</v>
      </c>
      <c r="B54" s="45" t="s">
        <v>42</v>
      </c>
      <c r="C54" s="46">
        <v>27.76</v>
      </c>
      <c r="D54" s="47" t="s">
        <v>119</v>
      </c>
      <c r="E54" s="48">
        <v>244</v>
      </c>
      <c r="F54" s="49">
        <v>117.12</v>
      </c>
      <c r="G54" s="50" t="s">
        <v>43</v>
      </c>
      <c r="H54" s="51">
        <v>2134</v>
      </c>
      <c r="I54" s="45">
        <v>3353</v>
      </c>
      <c r="J54" s="52">
        <v>44</v>
      </c>
      <c r="K54" s="53">
        <f t="shared" si="0"/>
        <v>314.83328799999998</v>
      </c>
      <c r="L54" s="54"/>
    </row>
    <row r="55" spans="1:12" s="55" customFormat="1" ht="19.5" customHeight="1" x14ac:dyDescent="0.3">
      <c r="A55" s="44"/>
      <c r="B55" s="45"/>
      <c r="C55" s="46">
        <v>22</v>
      </c>
      <c r="D55" s="47" t="s">
        <v>44</v>
      </c>
      <c r="E55" s="48">
        <v>244</v>
      </c>
      <c r="F55" s="49">
        <v>163.47999999999999</v>
      </c>
      <c r="G55" s="50" t="s">
        <v>18</v>
      </c>
      <c r="H55" s="51">
        <v>2134</v>
      </c>
      <c r="I55" s="45">
        <v>3048</v>
      </c>
      <c r="J55" s="52">
        <v>27</v>
      </c>
      <c r="K55" s="53">
        <f t="shared" si="0"/>
        <v>175.619664</v>
      </c>
      <c r="L55" s="54"/>
    </row>
    <row r="56" spans="1:12" s="55" customFormat="1" ht="19.5" customHeight="1" x14ac:dyDescent="0.3">
      <c r="A56" s="44"/>
      <c r="B56" s="45"/>
      <c r="C56" s="46"/>
      <c r="D56" s="47"/>
      <c r="E56" s="48"/>
      <c r="F56" s="49"/>
      <c r="G56" s="50"/>
      <c r="H56" s="51"/>
      <c r="I56" s="45"/>
      <c r="J56" s="52"/>
      <c r="K56" s="53">
        <f t="shared" si="0"/>
        <v>0</v>
      </c>
      <c r="L56" s="54"/>
    </row>
    <row r="57" spans="1:12" s="55" customFormat="1" ht="19.5" customHeight="1" x14ac:dyDescent="0.3">
      <c r="A57" s="44" t="s">
        <v>15</v>
      </c>
      <c r="B57" s="45" t="s">
        <v>16</v>
      </c>
      <c r="C57" s="46">
        <v>22</v>
      </c>
      <c r="D57" s="47" t="s">
        <v>45</v>
      </c>
      <c r="E57" s="48">
        <f>340-40</f>
        <v>300</v>
      </c>
      <c r="F57" s="49">
        <f>228.1-55.2</f>
        <v>172.89999999999998</v>
      </c>
      <c r="G57" s="50" t="s">
        <v>46</v>
      </c>
      <c r="H57" s="51">
        <v>1829</v>
      </c>
      <c r="I57" s="45">
        <v>3353</v>
      </c>
      <c r="J57" s="52">
        <v>30</v>
      </c>
      <c r="K57" s="53">
        <f t="shared" si="0"/>
        <v>183.97910999999999</v>
      </c>
      <c r="L57" s="54" t="s">
        <v>47</v>
      </c>
    </row>
    <row r="58" spans="1:12" s="55" customFormat="1" ht="19.5" customHeight="1" x14ac:dyDescent="0.3">
      <c r="A58" s="44"/>
      <c r="B58" s="45"/>
      <c r="C58" s="46">
        <v>22</v>
      </c>
      <c r="D58" s="47" t="s">
        <v>48</v>
      </c>
      <c r="E58" s="48">
        <v>20</v>
      </c>
      <c r="F58" s="49">
        <v>62.4</v>
      </c>
      <c r="G58" s="50" t="s">
        <v>49</v>
      </c>
      <c r="H58" s="51">
        <v>1829</v>
      </c>
      <c r="I58" s="45">
        <v>3353</v>
      </c>
      <c r="J58" s="52">
        <v>20</v>
      </c>
      <c r="K58" s="53">
        <f t="shared" si="0"/>
        <v>122.65273999999999</v>
      </c>
      <c r="L58" s="54" t="s">
        <v>50</v>
      </c>
    </row>
    <row r="59" spans="1:12" s="55" customFormat="1" ht="19.5" customHeight="1" x14ac:dyDescent="0.3">
      <c r="A59" s="44"/>
      <c r="B59" s="45"/>
      <c r="C59" s="46">
        <v>22</v>
      </c>
      <c r="D59" s="47" t="s">
        <v>45</v>
      </c>
      <c r="E59" s="48">
        <v>40</v>
      </c>
      <c r="F59" s="49">
        <f>228.1-55.2</f>
        <v>172.89999999999998</v>
      </c>
      <c r="G59" s="50" t="s">
        <v>39</v>
      </c>
      <c r="H59" s="51">
        <v>1829</v>
      </c>
      <c r="I59" s="45">
        <v>3353</v>
      </c>
      <c r="J59" s="52">
        <v>30</v>
      </c>
      <c r="K59" s="53">
        <f t="shared" si="0"/>
        <v>183.97910999999999</v>
      </c>
      <c r="L59" s="54" t="s">
        <v>51</v>
      </c>
    </row>
    <row r="60" spans="1:12" s="55" customFormat="1" ht="19.5" customHeight="1" x14ac:dyDescent="0.3">
      <c r="A60" s="44"/>
      <c r="B60" s="45" t="s">
        <v>57</v>
      </c>
      <c r="C60" s="46"/>
      <c r="D60" s="47"/>
      <c r="E60" s="48"/>
      <c r="F60" s="49"/>
      <c r="G60" s="50"/>
      <c r="H60" s="51"/>
      <c r="I60" s="45"/>
      <c r="J60" s="52"/>
      <c r="K60" s="53">
        <f t="shared" si="0"/>
        <v>0</v>
      </c>
      <c r="L60" s="54"/>
    </row>
    <row r="61" spans="1:12" s="55" customFormat="1" ht="19.5" customHeight="1" x14ac:dyDescent="0.3">
      <c r="A61" s="44" t="s">
        <v>87</v>
      </c>
      <c r="B61" s="45" t="s">
        <v>88</v>
      </c>
      <c r="C61" s="46">
        <v>24</v>
      </c>
      <c r="D61" s="47" t="s">
        <v>89</v>
      </c>
      <c r="E61" s="48">
        <v>11</v>
      </c>
      <c r="F61" s="49">
        <v>20.03</v>
      </c>
      <c r="G61" s="50" t="s">
        <v>90</v>
      </c>
      <c r="H61" s="51">
        <v>2438</v>
      </c>
      <c r="I61" s="45">
        <v>3353</v>
      </c>
      <c r="J61" s="52">
        <v>7</v>
      </c>
      <c r="K61" s="53">
        <f t="shared" si="0"/>
        <v>57.222298000000002</v>
      </c>
      <c r="L61" s="54"/>
    </row>
    <row r="62" spans="1:12" s="55" customFormat="1" ht="19.5" customHeight="1" x14ac:dyDescent="0.3">
      <c r="A62" s="44" t="s">
        <v>92</v>
      </c>
      <c r="B62" s="45" t="s">
        <v>88</v>
      </c>
      <c r="C62" s="46">
        <v>24</v>
      </c>
      <c r="D62" s="47" t="s">
        <v>89</v>
      </c>
      <c r="E62" s="48">
        <v>21</v>
      </c>
      <c r="F62" s="49">
        <v>26.39</v>
      </c>
      <c r="G62" s="50" t="s">
        <v>91</v>
      </c>
      <c r="H62" s="51">
        <v>2438</v>
      </c>
      <c r="I62" s="45">
        <v>3353</v>
      </c>
      <c r="J62" s="52">
        <v>7</v>
      </c>
      <c r="K62" s="53">
        <f t="shared" si="0"/>
        <v>57.222298000000002</v>
      </c>
      <c r="L62" s="54"/>
    </row>
    <row r="63" spans="1:12" s="55" customFormat="1" ht="19.5" customHeight="1" x14ac:dyDescent="0.3">
      <c r="A63" s="44"/>
      <c r="B63" s="45"/>
      <c r="C63" s="46"/>
      <c r="D63" s="47"/>
      <c r="E63" s="48"/>
      <c r="F63" s="49"/>
      <c r="G63" s="50"/>
      <c r="H63" s="51"/>
      <c r="I63" s="45"/>
      <c r="J63" s="52"/>
      <c r="K63" s="53">
        <f t="shared" si="0"/>
        <v>0</v>
      </c>
      <c r="L63" s="54"/>
    </row>
    <row r="64" spans="1:12" s="55" customFormat="1" ht="19.5" customHeight="1" x14ac:dyDescent="0.3">
      <c r="A64" s="44" t="s">
        <v>93</v>
      </c>
      <c r="B64" s="45" t="s">
        <v>88</v>
      </c>
      <c r="C64" s="46">
        <v>24</v>
      </c>
      <c r="D64" s="47" t="s">
        <v>89</v>
      </c>
      <c r="E64" s="48">
        <v>7</v>
      </c>
      <c r="F64" s="49">
        <v>10.66</v>
      </c>
      <c r="G64" s="50" t="s">
        <v>90</v>
      </c>
      <c r="H64" s="51">
        <v>2590</v>
      </c>
      <c r="I64" s="45">
        <v>3353</v>
      </c>
      <c r="J64" s="52">
        <v>6</v>
      </c>
      <c r="K64" s="53">
        <f t="shared" si="0"/>
        <v>52.105619999999988</v>
      </c>
      <c r="L64" s="54"/>
    </row>
    <row r="65" spans="1:12" s="55" customFormat="1" ht="19.5" customHeight="1" x14ac:dyDescent="0.3">
      <c r="A65" s="44" t="s">
        <v>94</v>
      </c>
      <c r="B65" s="45" t="s">
        <v>88</v>
      </c>
      <c r="C65" s="46">
        <v>24</v>
      </c>
      <c r="D65" s="47" t="s">
        <v>89</v>
      </c>
      <c r="E65" s="48">
        <v>25</v>
      </c>
      <c r="F65" s="49">
        <v>35.1</v>
      </c>
      <c r="G65" s="50" t="s">
        <v>91</v>
      </c>
      <c r="H65" s="51">
        <v>2438</v>
      </c>
      <c r="I65" s="45">
        <v>3048</v>
      </c>
      <c r="J65" s="52">
        <v>7</v>
      </c>
      <c r="K65" s="53">
        <f t="shared" si="0"/>
        <v>52.017168000000005</v>
      </c>
      <c r="L65" s="54"/>
    </row>
    <row r="66" spans="1:12" s="55" customFormat="1" ht="19.5" customHeight="1" x14ac:dyDescent="0.3">
      <c r="A66" s="44"/>
      <c r="B66" s="45"/>
      <c r="C66" s="46"/>
      <c r="D66" s="47"/>
      <c r="E66" s="48"/>
      <c r="F66" s="49"/>
      <c r="G66" s="50"/>
      <c r="H66" s="51"/>
      <c r="I66" s="45"/>
      <c r="J66" s="52"/>
      <c r="K66" s="53">
        <f t="shared" si="0"/>
        <v>0</v>
      </c>
      <c r="L66" s="54"/>
    </row>
    <row r="67" spans="1:12" s="55" customFormat="1" ht="19.5" customHeight="1" x14ac:dyDescent="0.3">
      <c r="A67" s="44" t="s">
        <v>95</v>
      </c>
      <c r="B67" s="45" t="s">
        <v>97</v>
      </c>
      <c r="C67" s="46">
        <v>24</v>
      </c>
      <c r="D67" s="47" t="s">
        <v>98</v>
      </c>
      <c r="E67" s="48">
        <v>19</v>
      </c>
      <c r="F67" s="49">
        <v>32.24</v>
      </c>
      <c r="G67" s="50" t="s">
        <v>99</v>
      </c>
      <c r="H67" s="51">
        <v>2134</v>
      </c>
      <c r="I67" s="45">
        <v>3353</v>
      </c>
      <c r="J67" s="52">
        <v>2</v>
      </c>
      <c r="K67" s="53">
        <f t="shared" si="0"/>
        <v>14.310604</v>
      </c>
      <c r="L67" s="54" t="s">
        <v>100</v>
      </c>
    </row>
    <row r="68" spans="1:12" s="55" customFormat="1" ht="19.5" customHeight="1" x14ac:dyDescent="0.3">
      <c r="A68" s="44" t="s">
        <v>96</v>
      </c>
      <c r="B68" s="45" t="s">
        <v>97</v>
      </c>
      <c r="C68" s="46">
        <v>24</v>
      </c>
      <c r="D68" s="47" t="s">
        <v>98</v>
      </c>
      <c r="E68" s="48">
        <v>36</v>
      </c>
      <c r="F68" s="49">
        <v>40.56</v>
      </c>
      <c r="G68" s="50" t="s">
        <v>99</v>
      </c>
      <c r="H68" s="51">
        <v>1981</v>
      </c>
      <c r="I68" s="45">
        <v>3353</v>
      </c>
      <c r="J68" s="52">
        <v>3</v>
      </c>
      <c r="K68" s="53">
        <f t="shared" si="0"/>
        <v>19.926879</v>
      </c>
      <c r="L68" s="54" t="s">
        <v>101</v>
      </c>
    </row>
    <row r="69" spans="1:12" s="55" customFormat="1" ht="19.5" customHeight="1" x14ac:dyDescent="0.3">
      <c r="A69" s="44"/>
      <c r="B69" s="45"/>
      <c r="C69" s="46"/>
      <c r="D69" s="47"/>
      <c r="E69" s="48"/>
      <c r="F69" s="49"/>
      <c r="G69" s="50" t="s">
        <v>99</v>
      </c>
      <c r="H69" s="51">
        <v>2590</v>
      </c>
      <c r="I69" s="45">
        <v>3048</v>
      </c>
      <c r="J69" s="52">
        <v>6</v>
      </c>
      <c r="K69" s="53">
        <f t="shared" si="0"/>
        <v>47.365919999999996</v>
      </c>
      <c r="L69" s="54"/>
    </row>
    <row r="70" spans="1:12" s="59" customFormat="1" ht="20.100000000000001" customHeight="1" x14ac:dyDescent="0.3">
      <c r="A70" s="44"/>
      <c r="B70" s="45"/>
      <c r="C70" s="46"/>
      <c r="D70" s="47"/>
      <c r="E70" s="56"/>
      <c r="F70" s="57"/>
      <c r="G70" s="50"/>
      <c r="H70" s="51"/>
      <c r="I70" s="45"/>
      <c r="J70" s="52"/>
      <c r="K70" s="53">
        <f t="shared" si="0"/>
        <v>0</v>
      </c>
      <c r="L70" s="58">
        <f>SUM(J41:J71)</f>
        <v>221</v>
      </c>
    </row>
    <row r="71" spans="1:12" s="59" customFormat="1" ht="20.100000000000001" customHeight="1" x14ac:dyDescent="0.3">
      <c r="A71" s="44"/>
      <c r="B71" s="45"/>
      <c r="C71" s="46"/>
      <c r="D71" s="47"/>
      <c r="E71" s="60"/>
      <c r="F71" s="61"/>
      <c r="G71" s="62"/>
      <c r="H71" s="51"/>
      <c r="I71" s="45"/>
      <c r="J71" s="63"/>
      <c r="K71" s="53">
        <f t="shared" si="0"/>
        <v>0</v>
      </c>
      <c r="L71" s="64">
        <f>SUM(K41:K71)</f>
        <v>1494.3507970000001</v>
      </c>
    </row>
    <row r="72" spans="1:12" s="59" customFormat="1" ht="20.100000000000001" customHeight="1" thickBot="1" x14ac:dyDescent="0.35">
      <c r="A72" s="114"/>
      <c r="B72" s="115"/>
      <c r="C72" s="115"/>
      <c r="D72" s="115"/>
      <c r="E72" s="115"/>
      <c r="F72" s="115"/>
      <c r="G72" s="115"/>
      <c r="H72" s="115"/>
      <c r="I72" s="115"/>
      <c r="J72" s="65">
        <f>SUM(J7:J71)</f>
        <v>376</v>
      </c>
      <c r="K72" s="66">
        <f>SUM(K7:K71)</f>
        <v>2566.3430370000005</v>
      </c>
      <c r="L72" s="67"/>
    </row>
    <row r="73" spans="1:12" s="59" customFormat="1" ht="20.100000000000001" customHeight="1" thickTop="1" thickBot="1" x14ac:dyDescent="0.35">
      <c r="A73" s="116" t="s">
        <v>52</v>
      </c>
      <c r="B73" s="117"/>
      <c r="C73" s="68"/>
      <c r="D73" s="118">
        <f>J72</f>
        <v>376</v>
      </c>
      <c r="E73" s="119"/>
      <c r="F73" s="119"/>
      <c r="G73" s="120"/>
      <c r="H73" s="121"/>
      <c r="I73" s="121"/>
      <c r="J73" s="122"/>
      <c r="K73" s="119"/>
      <c r="L73" s="123"/>
    </row>
    <row r="74" spans="1:12" s="59" customFormat="1" ht="20.100000000000001" customHeight="1" x14ac:dyDescent="0.3">
      <c r="A74" s="69"/>
      <c r="B74" s="5"/>
      <c r="C74" s="5"/>
      <c r="D74" s="5"/>
      <c r="E74" s="5"/>
      <c r="F74" s="70"/>
      <c r="G74" s="5"/>
      <c r="H74" s="5"/>
      <c r="I74" s="5"/>
      <c r="J74" s="5"/>
      <c r="K74" s="5"/>
      <c r="L74" s="71"/>
    </row>
    <row r="75" spans="1:12" s="59" customFormat="1" ht="20.100000000000001" customHeight="1" x14ac:dyDescent="0.3">
      <c r="A75" s="69"/>
      <c r="B75" s="5"/>
      <c r="C75" s="5"/>
      <c r="D75" s="5"/>
      <c r="E75" s="5"/>
      <c r="F75" s="70"/>
      <c r="G75" s="5"/>
      <c r="H75" s="5"/>
      <c r="I75" s="5"/>
      <c r="J75" s="5"/>
      <c r="K75" s="5"/>
      <c r="L75" s="5"/>
    </row>
    <row r="76" spans="1:12" s="59" customFormat="1" ht="20.100000000000001" customHeight="1" x14ac:dyDescent="0.3">
      <c r="A76" s="69"/>
      <c r="B76" s="5"/>
      <c r="C76" s="5"/>
      <c r="D76" s="5"/>
      <c r="E76" s="5"/>
      <c r="F76" s="70"/>
      <c r="G76" s="5"/>
      <c r="H76" s="5"/>
      <c r="I76" s="5"/>
      <c r="J76" s="5"/>
      <c r="K76" s="5"/>
      <c r="L76" s="5"/>
    </row>
    <row r="77" spans="1:12" s="59" customFormat="1" ht="20.100000000000001" customHeight="1" x14ac:dyDescent="0.3">
      <c r="A77" s="69"/>
      <c r="B77" s="5"/>
      <c r="C77" s="5"/>
      <c r="D77" s="5"/>
      <c r="E77" s="5"/>
      <c r="F77" s="70"/>
      <c r="G77" s="5"/>
      <c r="H77" s="5"/>
      <c r="I77" s="5"/>
      <c r="J77" s="5"/>
      <c r="K77" s="5"/>
      <c r="L77" s="5"/>
    </row>
    <row r="78" spans="1:12" s="59" customFormat="1" ht="20.100000000000001" customHeight="1" x14ac:dyDescent="0.3">
      <c r="A78" s="113"/>
      <c r="B78" s="113"/>
      <c r="C78" s="5"/>
      <c r="D78" s="5"/>
      <c r="E78" s="5"/>
      <c r="F78" s="70"/>
      <c r="G78" s="5"/>
      <c r="H78" s="5"/>
      <c r="I78" s="5"/>
      <c r="J78" s="5"/>
      <c r="K78" s="5"/>
      <c r="L78" s="5"/>
    </row>
    <row r="79" spans="1:12" s="59" customFormat="1" ht="20.100000000000001" customHeight="1" x14ac:dyDescent="0.3">
      <c r="A79" s="113"/>
      <c r="B79" s="113"/>
      <c r="C79" s="5"/>
      <c r="D79" s="5"/>
      <c r="E79" s="72"/>
      <c r="F79" s="5"/>
      <c r="G79" s="5"/>
      <c r="H79" s="5"/>
      <c r="I79" s="5"/>
      <c r="J79" s="5"/>
      <c r="K79" s="5"/>
      <c r="L79" s="5"/>
    </row>
    <row r="80" spans="1:12" s="59" customFormat="1" ht="20.100000000000001" customHeight="1" x14ac:dyDescent="0.3">
      <c r="A80" s="113"/>
      <c r="B80" s="113"/>
      <c r="C80" s="5"/>
      <c r="D80" s="5"/>
      <c r="E80" s="5"/>
      <c r="F80" s="5"/>
      <c r="G80" s="73"/>
      <c r="H80" s="5"/>
      <c r="I80" s="74"/>
      <c r="J80" s="5"/>
      <c r="K80" s="5"/>
      <c r="L80" s="5"/>
    </row>
    <row r="81" spans="1:12" s="59" customFormat="1" ht="20.100000000000001" customHeight="1" x14ac:dyDescent="0.3">
      <c r="A81" s="113"/>
      <c r="B81" s="113"/>
      <c r="C81" s="5"/>
      <c r="D81" s="5"/>
      <c r="E81" s="5"/>
      <c r="F81" s="70"/>
      <c r="G81" s="5"/>
      <c r="H81" s="5"/>
      <c r="I81" s="5"/>
      <c r="J81" s="5"/>
      <c r="K81" s="5"/>
      <c r="L81" s="5"/>
    </row>
    <row r="82" spans="1:12" s="59" customFormat="1" ht="20.100000000000001" customHeight="1" x14ac:dyDescent="0.3">
      <c r="A82" s="69"/>
      <c r="B82" s="5"/>
      <c r="C82" s="5"/>
      <c r="D82" s="5"/>
      <c r="E82" s="5"/>
      <c r="F82" s="70"/>
      <c r="G82" s="5"/>
      <c r="H82" s="5"/>
      <c r="I82" s="5"/>
      <c r="J82" s="5"/>
      <c r="K82" s="5"/>
      <c r="L82" s="5"/>
    </row>
    <row r="83" spans="1:12" s="59" customFormat="1" ht="20.100000000000001" customHeight="1" x14ac:dyDescent="0.3">
      <c r="A83" s="113"/>
      <c r="B83" s="113"/>
      <c r="C83" s="5"/>
      <c r="D83" s="5"/>
      <c r="E83" s="5"/>
      <c r="F83" s="70"/>
      <c r="G83" s="5"/>
      <c r="H83" s="5"/>
      <c r="I83" s="5"/>
      <c r="J83" s="5"/>
      <c r="K83" s="5"/>
      <c r="L83" s="5"/>
    </row>
    <row r="84" spans="1:12" s="59" customFormat="1" ht="20.100000000000001" customHeight="1" x14ac:dyDescent="0.3">
      <c r="A84" s="113"/>
      <c r="B84" s="113"/>
      <c r="C84" s="5"/>
      <c r="D84" s="5"/>
      <c r="E84" s="5"/>
      <c r="F84" s="70"/>
      <c r="G84" s="5"/>
      <c r="H84" s="72"/>
      <c r="I84" s="72"/>
      <c r="J84" s="5"/>
      <c r="K84" s="5"/>
      <c r="L84" s="5"/>
    </row>
    <row r="85" spans="1:12" ht="20.100000000000001" customHeight="1" x14ac:dyDescent="0.3">
      <c r="A85" s="113"/>
      <c r="B85" s="113"/>
      <c r="H85" s="72"/>
      <c r="I85" s="72"/>
    </row>
    <row r="86" spans="1:12" ht="20.100000000000001" customHeight="1" x14ac:dyDescent="0.3">
      <c r="H86" s="72"/>
      <c r="I86" s="72"/>
    </row>
    <row r="87" spans="1:12" ht="20.100000000000001" customHeight="1" x14ac:dyDescent="0.3">
      <c r="H87" s="72"/>
      <c r="I87" s="72"/>
    </row>
    <row r="88" spans="1:12" ht="20.100000000000001" customHeight="1" x14ac:dyDescent="0.3">
      <c r="A88" s="113"/>
      <c r="B88" s="113"/>
      <c r="H88" s="72"/>
      <c r="I88" s="72"/>
    </row>
    <row r="89" spans="1:12" ht="20.100000000000001" customHeight="1" x14ac:dyDescent="0.3">
      <c r="A89" s="113"/>
      <c r="B89" s="113"/>
      <c r="H89" s="72"/>
      <c r="I89" s="72"/>
    </row>
    <row r="90" spans="1:12" ht="20.100000000000001" customHeight="1" x14ac:dyDescent="0.3">
      <c r="H90" s="72"/>
      <c r="I90" s="72"/>
    </row>
    <row r="91" spans="1:12" ht="20.100000000000001" customHeight="1" x14ac:dyDescent="0.3">
      <c r="H91" s="72"/>
      <c r="I91" s="72"/>
    </row>
    <row r="92" spans="1:12" ht="20.100000000000001" customHeight="1" x14ac:dyDescent="0.3">
      <c r="H92" s="72"/>
      <c r="I92" s="72"/>
    </row>
    <row r="93" spans="1:12" s="72" customFormat="1" ht="20.100000000000001" customHeight="1" x14ac:dyDescent="0.3">
      <c r="A93" s="69"/>
      <c r="B93" s="5"/>
      <c r="C93" s="5"/>
      <c r="D93" s="5"/>
      <c r="E93" s="5"/>
      <c r="F93" s="70"/>
      <c r="G93" s="5"/>
      <c r="J93" s="5"/>
      <c r="K93" s="5"/>
      <c r="L93" s="5"/>
    </row>
    <row r="94" spans="1:12" s="72" customFormat="1" ht="20.100000000000001" customHeight="1" x14ac:dyDescent="0.3">
      <c r="A94" s="69"/>
      <c r="B94" s="5"/>
      <c r="C94" s="5"/>
      <c r="D94" s="5"/>
      <c r="E94" s="5"/>
      <c r="F94" s="70"/>
      <c r="G94" s="5"/>
      <c r="H94" s="5"/>
      <c r="I94" s="5"/>
      <c r="J94" s="5"/>
      <c r="K94" s="5"/>
      <c r="L94" s="5"/>
    </row>
    <row r="95" spans="1:12" s="75" customFormat="1" ht="20.100000000000001" customHeight="1" x14ac:dyDescent="0.3">
      <c r="A95" s="69"/>
      <c r="B95" s="5"/>
      <c r="C95" s="5"/>
      <c r="D95" s="5"/>
      <c r="E95" s="5"/>
      <c r="F95" s="70"/>
      <c r="G95" s="5"/>
      <c r="H95" s="5"/>
      <c r="I95" s="5"/>
      <c r="J95" s="5"/>
      <c r="K95" s="5"/>
      <c r="L95" s="5"/>
    </row>
    <row r="96" spans="1:12" s="75" customFormat="1" ht="20.100000000000001" customHeight="1" x14ac:dyDescent="0.3">
      <c r="A96" s="69"/>
      <c r="B96" s="5"/>
      <c r="C96" s="5"/>
      <c r="D96" s="5"/>
      <c r="E96" s="5"/>
      <c r="F96" s="70"/>
      <c r="G96" s="5"/>
      <c r="H96" s="5"/>
      <c r="I96" s="5"/>
      <c r="J96" s="5"/>
      <c r="K96" s="5"/>
      <c r="L96" s="5"/>
    </row>
    <row r="97" spans="1:12" s="75" customFormat="1" ht="19.5" customHeight="1" x14ac:dyDescent="0.3">
      <c r="A97" s="69"/>
      <c r="B97" s="5"/>
      <c r="C97" s="5"/>
      <c r="D97" s="5"/>
      <c r="E97" s="5"/>
      <c r="F97" s="70"/>
      <c r="G97" s="5"/>
      <c r="H97" s="5"/>
      <c r="I97" s="5"/>
      <c r="J97" s="5"/>
      <c r="K97" s="5"/>
      <c r="L97" s="5"/>
    </row>
    <row r="98" spans="1:12" s="72" customFormat="1" ht="20.100000000000001" customHeight="1" x14ac:dyDescent="0.3">
      <c r="A98" s="69"/>
      <c r="B98" s="5"/>
      <c r="C98" s="5"/>
      <c r="D98" s="5"/>
      <c r="E98" s="5"/>
      <c r="F98" s="70"/>
      <c r="G98" s="5"/>
      <c r="H98" s="5"/>
      <c r="I98" s="5"/>
      <c r="J98" s="5"/>
      <c r="K98" s="5"/>
      <c r="L98" s="5"/>
    </row>
    <row r="99" spans="1:12" s="72" customFormat="1" ht="20.100000000000001" customHeight="1" x14ac:dyDescent="0.3">
      <c r="A99" s="69"/>
      <c r="B99" s="5"/>
      <c r="C99" s="5"/>
      <c r="D99" s="5"/>
      <c r="E99" s="5"/>
      <c r="F99" s="70"/>
      <c r="G99" s="5"/>
      <c r="H99" s="5"/>
      <c r="I99" s="5"/>
      <c r="J99" s="5"/>
      <c r="K99" s="5"/>
      <c r="L99" s="5"/>
    </row>
    <row r="100" spans="1:12" ht="19.5" customHeight="1" x14ac:dyDescent="0.3"/>
    <row r="101" spans="1:12" ht="19.5" customHeight="1" x14ac:dyDescent="0.3"/>
    <row r="102" spans="1:12" ht="19.5" customHeight="1" x14ac:dyDescent="0.3"/>
    <row r="103" spans="1:12" s="69" customFormat="1" ht="19.5" customHeight="1" x14ac:dyDescent="0.3">
      <c r="B103" s="5"/>
      <c r="C103" s="5"/>
      <c r="D103" s="5"/>
      <c r="E103" s="5"/>
      <c r="F103" s="70"/>
      <c r="G103" s="5"/>
      <c r="H103" s="5"/>
      <c r="I103" s="5"/>
      <c r="J103" s="5"/>
      <c r="K103" s="5"/>
      <c r="L103" s="5"/>
    </row>
    <row r="104" spans="1:12" s="69" customFormat="1" ht="19.5" customHeight="1" x14ac:dyDescent="0.3">
      <c r="B104" s="5"/>
      <c r="C104" s="5"/>
      <c r="D104" s="5"/>
      <c r="E104" s="5"/>
      <c r="F104" s="70"/>
      <c r="G104" s="5"/>
      <c r="H104" s="5"/>
      <c r="I104" s="5"/>
      <c r="J104" s="5"/>
      <c r="K104" s="5"/>
      <c r="L104" s="5"/>
    </row>
    <row r="105" spans="1:12" s="69" customFormat="1" ht="19.5" customHeight="1" x14ac:dyDescent="0.3">
      <c r="B105" s="5"/>
      <c r="C105" s="5"/>
      <c r="D105" s="5"/>
      <c r="E105" s="5"/>
      <c r="F105" s="70"/>
      <c r="G105" s="5"/>
      <c r="H105" s="5"/>
      <c r="I105" s="5"/>
      <c r="J105" s="5"/>
      <c r="K105" s="5"/>
      <c r="L105" s="5"/>
    </row>
    <row r="106" spans="1:12" s="69" customFormat="1" ht="19.5" customHeight="1" x14ac:dyDescent="0.3">
      <c r="B106" s="5"/>
      <c r="C106" s="5"/>
      <c r="D106" s="5"/>
      <c r="E106" s="5"/>
      <c r="F106" s="70"/>
      <c r="G106" s="5"/>
      <c r="H106" s="5"/>
      <c r="I106" s="5"/>
      <c r="J106" s="5"/>
      <c r="K106" s="5"/>
      <c r="L106" s="5"/>
    </row>
    <row r="107" spans="1:12" s="69" customFormat="1" ht="19.5" customHeight="1" x14ac:dyDescent="0.3">
      <c r="B107" s="5"/>
      <c r="C107" s="5"/>
      <c r="D107" s="5"/>
      <c r="E107" s="5"/>
      <c r="F107" s="70"/>
      <c r="G107" s="5"/>
      <c r="H107" s="5"/>
      <c r="I107" s="5"/>
      <c r="J107" s="5"/>
      <c r="K107" s="5"/>
      <c r="L107" s="5"/>
    </row>
    <row r="108" spans="1:12" s="69" customFormat="1" ht="19.5" customHeight="1" x14ac:dyDescent="0.3">
      <c r="B108" s="5"/>
      <c r="C108" s="5"/>
      <c r="D108" s="5"/>
      <c r="E108" s="5"/>
      <c r="F108" s="70"/>
      <c r="G108" s="5"/>
      <c r="H108" s="5"/>
      <c r="I108" s="5"/>
      <c r="J108" s="5"/>
      <c r="K108" s="5"/>
      <c r="L108" s="5"/>
    </row>
    <row r="109" spans="1:12" s="69" customFormat="1" ht="19.5" customHeight="1" x14ac:dyDescent="0.3">
      <c r="B109" s="5"/>
      <c r="C109" s="5"/>
      <c r="D109" s="5"/>
      <c r="E109" s="5"/>
      <c r="F109" s="70"/>
      <c r="G109" s="5"/>
      <c r="H109" s="5"/>
      <c r="I109" s="5"/>
      <c r="J109" s="5"/>
      <c r="K109" s="5"/>
      <c r="L109" s="5"/>
    </row>
    <row r="110" spans="1:12" s="69" customFormat="1" ht="19.5" customHeight="1" x14ac:dyDescent="0.3">
      <c r="B110" s="5"/>
      <c r="C110" s="5"/>
      <c r="D110" s="5"/>
      <c r="E110" s="5"/>
      <c r="F110" s="70"/>
      <c r="G110" s="5"/>
      <c r="H110" s="5"/>
      <c r="I110" s="5"/>
      <c r="J110" s="5"/>
      <c r="K110" s="5"/>
      <c r="L110" s="5"/>
    </row>
    <row r="111" spans="1:12" s="69" customFormat="1" ht="19.5" customHeight="1" x14ac:dyDescent="0.3">
      <c r="B111" s="5"/>
      <c r="C111" s="5"/>
      <c r="D111" s="5"/>
      <c r="E111" s="5"/>
      <c r="F111" s="70"/>
      <c r="G111" s="5"/>
      <c r="H111" s="5"/>
      <c r="I111" s="5"/>
      <c r="J111" s="5"/>
      <c r="K111" s="5"/>
      <c r="L111" s="5"/>
    </row>
    <row r="112" spans="1:12" s="69" customFormat="1" ht="19.5" customHeight="1" x14ac:dyDescent="0.3">
      <c r="B112" s="5"/>
      <c r="C112" s="5"/>
      <c r="D112" s="5"/>
      <c r="E112" s="5"/>
      <c r="F112" s="70"/>
      <c r="G112" s="5"/>
      <c r="H112" s="5"/>
      <c r="I112" s="5"/>
      <c r="J112" s="5"/>
      <c r="K112" s="5"/>
      <c r="L112" s="5"/>
    </row>
    <row r="113" spans="2:12" s="69" customFormat="1" ht="19.5" customHeight="1" x14ac:dyDescent="0.3">
      <c r="B113" s="5"/>
      <c r="C113" s="5"/>
      <c r="D113" s="5"/>
      <c r="E113" s="5"/>
      <c r="F113" s="70"/>
      <c r="G113" s="5"/>
      <c r="H113" s="5"/>
      <c r="I113" s="5"/>
      <c r="J113" s="5"/>
      <c r="K113" s="5"/>
      <c r="L113" s="5"/>
    </row>
    <row r="114" spans="2:12" s="69" customFormat="1" ht="19.5" customHeight="1" x14ac:dyDescent="0.3">
      <c r="B114" s="5"/>
      <c r="C114" s="5"/>
      <c r="D114" s="5"/>
      <c r="E114" s="5"/>
      <c r="F114" s="70"/>
      <c r="G114" s="5"/>
      <c r="H114" s="5"/>
      <c r="I114" s="5"/>
      <c r="J114" s="5"/>
      <c r="K114" s="5"/>
      <c r="L114" s="5"/>
    </row>
    <row r="115" spans="2:12" s="69" customFormat="1" ht="19.5" customHeight="1" x14ac:dyDescent="0.3">
      <c r="B115" s="5"/>
      <c r="C115" s="5"/>
      <c r="D115" s="5"/>
      <c r="E115" s="5"/>
      <c r="F115" s="70"/>
      <c r="G115" s="5"/>
      <c r="H115" s="5"/>
      <c r="I115" s="5"/>
      <c r="J115" s="5"/>
      <c r="K115" s="5"/>
      <c r="L115" s="5"/>
    </row>
    <row r="116" spans="2:12" s="69" customFormat="1" ht="19.5" customHeight="1" x14ac:dyDescent="0.3">
      <c r="B116" s="5"/>
      <c r="C116" s="5"/>
      <c r="D116" s="5"/>
      <c r="E116" s="5"/>
      <c r="F116" s="70"/>
      <c r="G116" s="5"/>
      <c r="H116" s="5"/>
      <c r="I116" s="5"/>
      <c r="J116" s="5"/>
      <c r="K116" s="5"/>
      <c r="L116" s="5"/>
    </row>
    <row r="117" spans="2:12" s="69" customFormat="1" ht="19.5" customHeight="1" x14ac:dyDescent="0.3">
      <c r="B117" s="5"/>
      <c r="C117" s="5"/>
      <c r="D117" s="5"/>
      <c r="E117" s="5"/>
      <c r="F117" s="70"/>
      <c r="G117" s="5"/>
      <c r="H117" s="5"/>
      <c r="I117" s="5"/>
      <c r="J117" s="5"/>
      <c r="K117" s="5"/>
      <c r="L117" s="5"/>
    </row>
    <row r="118" spans="2:12" s="69" customFormat="1" ht="19.5" customHeight="1" x14ac:dyDescent="0.3">
      <c r="B118" s="5"/>
      <c r="C118" s="5"/>
      <c r="D118" s="5"/>
      <c r="E118" s="5"/>
      <c r="F118" s="70"/>
      <c r="G118" s="5"/>
      <c r="H118" s="5"/>
      <c r="I118" s="5"/>
      <c r="J118" s="5"/>
      <c r="K118" s="5"/>
      <c r="L118" s="5"/>
    </row>
    <row r="119" spans="2:12" ht="19.5" customHeight="1" x14ac:dyDescent="0.3"/>
    <row r="120" spans="2:12" ht="19.5" customHeight="1" x14ac:dyDescent="0.3"/>
    <row r="121" spans="2:12" ht="19.5" customHeight="1" x14ac:dyDescent="0.3"/>
    <row r="122" spans="2:12" ht="19.5" customHeight="1" x14ac:dyDescent="0.3"/>
    <row r="123" spans="2:12" ht="19.5" customHeight="1" x14ac:dyDescent="0.3"/>
    <row r="124" spans="2:12" ht="19.5" customHeight="1" x14ac:dyDescent="0.3"/>
    <row r="125" spans="2:12" ht="19.5" customHeight="1" x14ac:dyDescent="0.3"/>
    <row r="126" spans="2:12" ht="19.5" customHeight="1" x14ac:dyDescent="0.3"/>
    <row r="127" spans="2:12" ht="19.5" customHeight="1" x14ac:dyDescent="0.3"/>
    <row r="128" spans="2:12" ht="19.5" customHeight="1" x14ac:dyDescent="0.3"/>
    <row r="129" spans="2:12" ht="19.5" customHeight="1" x14ac:dyDescent="0.3"/>
    <row r="130" spans="2:12" s="69" customFormat="1" ht="19.5" customHeight="1" x14ac:dyDescent="0.3">
      <c r="B130" s="5"/>
      <c r="C130" s="5"/>
      <c r="D130" s="5"/>
      <c r="E130" s="5"/>
      <c r="F130" s="70"/>
      <c r="G130" s="5"/>
      <c r="H130" s="5"/>
      <c r="I130" s="5"/>
      <c r="J130" s="5"/>
      <c r="K130" s="5"/>
      <c r="L130" s="5"/>
    </row>
    <row r="131" spans="2:12" s="69" customFormat="1" ht="19.5" customHeight="1" x14ac:dyDescent="0.3">
      <c r="B131" s="5"/>
      <c r="C131" s="5"/>
      <c r="D131" s="5"/>
      <c r="E131" s="5"/>
      <c r="F131" s="70"/>
      <c r="G131" s="5"/>
      <c r="H131" s="5"/>
      <c r="I131" s="5"/>
      <c r="J131" s="5"/>
      <c r="K131" s="5"/>
      <c r="L131" s="5"/>
    </row>
    <row r="132" spans="2:12" s="69" customFormat="1" ht="19.5" customHeight="1" x14ac:dyDescent="0.3">
      <c r="B132" s="5"/>
      <c r="C132" s="5"/>
      <c r="D132" s="5"/>
      <c r="E132" s="5"/>
      <c r="F132" s="70"/>
      <c r="G132" s="5"/>
      <c r="H132" s="5"/>
      <c r="I132" s="5"/>
      <c r="J132" s="5"/>
      <c r="K132" s="5"/>
      <c r="L132" s="5"/>
    </row>
    <row r="133" spans="2:12" s="69" customFormat="1" ht="19.5" customHeight="1" x14ac:dyDescent="0.3">
      <c r="B133" s="5"/>
      <c r="C133" s="5"/>
      <c r="D133" s="5"/>
      <c r="E133" s="5"/>
      <c r="F133" s="70"/>
      <c r="G133" s="5"/>
      <c r="H133" s="5"/>
      <c r="I133" s="5"/>
      <c r="J133" s="5"/>
      <c r="K133" s="5"/>
      <c r="L133" s="5"/>
    </row>
    <row r="134" spans="2:12" s="69" customFormat="1" ht="19.5" customHeight="1" x14ac:dyDescent="0.3">
      <c r="B134" s="5"/>
      <c r="C134" s="5"/>
      <c r="D134" s="5"/>
      <c r="E134" s="5"/>
      <c r="F134" s="70"/>
      <c r="G134" s="5"/>
      <c r="H134" s="5"/>
      <c r="I134" s="5"/>
      <c r="J134" s="5"/>
      <c r="K134" s="5"/>
      <c r="L134" s="5"/>
    </row>
    <row r="135" spans="2:12" s="69" customFormat="1" ht="19.5" customHeight="1" x14ac:dyDescent="0.3">
      <c r="B135" s="5"/>
      <c r="C135" s="5"/>
      <c r="D135" s="5"/>
      <c r="E135" s="5"/>
      <c r="F135" s="70"/>
      <c r="G135" s="5"/>
      <c r="H135" s="5"/>
      <c r="I135" s="5"/>
      <c r="J135" s="5"/>
      <c r="K135" s="5"/>
      <c r="L135" s="5"/>
    </row>
    <row r="136" spans="2:12" s="69" customFormat="1" ht="19.5" customHeight="1" x14ac:dyDescent="0.3">
      <c r="B136" s="5"/>
      <c r="C136" s="5"/>
      <c r="D136" s="5"/>
      <c r="E136" s="5"/>
      <c r="F136" s="70"/>
      <c r="G136" s="5"/>
      <c r="H136" s="5"/>
      <c r="I136" s="5"/>
      <c r="J136" s="5"/>
      <c r="K136" s="5"/>
      <c r="L136" s="5"/>
    </row>
    <row r="137" spans="2:12" s="69" customFormat="1" ht="19.5" customHeight="1" x14ac:dyDescent="0.3">
      <c r="B137" s="5"/>
      <c r="C137" s="5"/>
      <c r="D137" s="5"/>
      <c r="E137" s="5"/>
      <c r="F137" s="70"/>
      <c r="G137" s="5"/>
      <c r="H137" s="5"/>
      <c r="I137" s="5"/>
      <c r="J137" s="5"/>
      <c r="K137" s="5"/>
      <c r="L137" s="5"/>
    </row>
    <row r="138" spans="2:12" s="69" customFormat="1" ht="19.5" customHeight="1" x14ac:dyDescent="0.3">
      <c r="B138" s="5"/>
      <c r="C138" s="5"/>
      <c r="D138" s="5"/>
      <c r="E138" s="5"/>
      <c r="F138" s="70"/>
      <c r="G138" s="5"/>
      <c r="H138" s="5"/>
      <c r="I138" s="5"/>
      <c r="J138" s="5"/>
      <c r="K138" s="5"/>
      <c r="L138" s="5"/>
    </row>
    <row r="139" spans="2:12" s="69" customFormat="1" ht="19.5" customHeight="1" x14ac:dyDescent="0.3">
      <c r="B139" s="5"/>
      <c r="C139" s="5"/>
      <c r="D139" s="5"/>
      <c r="E139" s="5"/>
      <c r="F139" s="70"/>
      <c r="G139" s="5"/>
      <c r="H139" s="5"/>
      <c r="I139" s="5"/>
      <c r="J139" s="5"/>
      <c r="K139" s="5"/>
      <c r="L139" s="5"/>
    </row>
    <row r="140" spans="2:12" s="69" customFormat="1" ht="19.5" customHeight="1" x14ac:dyDescent="0.3">
      <c r="B140" s="5"/>
      <c r="C140" s="5"/>
      <c r="D140" s="5"/>
      <c r="E140" s="5"/>
      <c r="F140" s="70"/>
      <c r="G140" s="5"/>
      <c r="H140" s="5"/>
      <c r="I140" s="5"/>
      <c r="J140" s="5"/>
      <c r="K140" s="5"/>
      <c r="L140" s="5"/>
    </row>
    <row r="141" spans="2:12" s="69" customFormat="1" ht="19.5" customHeight="1" x14ac:dyDescent="0.3">
      <c r="B141" s="5"/>
      <c r="C141" s="5"/>
      <c r="D141" s="5"/>
      <c r="E141" s="5"/>
      <c r="F141" s="70"/>
      <c r="G141" s="5"/>
      <c r="H141" s="5"/>
      <c r="I141" s="5"/>
      <c r="J141" s="5"/>
      <c r="K141" s="5"/>
      <c r="L141" s="5"/>
    </row>
    <row r="142" spans="2:12" s="69" customFormat="1" ht="19.5" customHeight="1" x14ac:dyDescent="0.3">
      <c r="B142" s="5"/>
      <c r="C142" s="5"/>
      <c r="D142" s="5"/>
      <c r="E142" s="5"/>
      <c r="F142" s="70"/>
      <c r="G142" s="5"/>
      <c r="H142" s="5"/>
      <c r="I142" s="5"/>
      <c r="J142" s="5"/>
      <c r="K142" s="5"/>
      <c r="L142" s="5"/>
    </row>
    <row r="143" spans="2:12" s="69" customFormat="1" ht="19.5" customHeight="1" x14ac:dyDescent="0.3">
      <c r="B143" s="5"/>
      <c r="C143" s="5"/>
      <c r="D143" s="5"/>
      <c r="E143" s="5"/>
      <c r="F143" s="70"/>
      <c r="G143" s="5"/>
      <c r="H143" s="5"/>
      <c r="I143" s="5"/>
      <c r="J143" s="5"/>
      <c r="K143" s="5"/>
      <c r="L143" s="5"/>
    </row>
    <row r="144" spans="2:12" s="69" customFormat="1" ht="19.5" customHeight="1" x14ac:dyDescent="0.3">
      <c r="B144" s="5"/>
      <c r="C144" s="5"/>
      <c r="D144" s="5"/>
      <c r="E144" s="5"/>
      <c r="F144" s="70"/>
      <c r="G144" s="5"/>
      <c r="H144" s="5"/>
      <c r="I144" s="5"/>
      <c r="J144" s="5"/>
      <c r="K144" s="5"/>
      <c r="L144" s="5"/>
    </row>
    <row r="145" spans="2:12" s="69" customFormat="1" ht="19.5" customHeight="1" x14ac:dyDescent="0.3">
      <c r="B145" s="5"/>
      <c r="C145" s="5"/>
      <c r="D145" s="5"/>
      <c r="E145" s="5"/>
      <c r="F145" s="70"/>
      <c r="G145" s="5"/>
      <c r="H145" s="5"/>
      <c r="I145" s="5"/>
      <c r="J145" s="5"/>
      <c r="K145" s="5"/>
      <c r="L145" s="5"/>
    </row>
    <row r="146" spans="2:12" s="69" customFormat="1" ht="19.5" customHeight="1" x14ac:dyDescent="0.3">
      <c r="B146" s="5"/>
      <c r="C146" s="5"/>
      <c r="D146" s="5"/>
      <c r="E146" s="5"/>
      <c r="F146" s="70"/>
      <c r="G146" s="5"/>
      <c r="H146" s="5"/>
      <c r="I146" s="5"/>
      <c r="J146" s="5"/>
      <c r="K146" s="5"/>
      <c r="L146" s="5"/>
    </row>
    <row r="147" spans="2:12" s="69" customFormat="1" ht="19.5" customHeight="1" x14ac:dyDescent="0.3">
      <c r="B147" s="5"/>
      <c r="C147" s="5"/>
      <c r="D147" s="5"/>
      <c r="E147" s="5"/>
      <c r="F147" s="70"/>
      <c r="G147" s="5"/>
      <c r="H147" s="5"/>
      <c r="I147" s="5"/>
      <c r="J147" s="5"/>
      <c r="K147" s="5"/>
      <c r="L147" s="5"/>
    </row>
    <row r="148" spans="2:12" s="69" customFormat="1" ht="19.5" customHeight="1" x14ac:dyDescent="0.3">
      <c r="B148" s="5"/>
      <c r="C148" s="5"/>
      <c r="D148" s="5"/>
      <c r="E148" s="5"/>
      <c r="F148" s="70"/>
      <c r="G148" s="5"/>
      <c r="H148" s="5"/>
      <c r="I148" s="5"/>
      <c r="J148" s="5"/>
      <c r="K148" s="5"/>
      <c r="L148" s="5"/>
    </row>
    <row r="149" spans="2:12" s="69" customFormat="1" ht="19.5" customHeight="1" x14ac:dyDescent="0.3">
      <c r="B149" s="5"/>
      <c r="C149" s="5"/>
      <c r="D149" s="5"/>
      <c r="E149" s="5"/>
      <c r="F149" s="70"/>
      <c r="G149" s="5"/>
      <c r="H149" s="5"/>
      <c r="I149" s="5"/>
      <c r="J149" s="5"/>
      <c r="K149" s="5"/>
      <c r="L149" s="5"/>
    </row>
    <row r="150" spans="2:12" s="69" customFormat="1" ht="19.5" customHeight="1" x14ac:dyDescent="0.3">
      <c r="B150" s="5"/>
      <c r="C150" s="5"/>
      <c r="D150" s="5"/>
      <c r="E150" s="5"/>
      <c r="F150" s="70"/>
      <c r="G150" s="5"/>
      <c r="H150" s="5"/>
      <c r="I150" s="5"/>
      <c r="J150" s="5"/>
      <c r="K150" s="5"/>
      <c r="L150" s="5"/>
    </row>
    <row r="151" spans="2:12" s="69" customFormat="1" ht="19.5" customHeight="1" x14ac:dyDescent="0.3">
      <c r="B151" s="5"/>
      <c r="C151" s="5"/>
      <c r="D151" s="5"/>
      <c r="E151" s="5"/>
      <c r="F151" s="70"/>
      <c r="G151" s="5"/>
      <c r="H151" s="5"/>
      <c r="I151" s="5"/>
      <c r="J151" s="5"/>
      <c r="K151" s="5"/>
      <c r="L151" s="5"/>
    </row>
    <row r="152" spans="2:12" s="69" customFormat="1" ht="19.5" customHeight="1" x14ac:dyDescent="0.3">
      <c r="B152" s="5"/>
      <c r="C152" s="5"/>
      <c r="D152" s="5"/>
      <c r="E152" s="5"/>
      <c r="F152" s="70"/>
      <c r="G152" s="5"/>
      <c r="H152" s="5"/>
      <c r="I152" s="5"/>
      <c r="J152" s="5"/>
      <c r="K152" s="5"/>
      <c r="L152" s="5"/>
    </row>
    <row r="153" spans="2:12" s="69" customFormat="1" ht="19.5" customHeight="1" x14ac:dyDescent="0.3">
      <c r="B153" s="5"/>
      <c r="C153" s="5"/>
      <c r="D153" s="5"/>
      <c r="E153" s="5"/>
      <c r="F153" s="70"/>
      <c r="G153" s="5"/>
      <c r="H153" s="5"/>
      <c r="I153" s="5"/>
      <c r="J153" s="5"/>
      <c r="K153" s="5"/>
      <c r="L153" s="5"/>
    </row>
    <row r="154" spans="2:12" s="69" customFormat="1" ht="19.5" customHeight="1" x14ac:dyDescent="0.3">
      <c r="B154" s="5"/>
      <c r="C154" s="5"/>
      <c r="D154" s="5"/>
      <c r="E154" s="5"/>
      <c r="F154" s="70"/>
      <c r="G154" s="5"/>
      <c r="H154" s="5"/>
      <c r="I154" s="5"/>
      <c r="J154" s="5"/>
      <c r="K154" s="5"/>
      <c r="L154" s="5"/>
    </row>
    <row r="155" spans="2:12" s="69" customFormat="1" ht="19.5" customHeight="1" x14ac:dyDescent="0.3">
      <c r="B155" s="5"/>
      <c r="C155" s="5"/>
      <c r="D155" s="5"/>
      <c r="E155" s="5"/>
      <c r="F155" s="70"/>
      <c r="G155" s="5"/>
      <c r="H155" s="5"/>
      <c r="I155" s="5"/>
      <c r="J155" s="5"/>
      <c r="K155" s="5"/>
      <c r="L155" s="5"/>
    </row>
    <row r="156" spans="2:12" s="69" customFormat="1" ht="19.5" customHeight="1" x14ac:dyDescent="0.3">
      <c r="B156" s="5"/>
      <c r="C156" s="5"/>
      <c r="D156" s="5"/>
      <c r="E156" s="5"/>
      <c r="F156" s="70"/>
      <c r="G156" s="5"/>
      <c r="H156" s="5"/>
      <c r="I156" s="5"/>
      <c r="J156" s="5"/>
      <c r="K156" s="5"/>
      <c r="L156" s="5"/>
    </row>
    <row r="157" spans="2:12" s="69" customFormat="1" ht="19.5" customHeight="1" x14ac:dyDescent="0.3">
      <c r="B157" s="5"/>
      <c r="C157" s="5"/>
      <c r="D157" s="5"/>
      <c r="E157" s="5"/>
      <c r="F157" s="70"/>
      <c r="G157" s="5"/>
      <c r="H157" s="5"/>
      <c r="I157" s="5"/>
      <c r="J157" s="5"/>
      <c r="K157" s="5"/>
      <c r="L157" s="5"/>
    </row>
    <row r="158" spans="2:12" s="69" customFormat="1" ht="19.5" customHeight="1" x14ac:dyDescent="0.3">
      <c r="B158" s="5"/>
      <c r="C158" s="5"/>
      <c r="D158" s="5"/>
      <c r="E158" s="5"/>
      <c r="F158" s="70"/>
      <c r="G158" s="5"/>
      <c r="H158" s="5"/>
      <c r="I158" s="5"/>
      <c r="J158" s="5"/>
      <c r="K158" s="5"/>
      <c r="L158" s="5"/>
    </row>
    <row r="159" spans="2:12" s="69" customFormat="1" ht="19.5" customHeight="1" x14ac:dyDescent="0.3">
      <c r="B159" s="5"/>
      <c r="C159" s="5"/>
      <c r="D159" s="5"/>
      <c r="E159" s="5"/>
      <c r="F159" s="70"/>
      <c r="G159" s="5"/>
      <c r="H159" s="5"/>
      <c r="I159" s="5"/>
      <c r="J159" s="5"/>
      <c r="K159" s="5"/>
      <c r="L159" s="5"/>
    </row>
    <row r="160" spans="2:12" s="69" customFormat="1" ht="19.5" customHeight="1" x14ac:dyDescent="0.3">
      <c r="B160" s="5"/>
      <c r="C160" s="5"/>
      <c r="D160" s="5"/>
      <c r="E160" s="5"/>
      <c r="F160" s="70"/>
      <c r="G160" s="5"/>
      <c r="H160" s="5"/>
      <c r="I160" s="5"/>
      <c r="J160" s="5"/>
      <c r="K160" s="5"/>
      <c r="L160" s="5"/>
    </row>
    <row r="161" spans="2:12" s="69" customFormat="1" ht="19.5" customHeight="1" x14ac:dyDescent="0.3">
      <c r="B161" s="5"/>
      <c r="C161" s="5"/>
      <c r="D161" s="5"/>
      <c r="E161" s="5"/>
      <c r="F161" s="70"/>
      <c r="G161" s="5"/>
      <c r="H161" s="5"/>
      <c r="I161" s="5"/>
      <c r="J161" s="5"/>
      <c r="K161" s="5"/>
      <c r="L161" s="5"/>
    </row>
    <row r="162" spans="2:12" s="69" customFormat="1" ht="19.5" customHeight="1" x14ac:dyDescent="0.3">
      <c r="B162" s="5"/>
      <c r="C162" s="5"/>
      <c r="D162" s="5"/>
      <c r="E162" s="5"/>
      <c r="F162" s="70"/>
      <c r="G162" s="5"/>
      <c r="H162" s="5"/>
      <c r="I162" s="5"/>
      <c r="J162" s="5"/>
      <c r="K162" s="5"/>
      <c r="L162" s="5"/>
    </row>
    <row r="163" spans="2:12" s="69" customFormat="1" ht="19.5" customHeight="1" x14ac:dyDescent="0.3">
      <c r="B163" s="5">
        <v>2</v>
      </c>
      <c r="C163" s="5"/>
      <c r="D163" s="5"/>
      <c r="E163" s="5"/>
      <c r="F163" s="70"/>
      <c r="G163" s="5"/>
      <c r="H163" s="5"/>
      <c r="I163" s="5"/>
      <c r="J163" s="5"/>
      <c r="K163" s="5"/>
      <c r="L163" s="5"/>
    </row>
  </sheetData>
  <mergeCells count="30">
    <mergeCell ref="A1:H2"/>
    <mergeCell ref="A3:B3"/>
    <mergeCell ref="C3:H3"/>
    <mergeCell ref="A4:A6"/>
    <mergeCell ref="B4:B6"/>
    <mergeCell ref="C4:F4"/>
    <mergeCell ref="G4:K4"/>
    <mergeCell ref="A78:B78"/>
    <mergeCell ref="L4:L6"/>
    <mergeCell ref="C5:C6"/>
    <mergeCell ref="D5:D6"/>
    <mergeCell ref="E5:E6"/>
    <mergeCell ref="F5:F6"/>
    <mergeCell ref="G5:G6"/>
    <mergeCell ref="H5:I5"/>
    <mergeCell ref="J5:J6"/>
    <mergeCell ref="K5:K6"/>
    <mergeCell ref="A72:I72"/>
    <mergeCell ref="A73:B73"/>
    <mergeCell ref="D73:G73"/>
    <mergeCell ref="H73:J73"/>
    <mergeCell ref="K73:L73"/>
    <mergeCell ref="A88:B88"/>
    <mergeCell ref="A89:B89"/>
    <mergeCell ref="A79:B79"/>
    <mergeCell ref="A80:B80"/>
    <mergeCell ref="A81:B81"/>
    <mergeCell ref="A83:B83"/>
    <mergeCell ref="A84:B84"/>
    <mergeCell ref="A85:B85"/>
  </mergeCells>
  <phoneticPr fontId="3" type="noConversion"/>
  <printOptions horizontalCentered="1"/>
  <pageMargins left="0" right="0" top="0.78740157480314965" bottom="0.15748031496062992" header="0.35433070866141736" footer="0.35433070866141736"/>
  <pageSetup paperSize="9" scale="41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188</vt:i4>
      </vt:variant>
      <vt:variant>
        <vt:lpstr>이름 지정된 범위</vt:lpstr>
      </vt:variant>
      <vt:variant>
        <vt:i4>188</vt:i4>
      </vt:variant>
    </vt:vector>
  </HeadingPairs>
  <TitlesOfParts>
    <vt:vector size="376" baseType="lpstr">
      <vt:lpstr>8월25일</vt:lpstr>
      <vt:lpstr>8월24일</vt:lpstr>
      <vt:lpstr>8월22일</vt:lpstr>
      <vt:lpstr>8월21일</vt:lpstr>
      <vt:lpstr>8월20일</vt:lpstr>
      <vt:lpstr>8월19일</vt:lpstr>
      <vt:lpstr>8월18일</vt:lpstr>
      <vt:lpstr>8월14일</vt:lpstr>
      <vt:lpstr>8월13일</vt:lpstr>
      <vt:lpstr>8월12일</vt:lpstr>
      <vt:lpstr>8월11일</vt:lpstr>
      <vt:lpstr>8월10일</vt:lpstr>
      <vt:lpstr>8월8일</vt:lpstr>
      <vt:lpstr>8월7일</vt:lpstr>
      <vt:lpstr>8월6일</vt:lpstr>
      <vt:lpstr>8월5일</vt:lpstr>
      <vt:lpstr>8월4일</vt:lpstr>
      <vt:lpstr>8월3일</vt:lpstr>
      <vt:lpstr>8월1일</vt:lpstr>
      <vt:lpstr>7월31일</vt:lpstr>
      <vt:lpstr>7월30일</vt:lpstr>
      <vt:lpstr>7월29일</vt:lpstr>
      <vt:lpstr>7월28일</vt:lpstr>
      <vt:lpstr>7월27일</vt:lpstr>
      <vt:lpstr>7월25일</vt:lpstr>
      <vt:lpstr>7월24일</vt:lpstr>
      <vt:lpstr>7월23일</vt:lpstr>
      <vt:lpstr>7월22일</vt:lpstr>
      <vt:lpstr>7월21일</vt:lpstr>
      <vt:lpstr>7월20일</vt:lpstr>
      <vt:lpstr>7월18일</vt:lpstr>
      <vt:lpstr>7월17일</vt:lpstr>
      <vt:lpstr>7월16일</vt:lpstr>
      <vt:lpstr>7월15일</vt:lpstr>
      <vt:lpstr>7월14일</vt:lpstr>
      <vt:lpstr>7월13일</vt:lpstr>
      <vt:lpstr>7월11일</vt:lpstr>
      <vt:lpstr>7월10일</vt:lpstr>
      <vt:lpstr>7월09일</vt:lpstr>
      <vt:lpstr>7월08일</vt:lpstr>
      <vt:lpstr>7월07일</vt:lpstr>
      <vt:lpstr>7월06일</vt:lpstr>
      <vt:lpstr>7월04일</vt:lpstr>
      <vt:lpstr>7월03일</vt:lpstr>
      <vt:lpstr>7월02일</vt:lpstr>
      <vt:lpstr>7월01일</vt:lpstr>
      <vt:lpstr>6월30일</vt:lpstr>
      <vt:lpstr>6월29일</vt:lpstr>
      <vt:lpstr>6월27일</vt:lpstr>
      <vt:lpstr>6월26일</vt:lpstr>
      <vt:lpstr>6월25일</vt:lpstr>
      <vt:lpstr>6월24일</vt:lpstr>
      <vt:lpstr>6월23일</vt:lpstr>
      <vt:lpstr>6월22일</vt:lpstr>
      <vt:lpstr>6월20일</vt:lpstr>
      <vt:lpstr>6월19일</vt:lpstr>
      <vt:lpstr>6월18일</vt:lpstr>
      <vt:lpstr>6월17일</vt:lpstr>
      <vt:lpstr>6월16일</vt:lpstr>
      <vt:lpstr>6월15일</vt:lpstr>
      <vt:lpstr>6월13일</vt:lpstr>
      <vt:lpstr>6월12일</vt:lpstr>
      <vt:lpstr>6월11일</vt:lpstr>
      <vt:lpstr>6월10일</vt:lpstr>
      <vt:lpstr>6월09일</vt:lpstr>
      <vt:lpstr>6월08일</vt:lpstr>
      <vt:lpstr>6월06일</vt:lpstr>
      <vt:lpstr>6월05일</vt:lpstr>
      <vt:lpstr>6월04일</vt:lpstr>
      <vt:lpstr>6월03일</vt:lpstr>
      <vt:lpstr>6월02일</vt:lpstr>
      <vt:lpstr>6월01일</vt:lpstr>
      <vt:lpstr>5월30일</vt:lpstr>
      <vt:lpstr>5월29일</vt:lpstr>
      <vt:lpstr>5월28일</vt:lpstr>
      <vt:lpstr>5월27일</vt:lpstr>
      <vt:lpstr>5월26일</vt:lpstr>
      <vt:lpstr>5월25일</vt:lpstr>
      <vt:lpstr>5월23일</vt:lpstr>
      <vt:lpstr>5월22일</vt:lpstr>
      <vt:lpstr>5월21일</vt:lpstr>
      <vt:lpstr>5월20일</vt:lpstr>
      <vt:lpstr>5월19일</vt:lpstr>
      <vt:lpstr>5월18일</vt:lpstr>
      <vt:lpstr>5월16일</vt:lpstr>
      <vt:lpstr>5월15일</vt:lpstr>
      <vt:lpstr>5월14일</vt:lpstr>
      <vt:lpstr>5월13일</vt:lpstr>
      <vt:lpstr>5월12일</vt:lpstr>
      <vt:lpstr>5월11일</vt:lpstr>
      <vt:lpstr>5월10일</vt:lpstr>
      <vt:lpstr>5월9일</vt:lpstr>
      <vt:lpstr>5월8일</vt:lpstr>
      <vt:lpstr>5월7일</vt:lpstr>
      <vt:lpstr>5월6일</vt:lpstr>
      <vt:lpstr>5월5일</vt:lpstr>
      <vt:lpstr>5월4일</vt:lpstr>
      <vt:lpstr>4월30일</vt:lpstr>
      <vt:lpstr>4월29일</vt:lpstr>
      <vt:lpstr>4월28일</vt:lpstr>
      <vt:lpstr>4월27일</vt:lpstr>
      <vt:lpstr>4월25일</vt:lpstr>
      <vt:lpstr>4월24일</vt:lpstr>
      <vt:lpstr>4월23일</vt:lpstr>
      <vt:lpstr>4월22일</vt:lpstr>
      <vt:lpstr>4월21일</vt:lpstr>
      <vt:lpstr>4월20일</vt:lpstr>
      <vt:lpstr>4월18일</vt:lpstr>
      <vt:lpstr>4월17일</vt:lpstr>
      <vt:lpstr>4월16일</vt:lpstr>
      <vt:lpstr>4월15일</vt:lpstr>
      <vt:lpstr>4월14일</vt:lpstr>
      <vt:lpstr>4월13일</vt:lpstr>
      <vt:lpstr>4월11일</vt:lpstr>
      <vt:lpstr>4월10일 </vt:lpstr>
      <vt:lpstr>4월09일</vt:lpstr>
      <vt:lpstr>4월08일</vt:lpstr>
      <vt:lpstr>4월07일</vt:lpstr>
      <vt:lpstr>4월06일</vt:lpstr>
      <vt:lpstr>4월03일</vt:lpstr>
      <vt:lpstr>4월02일</vt:lpstr>
      <vt:lpstr>4월01일</vt:lpstr>
      <vt:lpstr>3월31일</vt:lpstr>
      <vt:lpstr>3월30일</vt:lpstr>
      <vt:lpstr>3월27일</vt:lpstr>
      <vt:lpstr>3월26일</vt:lpstr>
      <vt:lpstr>3월25일</vt:lpstr>
      <vt:lpstr>3월24일</vt:lpstr>
      <vt:lpstr>3월23일</vt:lpstr>
      <vt:lpstr>3월20일</vt:lpstr>
      <vt:lpstr>3월19일</vt:lpstr>
      <vt:lpstr>3월18일</vt:lpstr>
      <vt:lpstr>3월17일</vt:lpstr>
      <vt:lpstr>3월16일</vt:lpstr>
      <vt:lpstr>3월13일</vt:lpstr>
      <vt:lpstr>3월12일</vt:lpstr>
      <vt:lpstr>3월11일</vt:lpstr>
      <vt:lpstr>3월10일</vt:lpstr>
      <vt:lpstr>3월09일</vt:lpstr>
      <vt:lpstr>3월06일</vt:lpstr>
      <vt:lpstr>3월05일</vt:lpstr>
      <vt:lpstr>3월04일</vt:lpstr>
      <vt:lpstr>3월03일</vt:lpstr>
      <vt:lpstr>2월27일</vt:lpstr>
      <vt:lpstr>2월26일</vt:lpstr>
      <vt:lpstr>2월25일</vt:lpstr>
      <vt:lpstr>2월24일</vt:lpstr>
      <vt:lpstr>2월23일</vt:lpstr>
      <vt:lpstr>2월21일</vt:lpstr>
      <vt:lpstr>2월20일</vt:lpstr>
      <vt:lpstr>2월19일</vt:lpstr>
      <vt:lpstr>2월13일</vt:lpstr>
      <vt:lpstr>2월12일</vt:lpstr>
      <vt:lpstr>2월11일</vt:lpstr>
      <vt:lpstr>2월10일</vt:lpstr>
      <vt:lpstr>2월09일</vt:lpstr>
      <vt:lpstr>2월07일</vt:lpstr>
      <vt:lpstr>2월06일</vt:lpstr>
      <vt:lpstr>2월05일</vt:lpstr>
      <vt:lpstr>2월04일</vt:lpstr>
      <vt:lpstr>2월03일</vt:lpstr>
      <vt:lpstr>2월02일</vt:lpstr>
      <vt:lpstr>1월31일</vt:lpstr>
      <vt:lpstr>1월30일</vt:lpstr>
      <vt:lpstr>1월29일</vt:lpstr>
      <vt:lpstr>1월28일</vt:lpstr>
      <vt:lpstr>1월27일</vt:lpstr>
      <vt:lpstr>1월26일</vt:lpstr>
      <vt:lpstr>1월24일</vt:lpstr>
      <vt:lpstr>1월23일</vt:lpstr>
      <vt:lpstr>1월22일</vt:lpstr>
      <vt:lpstr>1월21일</vt:lpstr>
      <vt:lpstr>1월20일</vt:lpstr>
      <vt:lpstr>1월19일</vt:lpstr>
      <vt:lpstr>1월17일</vt:lpstr>
      <vt:lpstr>1월16일</vt:lpstr>
      <vt:lpstr>1월15일</vt:lpstr>
      <vt:lpstr>1월14일</vt:lpstr>
      <vt:lpstr>1월13일</vt:lpstr>
      <vt:lpstr>1월12일</vt:lpstr>
      <vt:lpstr>1월10일</vt:lpstr>
      <vt:lpstr>1월9일</vt:lpstr>
      <vt:lpstr>1월8일</vt:lpstr>
      <vt:lpstr>1월7일</vt:lpstr>
      <vt:lpstr>1월6일</vt:lpstr>
      <vt:lpstr>1월5일</vt:lpstr>
      <vt:lpstr>1월3일</vt:lpstr>
      <vt:lpstr>26년1월2일</vt:lpstr>
      <vt:lpstr>'1월10일'!Print_Area</vt:lpstr>
      <vt:lpstr>'1월12일'!Print_Area</vt:lpstr>
      <vt:lpstr>'1월13일'!Print_Area</vt:lpstr>
      <vt:lpstr>'1월14일'!Print_Area</vt:lpstr>
      <vt:lpstr>'1월15일'!Print_Area</vt:lpstr>
      <vt:lpstr>'1월16일'!Print_Area</vt:lpstr>
      <vt:lpstr>'1월17일'!Print_Area</vt:lpstr>
      <vt:lpstr>'1월19일'!Print_Area</vt:lpstr>
      <vt:lpstr>'1월20일'!Print_Area</vt:lpstr>
      <vt:lpstr>'1월21일'!Print_Area</vt:lpstr>
      <vt:lpstr>'1월22일'!Print_Area</vt:lpstr>
      <vt:lpstr>'1월23일'!Print_Area</vt:lpstr>
      <vt:lpstr>'1월24일'!Print_Area</vt:lpstr>
      <vt:lpstr>'1월26일'!Print_Area</vt:lpstr>
      <vt:lpstr>'1월27일'!Print_Area</vt:lpstr>
      <vt:lpstr>'1월28일'!Print_Area</vt:lpstr>
      <vt:lpstr>'1월29일'!Print_Area</vt:lpstr>
      <vt:lpstr>'1월30일'!Print_Area</vt:lpstr>
      <vt:lpstr>'1월31일'!Print_Area</vt:lpstr>
      <vt:lpstr>'1월3일'!Print_Area</vt:lpstr>
      <vt:lpstr>'1월5일'!Print_Area</vt:lpstr>
      <vt:lpstr>'1월6일'!Print_Area</vt:lpstr>
      <vt:lpstr>'1월7일'!Print_Area</vt:lpstr>
      <vt:lpstr>'1월8일'!Print_Area</vt:lpstr>
      <vt:lpstr>'1월9일'!Print_Area</vt:lpstr>
      <vt:lpstr>'26년1월2일'!Print_Area</vt:lpstr>
      <vt:lpstr>'2월02일'!Print_Area</vt:lpstr>
      <vt:lpstr>'2월03일'!Print_Area</vt:lpstr>
      <vt:lpstr>'2월04일'!Print_Area</vt:lpstr>
      <vt:lpstr>'2월05일'!Print_Area</vt:lpstr>
      <vt:lpstr>'2월06일'!Print_Area</vt:lpstr>
      <vt:lpstr>'2월07일'!Print_Area</vt:lpstr>
      <vt:lpstr>'2월09일'!Print_Area</vt:lpstr>
      <vt:lpstr>'2월10일'!Print_Area</vt:lpstr>
      <vt:lpstr>'2월11일'!Print_Area</vt:lpstr>
      <vt:lpstr>'2월12일'!Print_Area</vt:lpstr>
      <vt:lpstr>'2월13일'!Print_Area</vt:lpstr>
      <vt:lpstr>'2월19일'!Print_Area</vt:lpstr>
      <vt:lpstr>'2월20일'!Print_Area</vt:lpstr>
      <vt:lpstr>'2월21일'!Print_Area</vt:lpstr>
      <vt:lpstr>'2월23일'!Print_Area</vt:lpstr>
      <vt:lpstr>'2월24일'!Print_Area</vt:lpstr>
      <vt:lpstr>'2월25일'!Print_Area</vt:lpstr>
      <vt:lpstr>'2월26일'!Print_Area</vt:lpstr>
      <vt:lpstr>'2월27일'!Print_Area</vt:lpstr>
      <vt:lpstr>'3월03일'!Print_Area</vt:lpstr>
      <vt:lpstr>'3월04일'!Print_Area</vt:lpstr>
      <vt:lpstr>'3월05일'!Print_Area</vt:lpstr>
      <vt:lpstr>'3월06일'!Print_Area</vt:lpstr>
      <vt:lpstr>'3월09일'!Print_Area</vt:lpstr>
      <vt:lpstr>'3월10일'!Print_Area</vt:lpstr>
      <vt:lpstr>'3월11일'!Print_Area</vt:lpstr>
      <vt:lpstr>'3월12일'!Print_Area</vt:lpstr>
      <vt:lpstr>'3월13일'!Print_Area</vt:lpstr>
      <vt:lpstr>'3월16일'!Print_Area</vt:lpstr>
      <vt:lpstr>'3월17일'!Print_Area</vt:lpstr>
      <vt:lpstr>'3월18일'!Print_Area</vt:lpstr>
      <vt:lpstr>'3월19일'!Print_Area</vt:lpstr>
      <vt:lpstr>'3월20일'!Print_Area</vt:lpstr>
      <vt:lpstr>'3월23일'!Print_Area</vt:lpstr>
      <vt:lpstr>'3월24일'!Print_Area</vt:lpstr>
      <vt:lpstr>'3월25일'!Print_Area</vt:lpstr>
      <vt:lpstr>'3월26일'!Print_Area</vt:lpstr>
      <vt:lpstr>'3월27일'!Print_Area</vt:lpstr>
      <vt:lpstr>'3월30일'!Print_Area</vt:lpstr>
      <vt:lpstr>'3월31일'!Print_Area</vt:lpstr>
      <vt:lpstr>'4월01일'!Print_Area</vt:lpstr>
      <vt:lpstr>'4월02일'!Print_Area</vt:lpstr>
      <vt:lpstr>'4월03일'!Print_Area</vt:lpstr>
      <vt:lpstr>'4월06일'!Print_Area</vt:lpstr>
      <vt:lpstr>'4월07일'!Print_Area</vt:lpstr>
      <vt:lpstr>'4월08일'!Print_Area</vt:lpstr>
      <vt:lpstr>'4월09일'!Print_Area</vt:lpstr>
      <vt:lpstr>'4월10일 '!Print_Area</vt:lpstr>
      <vt:lpstr>'4월11일'!Print_Area</vt:lpstr>
      <vt:lpstr>'4월13일'!Print_Area</vt:lpstr>
      <vt:lpstr>'4월14일'!Print_Area</vt:lpstr>
      <vt:lpstr>'4월15일'!Print_Area</vt:lpstr>
      <vt:lpstr>'4월16일'!Print_Area</vt:lpstr>
      <vt:lpstr>'4월17일'!Print_Area</vt:lpstr>
      <vt:lpstr>'4월18일'!Print_Area</vt:lpstr>
      <vt:lpstr>'4월20일'!Print_Area</vt:lpstr>
      <vt:lpstr>'4월21일'!Print_Area</vt:lpstr>
      <vt:lpstr>'4월22일'!Print_Area</vt:lpstr>
      <vt:lpstr>'4월23일'!Print_Area</vt:lpstr>
      <vt:lpstr>'4월24일'!Print_Area</vt:lpstr>
      <vt:lpstr>'4월25일'!Print_Area</vt:lpstr>
      <vt:lpstr>'4월27일'!Print_Area</vt:lpstr>
      <vt:lpstr>'4월28일'!Print_Area</vt:lpstr>
      <vt:lpstr>'4월29일'!Print_Area</vt:lpstr>
      <vt:lpstr>'4월30일'!Print_Area</vt:lpstr>
      <vt:lpstr>'5월10일'!Print_Area</vt:lpstr>
      <vt:lpstr>'5월11일'!Print_Area</vt:lpstr>
      <vt:lpstr>'5월12일'!Print_Area</vt:lpstr>
      <vt:lpstr>'5월13일'!Print_Area</vt:lpstr>
      <vt:lpstr>'5월14일'!Print_Area</vt:lpstr>
      <vt:lpstr>'5월15일'!Print_Area</vt:lpstr>
      <vt:lpstr>'5월16일'!Print_Area</vt:lpstr>
      <vt:lpstr>'5월18일'!Print_Area</vt:lpstr>
      <vt:lpstr>'5월19일'!Print_Area</vt:lpstr>
      <vt:lpstr>'5월20일'!Print_Area</vt:lpstr>
      <vt:lpstr>'5월21일'!Print_Area</vt:lpstr>
      <vt:lpstr>'5월22일'!Print_Area</vt:lpstr>
      <vt:lpstr>'5월23일'!Print_Area</vt:lpstr>
      <vt:lpstr>'5월25일'!Print_Area</vt:lpstr>
      <vt:lpstr>'5월26일'!Print_Area</vt:lpstr>
      <vt:lpstr>'5월27일'!Print_Area</vt:lpstr>
      <vt:lpstr>'5월28일'!Print_Area</vt:lpstr>
      <vt:lpstr>'5월29일'!Print_Area</vt:lpstr>
      <vt:lpstr>'5월30일'!Print_Area</vt:lpstr>
      <vt:lpstr>'5월4일'!Print_Area</vt:lpstr>
      <vt:lpstr>'5월5일'!Print_Area</vt:lpstr>
      <vt:lpstr>'5월6일'!Print_Area</vt:lpstr>
      <vt:lpstr>'5월7일'!Print_Area</vt:lpstr>
      <vt:lpstr>'5월8일'!Print_Area</vt:lpstr>
      <vt:lpstr>'5월9일'!Print_Area</vt:lpstr>
      <vt:lpstr>'6월01일'!Print_Area</vt:lpstr>
      <vt:lpstr>'6월02일'!Print_Area</vt:lpstr>
      <vt:lpstr>'6월03일'!Print_Area</vt:lpstr>
      <vt:lpstr>'6월04일'!Print_Area</vt:lpstr>
      <vt:lpstr>'6월05일'!Print_Area</vt:lpstr>
      <vt:lpstr>'6월06일'!Print_Area</vt:lpstr>
      <vt:lpstr>'6월08일'!Print_Area</vt:lpstr>
      <vt:lpstr>'6월09일'!Print_Area</vt:lpstr>
      <vt:lpstr>'6월10일'!Print_Area</vt:lpstr>
      <vt:lpstr>'6월11일'!Print_Area</vt:lpstr>
      <vt:lpstr>'6월12일'!Print_Area</vt:lpstr>
      <vt:lpstr>'6월13일'!Print_Area</vt:lpstr>
      <vt:lpstr>'6월15일'!Print_Area</vt:lpstr>
      <vt:lpstr>'6월16일'!Print_Area</vt:lpstr>
      <vt:lpstr>'6월17일'!Print_Area</vt:lpstr>
      <vt:lpstr>'6월18일'!Print_Area</vt:lpstr>
      <vt:lpstr>'6월19일'!Print_Area</vt:lpstr>
      <vt:lpstr>'6월20일'!Print_Area</vt:lpstr>
      <vt:lpstr>'6월22일'!Print_Area</vt:lpstr>
      <vt:lpstr>'6월23일'!Print_Area</vt:lpstr>
      <vt:lpstr>'6월24일'!Print_Area</vt:lpstr>
      <vt:lpstr>'6월25일'!Print_Area</vt:lpstr>
      <vt:lpstr>'6월26일'!Print_Area</vt:lpstr>
      <vt:lpstr>'6월27일'!Print_Area</vt:lpstr>
      <vt:lpstr>'6월29일'!Print_Area</vt:lpstr>
      <vt:lpstr>'6월30일'!Print_Area</vt:lpstr>
      <vt:lpstr>'7월01일'!Print_Area</vt:lpstr>
      <vt:lpstr>'7월02일'!Print_Area</vt:lpstr>
      <vt:lpstr>'7월03일'!Print_Area</vt:lpstr>
      <vt:lpstr>'7월04일'!Print_Area</vt:lpstr>
      <vt:lpstr>'7월06일'!Print_Area</vt:lpstr>
      <vt:lpstr>'7월07일'!Print_Area</vt:lpstr>
      <vt:lpstr>'7월08일'!Print_Area</vt:lpstr>
      <vt:lpstr>'7월09일'!Print_Area</vt:lpstr>
      <vt:lpstr>'7월10일'!Print_Area</vt:lpstr>
      <vt:lpstr>'7월11일'!Print_Area</vt:lpstr>
      <vt:lpstr>'7월13일'!Print_Area</vt:lpstr>
      <vt:lpstr>'7월14일'!Print_Area</vt:lpstr>
      <vt:lpstr>'7월15일'!Print_Area</vt:lpstr>
      <vt:lpstr>'7월16일'!Print_Area</vt:lpstr>
      <vt:lpstr>'7월17일'!Print_Area</vt:lpstr>
      <vt:lpstr>'7월18일'!Print_Area</vt:lpstr>
      <vt:lpstr>'7월20일'!Print_Area</vt:lpstr>
      <vt:lpstr>'7월21일'!Print_Area</vt:lpstr>
      <vt:lpstr>'7월22일'!Print_Area</vt:lpstr>
      <vt:lpstr>'7월23일'!Print_Area</vt:lpstr>
      <vt:lpstr>'7월24일'!Print_Area</vt:lpstr>
      <vt:lpstr>'7월25일'!Print_Area</vt:lpstr>
      <vt:lpstr>'7월27일'!Print_Area</vt:lpstr>
      <vt:lpstr>'7월28일'!Print_Area</vt:lpstr>
      <vt:lpstr>'7월29일'!Print_Area</vt:lpstr>
      <vt:lpstr>'7월30일'!Print_Area</vt:lpstr>
      <vt:lpstr>'7월31일'!Print_Area</vt:lpstr>
      <vt:lpstr>'8월10일'!Print_Area</vt:lpstr>
      <vt:lpstr>'8월11일'!Print_Area</vt:lpstr>
      <vt:lpstr>'8월12일'!Print_Area</vt:lpstr>
      <vt:lpstr>'8월13일'!Print_Area</vt:lpstr>
      <vt:lpstr>'8월14일'!Print_Area</vt:lpstr>
      <vt:lpstr>'8월18일'!Print_Area</vt:lpstr>
      <vt:lpstr>'8월19일'!Print_Area</vt:lpstr>
      <vt:lpstr>'8월1일'!Print_Area</vt:lpstr>
      <vt:lpstr>'8월20일'!Print_Area</vt:lpstr>
      <vt:lpstr>'8월21일'!Print_Area</vt:lpstr>
      <vt:lpstr>'8월22일'!Print_Area</vt:lpstr>
      <vt:lpstr>'8월24일'!Print_Area</vt:lpstr>
      <vt:lpstr>'8월25일'!Print_Area</vt:lpstr>
      <vt:lpstr>'8월3일'!Print_Area</vt:lpstr>
      <vt:lpstr>'8월4일'!Print_Area</vt:lpstr>
      <vt:lpstr>'8월5일'!Print_Area</vt:lpstr>
      <vt:lpstr>'8월6일'!Print_Area</vt:lpstr>
      <vt:lpstr>'8월7일'!Print_Area</vt:lpstr>
      <vt:lpstr>'8월8일'!Print_Area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ONE</cp:lastModifiedBy>
  <cp:lastPrinted>2026-08-25T01:38:39Z</cp:lastPrinted>
  <dcterms:created xsi:type="dcterms:W3CDTF">2026-01-03T06:30:07Z</dcterms:created>
  <dcterms:modified xsi:type="dcterms:W3CDTF">2026-08-25T07:56:32Z</dcterms:modified>
</cp:coreProperties>
</file>