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jorda\OneDrive\Documents\"/>
    </mc:Choice>
  </mc:AlternateContent>
  <xr:revisionPtr revIDLastSave="0" documentId="8_{0BC73AEE-3023-4E6D-8E7B-D362FFD5454F}" xr6:coauthVersionLast="47" xr6:coauthVersionMax="47" xr10:uidLastSave="{00000000-0000-0000-0000-000000000000}"/>
  <bookViews>
    <workbookView xWindow="-120" yWindow="-120" windowWidth="29040" windowHeight="15720" xr2:uid="{949CAA59-9E01-444D-A118-EC68450C8AB4}"/>
  </bookViews>
  <sheets>
    <sheet name="Beginning Chapters" sheetId="1" r:id="rId1"/>
    <sheet name="Ending Chapters" sheetId="2" r:id="rId2"/>
  </sheets>
  <definedNames>
    <definedName name="_xlnm._FilterDatabase" localSheetId="0" hidden="1">'Beginning Chapters'!$B$4:$B$10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4" i="1" l="1"/>
  <c r="H133" i="1"/>
  <c r="N111" i="1"/>
  <c r="O111" i="1"/>
  <c r="O121" i="1"/>
  <c r="O129" i="1"/>
  <c r="O130" i="1" s="1"/>
  <c r="O131" i="1" s="1"/>
  <c r="O139" i="1"/>
  <c r="O138" i="1"/>
  <c r="O116" i="1"/>
  <c r="O117" i="1" s="1"/>
  <c r="O110" i="1"/>
  <c r="O103" i="1"/>
  <c r="O104" i="1" s="1"/>
  <c r="O105" i="1" s="1"/>
  <c r="P66" i="1"/>
  <c r="P69" i="1" s="1"/>
  <c r="O74" i="1"/>
  <c r="P74" i="1"/>
  <c r="O75" i="1"/>
  <c r="O72" i="1"/>
  <c r="O66" i="1"/>
  <c r="O69" i="1" s="1"/>
  <c r="N56" i="1"/>
  <c r="P56" i="1" s="1"/>
  <c r="M52" i="1"/>
  <c r="L52" i="1"/>
  <c r="L55" i="1" s="1"/>
  <c r="K122" i="1"/>
  <c r="J109" i="1"/>
  <c r="J107" i="1"/>
  <c r="J108" i="1" s="1"/>
  <c r="K94" i="1"/>
  <c r="K98" i="1" s="1"/>
  <c r="D188" i="1"/>
  <c r="H181" i="1"/>
  <c r="N57" i="1"/>
  <c r="L83" i="1"/>
  <c r="L84" i="1" s="1"/>
  <c r="L85" i="1" s="1"/>
  <c r="L86" i="1" s="1"/>
  <c r="L87" i="1" s="1"/>
  <c r="L75" i="1"/>
  <c r="L72" i="1"/>
  <c r="L71" i="1"/>
  <c r="M55" i="1"/>
  <c r="C30" i="1"/>
  <c r="E185" i="1"/>
  <c r="E186" i="1" s="1"/>
  <c r="F185" i="1"/>
  <c r="F186" i="1" s="1"/>
  <c r="G185" i="1"/>
  <c r="G186" i="1" s="1"/>
  <c r="D185" i="1"/>
  <c r="D186" i="1" s="1"/>
  <c r="D187" i="1" s="1"/>
  <c r="E166" i="1"/>
  <c r="D170" i="1" s="1"/>
  <c r="D171" i="1" s="1"/>
  <c r="D172" i="1" s="1"/>
  <c r="E172" i="1" s="1"/>
  <c r="D173" i="1" s="1"/>
  <c r="D166" i="1"/>
  <c r="G36" i="1"/>
  <c r="G34" i="1"/>
  <c r="G35" i="1" s="1"/>
  <c r="G37" i="1" s="1"/>
  <c r="F93" i="1"/>
  <c r="F94" i="1" s="1"/>
  <c r="F92" i="1"/>
  <c r="G53" i="1"/>
  <c r="G55" i="1" s="1"/>
  <c r="F82" i="1"/>
  <c r="F79" i="1"/>
  <c r="F80" i="1" s="1"/>
  <c r="F75" i="1"/>
  <c r="F77" i="1" s="1"/>
  <c r="W23" i="2"/>
  <c r="C175" i="2" a="1"/>
  <c r="C175" i="2"/>
  <c r="D168" i="2"/>
  <c r="C168" i="2"/>
  <c r="D155" i="1"/>
  <c r="C155" i="1"/>
  <c r="D148" i="1"/>
  <c r="E148" i="1"/>
  <c r="C148" i="1"/>
  <c r="E115" i="1"/>
  <c r="E113" i="1"/>
  <c r="E114" i="1"/>
  <c r="D155" i="2"/>
  <c r="C155" i="2"/>
  <c r="C147" i="2"/>
  <c r="C143" i="2"/>
  <c r="C122" i="2"/>
  <c r="C140" i="1"/>
  <c r="C136" i="1"/>
  <c r="D112" i="2"/>
  <c r="D113" i="2"/>
  <c r="D126" i="2"/>
  <c r="C128" i="1"/>
  <c r="F13" i="2"/>
  <c r="F6" i="2"/>
  <c r="G6" i="2"/>
  <c r="K26" i="2"/>
  <c r="K27" i="2"/>
  <c r="C135" i="2"/>
  <c r="C136" i="2"/>
  <c r="C66" i="2"/>
  <c r="C68" i="2"/>
  <c r="C131" i="1"/>
  <c r="C130" i="1"/>
  <c r="C126" i="1"/>
  <c r="C127" i="1"/>
  <c r="C129" i="1"/>
  <c r="G84" i="2"/>
  <c r="F78" i="2"/>
  <c r="F109" i="2"/>
  <c r="C105" i="2"/>
  <c r="C93" i="1"/>
  <c r="C94" i="1" s="1"/>
  <c r="C10" i="1"/>
  <c r="H47" i="2"/>
  <c r="H46" i="2"/>
  <c r="H95" i="2"/>
  <c r="H96" i="2"/>
  <c r="H97" i="2"/>
  <c r="H98" i="2"/>
  <c r="H99" i="2"/>
  <c r="F100" i="2"/>
  <c r="F101" i="2"/>
  <c r="I96" i="2"/>
  <c r="I97" i="2"/>
  <c r="I98" i="2"/>
  <c r="I99" i="2"/>
  <c r="I95" i="2"/>
  <c r="F68" i="1"/>
  <c r="F69" i="1" s="1"/>
  <c r="C117" i="2"/>
  <c r="F90" i="2"/>
  <c r="F91" i="2"/>
  <c r="F82" i="2"/>
  <c r="F84" i="2"/>
  <c r="F5" i="2"/>
  <c r="C110" i="2"/>
  <c r="C112" i="2"/>
  <c r="C96" i="2"/>
  <c r="C97" i="2"/>
  <c r="H22" i="2"/>
  <c r="H21" i="2"/>
  <c r="H20" i="2"/>
  <c r="C89" i="2"/>
  <c r="C88" i="2"/>
  <c r="C95" i="1"/>
  <c r="C34" i="1"/>
  <c r="C33" i="1"/>
  <c r="C46" i="1"/>
  <c r="C44" i="1"/>
  <c r="G33" i="2"/>
  <c r="F39" i="2"/>
  <c r="C110" i="1"/>
  <c r="C71" i="1"/>
  <c r="C73" i="1" s="1"/>
  <c r="C67" i="1"/>
  <c r="D29" i="1"/>
  <c r="C43" i="1"/>
  <c r="C45" i="1" s="1"/>
  <c r="C54" i="1"/>
  <c r="C57" i="1" s="1"/>
  <c r="C59" i="1" s="1"/>
  <c r="C9" i="1"/>
  <c r="C8" i="1"/>
  <c r="C76" i="1"/>
  <c r="D57" i="1"/>
  <c r="C60" i="1"/>
  <c r="C103" i="1"/>
  <c r="D53" i="1" s="1"/>
  <c r="D56" i="1" s="1"/>
  <c r="C23" i="1"/>
  <c r="C20" i="1"/>
  <c r="C82" i="1"/>
  <c r="C83" i="1" s="1"/>
  <c r="C65" i="1"/>
  <c r="C55" i="1"/>
  <c r="C58" i="1"/>
  <c r="W47" i="2"/>
  <c r="W37" i="2"/>
  <c r="W32" i="2"/>
  <c r="W17" i="2"/>
  <c r="W7" i="2"/>
  <c r="T6" i="2"/>
  <c r="T7" i="2"/>
  <c r="T29" i="2"/>
  <c r="T28" i="2"/>
  <c r="T27" i="2"/>
  <c r="T26" i="2"/>
  <c r="T12" i="2"/>
  <c r="T24" i="2"/>
  <c r="T19" i="2"/>
  <c r="T30" i="2"/>
  <c r="T25" i="2"/>
  <c r="O6" i="2"/>
  <c r="P10" i="2"/>
  <c r="L5" i="2"/>
  <c r="L9" i="2"/>
  <c r="I6" i="2"/>
  <c r="I11" i="2"/>
  <c r="I15" i="2"/>
  <c r="C59" i="2"/>
  <c r="C79" i="2"/>
  <c r="C80" i="2"/>
  <c r="C81" i="2"/>
  <c r="C57" i="2"/>
  <c r="C58" i="2"/>
  <c r="C45" i="2"/>
  <c r="C23" i="2"/>
  <c r="C22" i="2"/>
  <c r="C6" i="2"/>
  <c r="C48" i="2"/>
  <c r="C47" i="2"/>
  <c r="C50" i="2"/>
  <c r="C42" i="2"/>
  <c r="C49" i="2"/>
  <c r="C46" i="2"/>
  <c r="C43" i="2"/>
  <c r="C38" i="2"/>
  <c r="C41" i="2"/>
  <c r="C40" i="2"/>
  <c r="C39" i="2"/>
  <c r="C7" i="2"/>
  <c r="C8" i="2"/>
  <c r="C20" i="2"/>
  <c r="C31" i="2"/>
  <c r="C32" i="2"/>
  <c r="C21" i="2"/>
  <c r="C19" i="2"/>
  <c r="C18" i="2"/>
  <c r="F38" i="2"/>
  <c r="C17" i="2"/>
  <c r="C9" i="2"/>
  <c r="C29" i="2"/>
  <c r="C30" i="2"/>
  <c r="H24" i="2"/>
  <c r="H23" i="2"/>
  <c r="C130" i="2"/>
  <c r="D130" i="2"/>
  <c r="C70" i="2"/>
  <c r="D70" i="2"/>
  <c r="C69" i="2"/>
  <c r="C90" i="2"/>
  <c r="J95" i="2"/>
  <c r="C60" i="2"/>
  <c r="J96" i="2"/>
  <c r="T31" i="2"/>
  <c r="T32" i="2"/>
  <c r="T33" i="2"/>
  <c r="F40" i="2"/>
  <c r="F10" i="2"/>
  <c r="C61" i="2"/>
  <c r="K35" i="2"/>
  <c r="K28" i="2"/>
  <c r="K36" i="2"/>
  <c r="K42" i="2"/>
  <c r="K29" i="2"/>
  <c r="K37" i="2"/>
  <c r="K30" i="2"/>
  <c r="K38" i="2"/>
  <c r="K31" i="2"/>
  <c r="K39" i="2"/>
  <c r="K32" i="2"/>
  <c r="K40" i="2"/>
  <c r="K33" i="2"/>
  <c r="K41" i="2"/>
  <c r="J98" i="2"/>
  <c r="J97" i="2"/>
  <c r="F102" i="2"/>
  <c r="J99" i="2"/>
  <c r="F103" i="2"/>
  <c r="I133" i="1" l="1"/>
  <c r="J133" i="1" s="1"/>
  <c r="C29" i="1"/>
  <c r="M58" i="1"/>
  <c r="O76" i="1"/>
  <c r="P76" i="1"/>
  <c r="C68" i="1"/>
  <c r="C75" i="1" s="1"/>
  <c r="J112" i="1"/>
  <c r="J110" i="1"/>
  <c r="J111" i="1" s="1"/>
  <c r="O56" i="1"/>
  <c r="L58" i="1" s="1"/>
  <c r="D189" i="1"/>
  <c r="L73" i="1"/>
  <c r="L74" i="1" s="1"/>
  <c r="C31" i="1"/>
  <c r="C32" i="1"/>
  <c r="C104" i="1"/>
  <c r="F95" i="1"/>
  <c r="E116" i="1"/>
  <c r="D32" i="1"/>
  <c r="G38" i="1"/>
  <c r="F83" i="1"/>
  <c r="F84" i="1" s="1"/>
  <c r="F85" i="1" s="1"/>
  <c r="C74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<sst xmlns="http://schemas.openxmlformats.org/spreadsheetml/2006/main" count="745" uniqueCount="545">
  <si>
    <t xml:space="preserve">Variable </t>
  </si>
  <si>
    <t xml:space="preserve">Number </t>
  </si>
  <si>
    <t xml:space="preserve">Liquidity Ratios </t>
  </si>
  <si>
    <t>Current Asset</t>
  </si>
  <si>
    <t>Color Red = DON’T RESET</t>
  </si>
  <si>
    <t xml:space="preserve">Current Liability  </t>
  </si>
  <si>
    <t>Color Green = Answers</t>
  </si>
  <si>
    <t xml:space="preserve">Net Working Capital </t>
  </si>
  <si>
    <t>Blue=Alternate Equations</t>
  </si>
  <si>
    <t>Inventory</t>
  </si>
  <si>
    <t xml:space="preserve">Teal= Alt Answers </t>
  </si>
  <si>
    <t>Current Ratio</t>
  </si>
  <si>
    <t xml:space="preserve">Quick Ratio </t>
  </si>
  <si>
    <t>Invested Equity</t>
  </si>
  <si>
    <t>EBIT</t>
  </si>
  <si>
    <t>Interest Expense</t>
  </si>
  <si>
    <t>Total Revenues</t>
  </si>
  <si>
    <t xml:space="preserve">Total Expenses </t>
  </si>
  <si>
    <t>Current Assets</t>
  </si>
  <si>
    <t>Net Fixed Assets</t>
  </si>
  <si>
    <t xml:space="preserve">Total Assets </t>
  </si>
  <si>
    <t xml:space="preserve">Current Liabilites </t>
  </si>
  <si>
    <t xml:space="preserve"> Debt </t>
  </si>
  <si>
    <t>Total Liability (debts are a liability)</t>
  </si>
  <si>
    <t>Profit Margin</t>
  </si>
  <si>
    <t>Sales</t>
  </si>
  <si>
    <t>Net Income Margin</t>
  </si>
  <si>
    <t>Asset Turnover</t>
  </si>
  <si>
    <t>Asset/Equity Multiplier</t>
  </si>
  <si>
    <t>Shareholers Equity</t>
  </si>
  <si>
    <t>Net Income</t>
  </si>
  <si>
    <t xml:space="preserve">Growth </t>
  </si>
  <si>
    <t>ROA</t>
  </si>
  <si>
    <t>EBIT(1-T)</t>
  </si>
  <si>
    <t>ROE</t>
  </si>
  <si>
    <t xml:space="preserve">Equity </t>
  </si>
  <si>
    <t>Debt Ratio</t>
  </si>
  <si>
    <t>Debt</t>
  </si>
  <si>
    <t>Times Interest Earned</t>
  </si>
  <si>
    <t>Capitial Invested</t>
  </si>
  <si>
    <t>ROC</t>
  </si>
  <si>
    <t>Asset Management Ratios</t>
  </si>
  <si>
    <t>EBIT(1-T)n</t>
  </si>
  <si>
    <t>Ending Inventory</t>
  </si>
  <si>
    <t>Reinvestment</t>
  </si>
  <si>
    <t>Depreciation</t>
  </si>
  <si>
    <t>FCFF(n)</t>
  </si>
  <si>
    <t>COGS</t>
  </si>
  <si>
    <t>Inventory Turnover</t>
  </si>
  <si>
    <t>Fixed Asset Turnover</t>
  </si>
  <si>
    <t>Days' Sales in Inventory</t>
  </si>
  <si>
    <t>Total Asset Turnover</t>
  </si>
  <si>
    <t>YEAR 1</t>
  </si>
  <si>
    <t>YEAR 2</t>
  </si>
  <si>
    <t xml:space="preserve">Retained Earnings </t>
  </si>
  <si>
    <t>Revenues</t>
  </si>
  <si>
    <t xml:space="preserve">Cash Dividends </t>
  </si>
  <si>
    <t>Operating Expenses</t>
  </si>
  <si>
    <t xml:space="preserve">Total Equity </t>
  </si>
  <si>
    <t>Common Stock Outstanding</t>
  </si>
  <si>
    <t>Reinvests</t>
  </si>
  <si>
    <t>Cap EX</t>
  </si>
  <si>
    <t>Stock Price</t>
  </si>
  <si>
    <t>Growth</t>
  </si>
  <si>
    <t>Interest Expenses</t>
  </si>
  <si>
    <t>FCFF</t>
  </si>
  <si>
    <t xml:space="preserve">Taxes </t>
  </si>
  <si>
    <t>Total Dividends Paid</t>
  </si>
  <si>
    <t>Working Capital</t>
  </si>
  <si>
    <t>Earnings per share</t>
  </si>
  <si>
    <t>Total Debt</t>
  </si>
  <si>
    <t>Dividends Per Share</t>
  </si>
  <si>
    <t>FCFE</t>
  </si>
  <si>
    <t>P/E Ratio</t>
  </si>
  <si>
    <t>Price-to-Sales Ratios</t>
  </si>
  <si>
    <t>Intrest Exp</t>
  </si>
  <si>
    <t>Pretax Income</t>
  </si>
  <si>
    <t>Tax Rate</t>
  </si>
  <si>
    <t>Operating EX</t>
  </si>
  <si>
    <t>Earnings before Interest and Taxes (EBIT)</t>
  </si>
  <si>
    <t>Depr &amp; Amort</t>
  </si>
  <si>
    <t>Capital Ex</t>
  </si>
  <si>
    <t xml:space="preserve">Increase in New Working Capital </t>
  </si>
  <si>
    <t>Growth Rate</t>
  </si>
  <si>
    <t>Net Operating Profit after Tax (NOPAT)</t>
  </si>
  <si>
    <t>EBIT after Tax</t>
  </si>
  <si>
    <t>Longterm Debt</t>
  </si>
  <si>
    <t>NWC</t>
  </si>
  <si>
    <t>Shareholder Equity</t>
  </si>
  <si>
    <t>Capital</t>
  </si>
  <si>
    <t>NOPAT</t>
  </si>
  <si>
    <t>Cost of Capital</t>
  </si>
  <si>
    <t xml:space="preserve">Revenues </t>
  </si>
  <si>
    <t xml:space="preserve">Reinvestment </t>
  </si>
  <si>
    <t>Capital Charge</t>
  </si>
  <si>
    <t>Reinvestment Rate</t>
  </si>
  <si>
    <t>Economic Value Added (EVA)</t>
  </si>
  <si>
    <t>Depreciation &amp; Amort</t>
  </si>
  <si>
    <t>Return on Capital (ROC)</t>
  </si>
  <si>
    <t>Estiimated Cash Flows</t>
  </si>
  <si>
    <t>Return on Equity (ROE)</t>
  </si>
  <si>
    <t>ROIC (after tax)</t>
  </si>
  <si>
    <t xml:space="preserve">Accounts Receivable </t>
  </si>
  <si>
    <t>Net Capx</t>
  </si>
  <si>
    <t>Equity</t>
  </si>
  <si>
    <t>Credit Sales</t>
  </si>
  <si>
    <t>NCWC</t>
  </si>
  <si>
    <t>Accounts Receivable Turnover</t>
  </si>
  <si>
    <t>Change in Revenue</t>
  </si>
  <si>
    <t>Cash</t>
  </si>
  <si>
    <t xml:space="preserve">Accounts Recievable Days Sales Outstanding  </t>
  </si>
  <si>
    <t>Change in NCWC</t>
  </si>
  <si>
    <t>IC</t>
  </si>
  <si>
    <t>Total Reinvestment</t>
  </si>
  <si>
    <t>Market Value Ratios</t>
  </si>
  <si>
    <t>Cash Dividends</t>
  </si>
  <si>
    <t>EPS</t>
  </si>
  <si>
    <t>BVE</t>
  </si>
  <si>
    <t>Total Equity</t>
  </si>
  <si>
    <t>Dividends paid</t>
  </si>
  <si>
    <t>Common Stock Outstaning</t>
  </si>
  <si>
    <t>Stock bought back (REPURCHASES)</t>
  </si>
  <si>
    <t>Year</t>
  </si>
  <si>
    <t>Stock Price per Share</t>
  </si>
  <si>
    <t>Tax</t>
  </si>
  <si>
    <t>Income Stat</t>
  </si>
  <si>
    <t>CAN be negative</t>
  </si>
  <si>
    <t>Book Value per Share</t>
  </si>
  <si>
    <t>Payout Ratio</t>
  </si>
  <si>
    <t>Dep/Ammort</t>
  </si>
  <si>
    <t>Cash Flow</t>
  </si>
  <si>
    <t>NOPE</t>
  </si>
  <si>
    <t>Market-to-Book Value Ratio</t>
  </si>
  <si>
    <t>Reinvestment Ratio (b)</t>
  </si>
  <si>
    <t>Cap Ex</t>
  </si>
  <si>
    <t>Price-To-Earnings Ratio</t>
  </si>
  <si>
    <t>Growth Rate (g)</t>
  </si>
  <si>
    <t>Plus</t>
  </si>
  <si>
    <t>Change in WC</t>
  </si>
  <si>
    <t>Minus</t>
  </si>
  <si>
    <t>Change in non-cash WC</t>
  </si>
  <si>
    <t>Costs</t>
  </si>
  <si>
    <t>Dep Exp</t>
  </si>
  <si>
    <t>Int Exp</t>
  </si>
  <si>
    <t>Retained Earnings</t>
  </si>
  <si>
    <t xml:space="preserve">Initial Investment </t>
  </si>
  <si>
    <t>Ending stock price/emdimg value</t>
  </si>
  <si>
    <t xml:space="preserve">Total Dividends </t>
  </si>
  <si>
    <t>Total Return</t>
  </si>
  <si>
    <t>Sells For</t>
  </si>
  <si>
    <t xml:space="preserve">3 States Economy </t>
  </si>
  <si>
    <t xml:space="preserve">Dividend </t>
  </si>
  <si>
    <t xml:space="preserve">HPR </t>
  </si>
  <si>
    <t>Boom</t>
  </si>
  <si>
    <t>Normal</t>
  </si>
  <si>
    <t>Recession</t>
  </si>
  <si>
    <t>E(HPR)</t>
  </si>
  <si>
    <t>Assets</t>
  </si>
  <si>
    <t>Sales (revenue)</t>
  </si>
  <si>
    <t>Operating Profit EBIT</t>
  </si>
  <si>
    <t>CF from Operations</t>
  </si>
  <si>
    <t>EBITDA</t>
  </si>
  <si>
    <t>*EBIT+Ammorization</t>
  </si>
  <si>
    <t>EBITA</t>
  </si>
  <si>
    <t>EBITA/Assets</t>
  </si>
  <si>
    <t>Operating Profit Margin</t>
  </si>
  <si>
    <t>EBIT coverage Multiple</t>
  </si>
  <si>
    <t>Debt/EBITDA (multiple)</t>
  </si>
  <si>
    <t>Funds/Total Debt</t>
  </si>
  <si>
    <t>RCF/Net Debt</t>
  </si>
  <si>
    <t>Short term Municipal Yeild</t>
  </si>
  <si>
    <t xml:space="preserve">Comparable Taxable </t>
  </si>
  <si>
    <t>Tax Bracket'</t>
  </si>
  <si>
    <t>Equivalent Taxable yeild</t>
  </si>
  <si>
    <t>Investor is in</t>
  </si>
  <si>
    <t>Coporate Bonds offer</t>
  </si>
  <si>
    <t>Municipals must offer</t>
  </si>
  <si>
    <t>Avrg Inflation</t>
  </si>
  <si>
    <t>T-bills</t>
  </si>
  <si>
    <t>T-Bonds</t>
  </si>
  <si>
    <t>Stocks</t>
  </si>
  <si>
    <t>Average</t>
  </si>
  <si>
    <t xml:space="preserve">Risk Premium </t>
  </si>
  <si>
    <t>Standard Deviation</t>
  </si>
  <si>
    <t>Max</t>
  </si>
  <si>
    <t>Min</t>
  </si>
  <si>
    <t>Historical Avrg</t>
  </si>
  <si>
    <t>Portfolio A</t>
  </si>
  <si>
    <t>Portfolio B</t>
  </si>
  <si>
    <t>Expected Return</t>
  </si>
  <si>
    <t>Risk Free Rate</t>
  </si>
  <si>
    <t>Risk-to-Reward Volatility</t>
  </si>
  <si>
    <t>Market Value</t>
  </si>
  <si>
    <t>Book Value</t>
  </si>
  <si>
    <t xml:space="preserve">Debt </t>
  </si>
  <si>
    <t xml:space="preserve">Cash </t>
  </si>
  <si>
    <t>Enterprise Value</t>
  </si>
  <si>
    <t>Ebit</t>
  </si>
  <si>
    <t>g</t>
  </si>
  <si>
    <t>WACC</t>
  </si>
  <si>
    <t>Fair EV/ Optimal Capital</t>
  </si>
  <si>
    <t>Base Year</t>
  </si>
  <si>
    <t>YEAR 3</t>
  </si>
  <si>
    <t>Expected Growth</t>
  </si>
  <si>
    <t>Long term G</t>
  </si>
  <si>
    <t>Growth after n</t>
  </si>
  <si>
    <t>TVn</t>
  </si>
  <si>
    <t>TV today</t>
  </si>
  <si>
    <t>Present Value (PV)</t>
  </si>
  <si>
    <t>Beta</t>
  </si>
  <si>
    <t>D0</t>
  </si>
  <si>
    <t>D1</t>
  </si>
  <si>
    <t xml:space="preserve">Data </t>
  </si>
  <si>
    <t>Results</t>
  </si>
  <si>
    <t>Rate (r)</t>
  </si>
  <si>
    <t>Risk-Free Rate</t>
  </si>
  <si>
    <t>D2</t>
  </si>
  <si>
    <t>(FCF0)</t>
  </si>
  <si>
    <t>Floatation Costs</t>
  </si>
  <si>
    <t>Time (n)</t>
  </si>
  <si>
    <t xml:space="preserve">Market Risk </t>
  </si>
  <si>
    <t xml:space="preserve">Growth Rate </t>
  </si>
  <si>
    <t>D3</t>
  </si>
  <si>
    <t>G</t>
  </si>
  <si>
    <t>Per Share</t>
  </si>
  <si>
    <t>Future Value (FV)</t>
  </si>
  <si>
    <t xml:space="preserve">Required Rate of Return </t>
  </si>
  <si>
    <t>Required ROR</t>
  </si>
  <si>
    <t>Pof last  #</t>
  </si>
  <si>
    <t>D4</t>
  </si>
  <si>
    <t>Yeild</t>
  </si>
  <si>
    <t>Future Value = Present Value * (1+ Rate)^time</t>
  </si>
  <si>
    <t>P0</t>
  </si>
  <si>
    <t>N</t>
  </si>
  <si>
    <t>FCF1</t>
  </si>
  <si>
    <t>Face Value</t>
  </si>
  <si>
    <t>Rate=(FV/PV)^1/n - 1</t>
  </si>
  <si>
    <t>Exp. ROR</t>
  </si>
  <si>
    <t>(P0)</t>
  </si>
  <si>
    <t>Cost of Equity (risk)</t>
  </si>
  <si>
    <t>Vo</t>
  </si>
  <si>
    <t>Cost of Preferred Stock</t>
  </si>
  <si>
    <t>Present Value= FV/(1+r)^n</t>
  </si>
  <si>
    <t>Riskless Rate</t>
  </si>
  <si>
    <t>Time (n)= ln(FV/PV)/ln(1+r)</t>
  </si>
  <si>
    <t>Rs</t>
  </si>
  <si>
    <t>P0 (Stock Today)</t>
  </si>
  <si>
    <t>FCF_5</t>
  </si>
  <si>
    <t>Financed</t>
  </si>
  <si>
    <t>Investments</t>
  </si>
  <si>
    <t>Common Equity</t>
  </si>
  <si>
    <t>Common Stock</t>
  </si>
  <si>
    <t>Pn</t>
  </si>
  <si>
    <t>*If the risk increases the price will go down</t>
  </si>
  <si>
    <t xml:space="preserve">Perferred Stock </t>
  </si>
  <si>
    <t>Market Risk Premium</t>
  </si>
  <si>
    <t>*growth rate and risk CANNOT be the equal and risk CANNOT be less than growth rate</t>
  </si>
  <si>
    <t>V5</t>
  </si>
  <si>
    <t>Payment Amount Per Period (PMT)</t>
  </si>
  <si>
    <t>*Can have a growth rate of zero but company will be deeply devalued</t>
  </si>
  <si>
    <t>Required Return</t>
  </si>
  <si>
    <t>Interest Rate per Period (r)</t>
  </si>
  <si>
    <t xml:space="preserve">*Can have negative growth it means the company is cutting dividends </t>
  </si>
  <si>
    <t>Times Compounded (n2)</t>
  </si>
  <si>
    <t>Dividend for the Year</t>
  </si>
  <si>
    <t>CF1</t>
  </si>
  <si>
    <t>Preferred</t>
  </si>
  <si>
    <t>Number of periods (n)</t>
  </si>
  <si>
    <t>CF2</t>
  </si>
  <si>
    <t>FV=PMT*(1+r)^n-1/r</t>
  </si>
  <si>
    <t>CF3</t>
  </si>
  <si>
    <t>Present Value</t>
  </si>
  <si>
    <t xml:space="preserve">Date </t>
  </si>
  <si>
    <t>Price</t>
  </si>
  <si>
    <t>Dividend</t>
  </si>
  <si>
    <t xml:space="preserve">Return </t>
  </si>
  <si>
    <t xml:space="preserve">Stocks </t>
  </si>
  <si>
    <t>CF4</t>
  </si>
  <si>
    <t xml:space="preserve">Perpetuity </t>
  </si>
  <si>
    <t>*positive</t>
  </si>
  <si>
    <t>TV4</t>
  </si>
  <si>
    <t xml:space="preserve">PMT Beginning of Period </t>
  </si>
  <si>
    <t>*Repayment of prinicpal</t>
  </si>
  <si>
    <t xml:space="preserve">Market Risk Premium </t>
  </si>
  <si>
    <t>Simple Interest</t>
  </si>
  <si>
    <t>Risk Free RoR</t>
  </si>
  <si>
    <t>Compound Interest</t>
  </si>
  <si>
    <t>Arithmetic Avg Return</t>
  </si>
  <si>
    <t>Shares Outstanding</t>
  </si>
  <si>
    <t xml:space="preserve">Annuities </t>
  </si>
  <si>
    <t>Geo Avg Return</t>
  </si>
  <si>
    <t>CF5</t>
  </si>
  <si>
    <t xml:space="preserve">Cost of Equity Capital </t>
  </si>
  <si>
    <t>FutureValdue=FutureValord(1+Int)</t>
  </si>
  <si>
    <t>Future Value Ordinal</t>
  </si>
  <si>
    <t>Terminal Value</t>
  </si>
  <si>
    <t>Interest</t>
  </si>
  <si>
    <t>Weight (Total)</t>
  </si>
  <si>
    <t>PV of CF1</t>
  </si>
  <si>
    <t>CF0</t>
  </si>
  <si>
    <t>PresentValdue=PresentValord(1+Int)</t>
  </si>
  <si>
    <t>Present Value Ordinal</t>
  </si>
  <si>
    <t>STOCK 1</t>
  </si>
  <si>
    <t>PV of CF2</t>
  </si>
  <si>
    <t xml:space="preserve">Interest </t>
  </si>
  <si>
    <t>STOCK 2</t>
  </si>
  <si>
    <t>PV of CF3</t>
  </si>
  <si>
    <t>Future Value</t>
  </si>
  <si>
    <t>STOCK 3</t>
  </si>
  <si>
    <t>PV of CF4</t>
  </si>
  <si>
    <t xml:space="preserve">Present Value </t>
  </si>
  <si>
    <t>STOCK 4</t>
  </si>
  <si>
    <t>PV of TV4</t>
  </si>
  <si>
    <t>PV_Factor</t>
  </si>
  <si>
    <t>STOCK 5</t>
  </si>
  <si>
    <t>Total PV (P₀)</t>
  </si>
  <si>
    <t>Beginning of Year PMT</t>
  </si>
  <si>
    <t>STOCK 6</t>
  </si>
  <si>
    <t>Equity Value</t>
  </si>
  <si>
    <t>CF6</t>
  </si>
  <si>
    <t>APR Calculations</t>
  </si>
  <si>
    <t>STOCK 7</t>
  </si>
  <si>
    <t>Stock Price (P₀</t>
  </si>
  <si>
    <t>IRR</t>
  </si>
  <si>
    <t>Principal Amount (P)</t>
  </si>
  <si>
    <t>Weighted Return</t>
  </si>
  <si>
    <t>Time (t)</t>
  </si>
  <si>
    <t>Times Compounded (n)</t>
  </si>
  <si>
    <t>APR</t>
  </si>
  <si>
    <t>Price per share</t>
  </si>
  <si>
    <t xml:space="preserve">Effective AR (EAR) Quarterly </t>
  </si>
  <si>
    <t xml:space="preserve">Effective AR (EAR) Daily </t>
  </si>
  <si>
    <t xml:space="preserve">Geo Arithmetic  Return </t>
  </si>
  <si>
    <t xml:space="preserve">Effective AR (EAR) Monthly </t>
  </si>
  <si>
    <t>Avg  Arithmetic Return</t>
  </si>
  <si>
    <t>Effective AR (EAR) Semiannually</t>
  </si>
  <si>
    <t xml:space="preserve">Effective AR (EAR) Infinitely </t>
  </si>
  <si>
    <t xml:space="preserve">Total Return </t>
  </si>
  <si>
    <t>Effective AR (EAR)</t>
  </si>
  <si>
    <t xml:space="preserve">APR Quarterly </t>
  </si>
  <si>
    <t xml:space="preserve">Margin </t>
  </si>
  <si>
    <t>ATO</t>
  </si>
  <si>
    <t xml:space="preserve">APR Daily </t>
  </si>
  <si>
    <t>Supermarket Chain</t>
  </si>
  <si>
    <t>Discount Rate</t>
  </si>
  <si>
    <t>APR Weekly</t>
  </si>
  <si>
    <t>Utility</t>
  </si>
  <si>
    <t>NPV</t>
  </si>
  <si>
    <t xml:space="preserve">APR Monthly </t>
  </si>
  <si>
    <t>APR Semiannually</t>
  </si>
  <si>
    <t xml:space="preserve">APR Infinitely </t>
  </si>
  <si>
    <t xml:space="preserve">Bond Valuations </t>
  </si>
  <si>
    <t xml:space="preserve">* For Semiannual Valuations </t>
  </si>
  <si>
    <t>Price of the bond (F) Future Value</t>
  </si>
  <si>
    <t>Annual Coupon payment C</t>
  </si>
  <si>
    <t xml:space="preserve">*Divide by 2 </t>
  </si>
  <si>
    <t>Discount Rate (R)</t>
  </si>
  <si>
    <t>Numbers of Years until Maturity (N)</t>
  </si>
  <si>
    <t>*Multiply by 2</t>
  </si>
  <si>
    <t>Present Value P</t>
  </si>
  <si>
    <t>Coupon Payment</t>
  </si>
  <si>
    <t xml:space="preserve">1/y&gt;CR </t>
  </si>
  <si>
    <t>Present Value of Coupon Payments</t>
  </si>
  <si>
    <t>1/y&lt;CR</t>
  </si>
  <si>
    <t>Discount Bond</t>
  </si>
  <si>
    <t xml:space="preserve">Present Vale of Face Value </t>
  </si>
  <si>
    <t>1/y=CR</t>
  </si>
  <si>
    <t>Premium Bond</t>
  </si>
  <si>
    <r>
      <t xml:space="preserve">Total Bond Value (PV) </t>
    </r>
    <r>
      <rPr>
        <b/>
        <sz val="11"/>
        <color theme="1"/>
        <rFont val="Avenir Next LT Pro"/>
        <family val="2"/>
      </rPr>
      <t>BOND PRICE</t>
    </r>
  </si>
  <si>
    <t xml:space="preserve">Traded at Par </t>
  </si>
  <si>
    <t>Discount Rate  or YTM</t>
  </si>
  <si>
    <t>Capital Gains Yeilds</t>
  </si>
  <si>
    <t xml:space="preserve">Face Value </t>
  </si>
  <si>
    <t>Bond Price</t>
  </si>
  <si>
    <t>Annual Coupon Payment %</t>
  </si>
  <si>
    <t>Annual Payment $</t>
  </si>
  <si>
    <t xml:space="preserve">Years to Maturity </t>
  </si>
  <si>
    <t>Current Yield</t>
  </si>
  <si>
    <t>Capital Gains Yield</t>
  </si>
  <si>
    <t>Expected Total Return (YTM)</t>
  </si>
  <si>
    <t xml:space="preserve">Statistics of Returns </t>
  </si>
  <si>
    <t>Probaliity of Return (P1)</t>
  </si>
  <si>
    <t>Market Capitalization Rate r</t>
  </si>
  <si>
    <t>Return 1 (R1)</t>
  </si>
  <si>
    <t>expected ROE</t>
  </si>
  <si>
    <t>Probaility of -23% Return (P2)</t>
  </si>
  <si>
    <t>expected EPS</t>
  </si>
  <si>
    <t>rf</t>
  </si>
  <si>
    <t>Return 2 (R2)</t>
  </si>
  <si>
    <t>Plowback Ratio b</t>
  </si>
  <si>
    <t>b</t>
  </si>
  <si>
    <t>(P3)</t>
  </si>
  <si>
    <t>Growth Rate g</t>
  </si>
  <si>
    <t>rm</t>
  </si>
  <si>
    <t>(R3)</t>
  </si>
  <si>
    <t xml:space="preserve">Expected Return </t>
  </si>
  <si>
    <t xml:space="preserve">Variance </t>
  </si>
  <si>
    <t xml:space="preserve">Standard Deviation </t>
  </si>
  <si>
    <t>Dividend D1</t>
  </si>
  <si>
    <t>Required ROR r (k)</t>
  </si>
  <si>
    <t>Expected RoR</t>
  </si>
  <si>
    <t>Constant growth rate g</t>
  </si>
  <si>
    <t>Intrinsic Value</t>
  </si>
  <si>
    <t>Inv in Fund</t>
  </si>
  <si>
    <t>Inv in T-bill Fund</t>
  </si>
  <si>
    <t>Current Market Value</t>
  </si>
  <si>
    <t xml:space="preserve">Earnings </t>
  </si>
  <si>
    <t>Required Ror</t>
  </si>
  <si>
    <t xml:space="preserve">Sharpe Risky </t>
  </si>
  <si>
    <t xml:space="preserve">No-growth Value </t>
  </si>
  <si>
    <t>PVGO</t>
  </si>
  <si>
    <t>Stock Price P0</t>
  </si>
  <si>
    <t>Dividend D0</t>
  </si>
  <si>
    <t>Item</t>
  </si>
  <si>
    <t>Value</t>
  </si>
  <si>
    <t>Discount Factor</t>
  </si>
  <si>
    <t>PV of Dividend</t>
  </si>
  <si>
    <t>Exprected Growth Rate g</t>
  </si>
  <si>
    <t>g1</t>
  </si>
  <si>
    <t>g2</t>
  </si>
  <si>
    <t>r</t>
  </si>
  <si>
    <t>Leverage Ratio</t>
  </si>
  <si>
    <t>n</t>
  </si>
  <si>
    <t>Terminal Dividend (D6)</t>
  </si>
  <si>
    <t>Quick Ratio</t>
  </si>
  <si>
    <t>Terminal Value at Year n</t>
  </si>
  <si>
    <t xml:space="preserve">Average Asset Turnonver </t>
  </si>
  <si>
    <t>PV of Terminal Value</t>
  </si>
  <si>
    <t>Net profit margin</t>
  </si>
  <si>
    <t>Total Value</t>
  </si>
  <si>
    <t>dividend payout ratio</t>
  </si>
  <si>
    <t>LR</t>
  </si>
  <si>
    <t>Total Sales</t>
  </si>
  <si>
    <t>AAT</t>
  </si>
  <si>
    <t xml:space="preserve">Shares Outstanding </t>
  </si>
  <si>
    <t>NPM</t>
  </si>
  <si>
    <t>Sales Per Share</t>
  </si>
  <si>
    <t xml:space="preserve">Historical Multiple </t>
  </si>
  <si>
    <t>Target Price</t>
  </si>
  <si>
    <t xml:space="preserve">Trades at </t>
  </si>
  <si>
    <t>Estimated EPS</t>
  </si>
  <si>
    <t xml:space="preserve">Target Price </t>
  </si>
  <si>
    <t>Ask</t>
  </si>
  <si>
    <t>Number of Bonds</t>
  </si>
  <si>
    <t>Settlement</t>
  </si>
  <si>
    <t>Maturity years</t>
  </si>
  <si>
    <t>Coupon %</t>
  </si>
  <si>
    <t>Callable (years)</t>
  </si>
  <si>
    <t>Callable Price</t>
  </si>
  <si>
    <t>Sells at yield %</t>
  </si>
  <si>
    <t>Tc</t>
  </si>
  <si>
    <t>Td</t>
  </si>
  <si>
    <t>Ts</t>
  </si>
  <si>
    <t>Purchased for</t>
  </si>
  <si>
    <t>Held for</t>
  </si>
  <si>
    <t xml:space="preserve">Stock paid dividend of </t>
  </si>
  <si>
    <t xml:space="preserve">Sell for </t>
  </si>
  <si>
    <t xml:space="preserve">Net Asset Value </t>
  </si>
  <si>
    <t xml:space="preserve">Front end load </t>
  </si>
  <si>
    <t>Offering Price</t>
  </si>
  <si>
    <t>Fund A</t>
  </si>
  <si>
    <t>Fund B</t>
  </si>
  <si>
    <t>Return per year</t>
  </si>
  <si>
    <t xml:space="preserve">Time </t>
  </si>
  <si>
    <t>Front-end Load</t>
  </si>
  <si>
    <t>Expense Ratio</t>
  </si>
  <si>
    <t>12b-1 Fees</t>
  </si>
  <si>
    <t xml:space="preserve">Value </t>
  </si>
  <si>
    <t>Bid Price on Stock</t>
  </si>
  <si>
    <t>Stocks Ask</t>
  </si>
  <si>
    <t xml:space="preserve">Purchased </t>
  </si>
  <si>
    <t xml:space="preserve">Broker's trading commission </t>
  </si>
  <si>
    <t>S&amp;P 500</t>
  </si>
  <si>
    <t>T-Bills</t>
  </si>
  <si>
    <t>Expected Rate (A-&gt;B)</t>
  </si>
  <si>
    <t>If expected is higher than required select that one</t>
  </si>
  <si>
    <t>Will Return</t>
  </si>
  <si>
    <t>Current Beta</t>
  </si>
  <si>
    <t>Expected RR</t>
  </si>
  <si>
    <t>RfR</t>
  </si>
  <si>
    <t>Fair Value CAPM</t>
  </si>
  <si>
    <t>BETA</t>
  </si>
  <si>
    <t>BVD</t>
  </si>
  <si>
    <t>Growth rate in EBIT</t>
  </si>
  <si>
    <t>Invested Cap</t>
  </si>
  <si>
    <t>ROC (year before)</t>
  </si>
  <si>
    <t>EBIT(N+1)</t>
  </si>
  <si>
    <t>NEW invested cap</t>
  </si>
  <si>
    <t>Change in IC</t>
  </si>
  <si>
    <t>Depreciation &amp; Ammort</t>
  </si>
  <si>
    <t>Change in non cash WC</t>
  </si>
  <si>
    <t>Debt Issued</t>
  </si>
  <si>
    <t>Debt Repaid</t>
  </si>
  <si>
    <t xml:space="preserve">Minus </t>
  </si>
  <si>
    <t>CAN BE</t>
  </si>
  <si>
    <t xml:space="preserve">NEVER </t>
  </si>
  <si>
    <t>(1 cont)</t>
  </si>
  <si>
    <t>(2 cont)</t>
  </si>
  <si>
    <t>Year 1</t>
  </si>
  <si>
    <t>Year 2</t>
  </si>
  <si>
    <t>Op Ex</t>
  </si>
  <si>
    <t>Dep</t>
  </si>
  <si>
    <t>Interest Exp</t>
  </si>
  <si>
    <t>Taxes</t>
  </si>
  <si>
    <t>WC</t>
  </si>
  <si>
    <t xml:space="preserve">Total Debt </t>
  </si>
  <si>
    <t>Net Borrowing</t>
  </si>
  <si>
    <t>Cap-Dep</t>
  </si>
  <si>
    <t>Matrue Market ERP</t>
  </si>
  <si>
    <t>SD Equity</t>
  </si>
  <si>
    <t>SD Govt Bond</t>
  </si>
  <si>
    <t>Default Spread</t>
  </si>
  <si>
    <t>Relative Risk Factor</t>
  </si>
  <si>
    <t>Country Risk Premium</t>
  </si>
  <si>
    <t>Mature Market Premium</t>
  </si>
  <si>
    <t>Using Volatility (No Mature Market)</t>
  </si>
  <si>
    <t>U.S ERP</t>
  </si>
  <si>
    <t>Std Dev</t>
  </si>
  <si>
    <t>Std DEV S&amp;P</t>
  </si>
  <si>
    <t>Relative Volatility</t>
  </si>
  <si>
    <t>ERP Place</t>
  </si>
  <si>
    <t>CRP</t>
  </si>
  <si>
    <t>Total Equity Risk Premium</t>
  </si>
  <si>
    <t>Cost of Equity Lambda</t>
  </si>
  <si>
    <t>Compute Lambda</t>
  </si>
  <si>
    <t>Compute Total Risk Premium</t>
  </si>
  <si>
    <t>Cost of Equity</t>
  </si>
  <si>
    <t>US Risk Free Rate</t>
  </si>
  <si>
    <t>US Equity Risk Premium</t>
  </si>
  <si>
    <t>% of Company X</t>
  </si>
  <si>
    <t>% Average Firm</t>
  </si>
  <si>
    <t xml:space="preserve">Linear Regression </t>
  </si>
  <si>
    <t>Regression</t>
  </si>
  <si>
    <t>Equity Risk Premium</t>
  </si>
  <si>
    <t>Apply CAPM</t>
  </si>
  <si>
    <t>Always Negative</t>
  </si>
  <si>
    <t>Average Beta</t>
  </si>
  <si>
    <t>Average D/E</t>
  </si>
  <si>
    <t>Sector 1</t>
  </si>
  <si>
    <t>Sector 2</t>
  </si>
  <si>
    <t>% of Income</t>
  </si>
  <si>
    <t>Firm</t>
  </si>
  <si>
    <t>Unlevered Betas</t>
  </si>
  <si>
    <t>Weighted Average Beta</t>
  </si>
  <si>
    <t xml:space="preserve">Final Estimated Beta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</si>
</sst>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[$$-409]#,##0.00"/>
    <numFmt numFmtId="166" formatCode="_(&quot;$&quot;* #,##0.0000000_);_(&quot;$&quot;* \(#,##0.0000000\);_(&quot;$&quot;* &quot;-&quot;???????_);_(@_)"/>
    <numFmt numFmtId="167" formatCode="0.000%"/>
    <numFmt numFmtId="168" formatCode="&quot;$&quot;#,##0.00"/>
    <numFmt numFmtId="169" formatCode="_(* #,##0_);_(* \(#,##0\);_(* &quot;-&quot;??_);_(@_)"/>
    <numFmt numFmtId="170" formatCode="_(* #,##0.0_);_(* \(#,##0.0\);_(* &quot;-&quot;??_);_(@_)"/>
    <numFmt numFmtId="171" formatCode="0.0%"/>
    <numFmt numFmtId="172" formatCode="0.000"/>
    <numFmt numFmtId="173" formatCode="&quot;$&quot;#,##0"/>
    <numFmt numFmtId="174" formatCode="&quot;$&quot;#,##0.0000"/>
    <numFmt numFmtId="175" formatCode="_(* #,##0.0000_);_(* \(#,##0.0000\);_(* &quot;-&quot;??_);_(@_)"/>
    <numFmt numFmtId="176" formatCode="&quot;$&quot;#,##0.0_);[Red]\(&quot;$&quot;#,##0.0\)"/>
  </numFmts>
  <fonts count="3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  <font>
      <sz val="26"/>
      <color rgb="FF000000"/>
      <name val="Avenir Next LT Pro"/>
      <family val="2"/>
    </font>
    <font>
      <sz val="11"/>
      <color theme="1"/>
      <name val="Avenir Next LT Pro"/>
      <family val="2"/>
    </font>
    <font>
      <sz val="11"/>
      <name val="Avenir Next LT Pro"/>
      <family val="2"/>
    </font>
    <font>
      <b/>
      <sz val="11"/>
      <color theme="0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2"/>
      <name val="Avenir Next LT Pro"/>
      <family val="2"/>
    </font>
    <font>
      <b/>
      <sz val="26"/>
      <color theme="1"/>
      <name val="Avenir Next LT Pro"/>
      <family val="2"/>
    </font>
    <font>
      <b/>
      <sz val="11"/>
      <name val="Avenir Next LT Pro"/>
      <family val="2"/>
    </font>
    <font>
      <b/>
      <sz val="11"/>
      <color rgb="FF000000"/>
      <name val="Avenir Next LT Pro"/>
      <family val="2"/>
    </font>
    <font>
      <sz val="26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0"/>
      <name val="Avenir Next LT Pro"/>
      <family val="2"/>
    </font>
    <font>
      <sz val="11"/>
      <color theme="0"/>
      <name val="Avenir Next LT Pro"/>
      <family val="2"/>
    </font>
    <font>
      <sz val="12"/>
      <color theme="2"/>
      <name val="Avenir Next LT Pro"/>
      <family val="2"/>
    </font>
    <font>
      <sz val="11"/>
      <color theme="2"/>
      <name val="Avenir Next LT Pro"/>
      <family val="2"/>
    </font>
    <font>
      <b/>
      <sz val="11"/>
      <color rgb="FFFF0000"/>
      <name val="Avenir Next LT Pro"/>
      <family val="2"/>
    </font>
    <font>
      <sz val="11"/>
      <color rgb="FFFF0000"/>
      <name val="Avenir Next LT Pro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venir Next LT Pro"/>
      <family val="2"/>
    </font>
    <font>
      <sz val="11"/>
      <color theme="6"/>
      <name val="Avenir Next LT Pro"/>
      <family val="2"/>
    </font>
    <font>
      <sz val="11"/>
      <color theme="9" tint="-0.249977111117893"/>
      <name val="Avenir Next LT Pro"/>
      <family val="2"/>
    </font>
    <font>
      <sz val="11"/>
      <color rgb="FF00B050"/>
      <name val="Avenir Next LT Pro"/>
      <family val="2"/>
    </font>
    <font>
      <sz val="11"/>
      <color theme="9"/>
      <name val="Avenir Next LT Pro"/>
      <family val="2"/>
    </font>
    <font>
      <sz val="11"/>
      <color theme="6" tint="0.39997558519241921"/>
      <name val="Avenir Next LT Pro"/>
      <family val="2"/>
    </font>
    <font>
      <sz val="12"/>
      <color theme="1"/>
      <name val="Aptos Display"/>
      <family val="2"/>
      <scheme val="major"/>
    </font>
    <font>
      <sz val="12"/>
      <color rgb="FF00B050"/>
      <name val="Aptos Display"/>
      <family val="2"/>
      <scheme val="major"/>
    </font>
    <font>
      <sz val="11"/>
      <color theme="6" tint="-0.249977111117893"/>
      <name val="Avenir Next LT Pro"/>
      <family val="2"/>
    </font>
    <font>
      <sz val="14"/>
      <color theme="1"/>
      <name val="Avenir Next LT Pro"/>
      <family val="2"/>
    </font>
    <font>
      <sz val="11"/>
      <color rgb="FFC00000"/>
      <name val="Avenir Next LT Pro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BF1C2"/>
        <bgColor indexed="64"/>
      </patternFill>
    </fill>
    <fill>
      <patternFill patternType="solid">
        <fgColor theme="6" tint="0.59999389629810485"/>
        <bgColor indexed="64"/>
      </patternFill>
    </fill>
  </fills>
  <borders count="10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 style="thick">
        <color indexed="64"/>
      </top>
      <bottom/>
      <diagonal/>
    </border>
    <border>
      <left style="thick">
        <color rgb="FF000000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/>
      <right style="thick">
        <color indexed="64"/>
      </right>
      <top style="thick">
        <color rgb="FF000000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ck">
        <color indexed="64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indexed="64"/>
      </right>
      <top style="thick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indexed="64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9">
    <xf numFmtId="0" fontId="0" fillId="0" borderId="0" xfId="0"/>
    <xf numFmtId="10" fontId="0" fillId="0" borderId="0" xfId="3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18" xfId="0" applyFont="1" applyBorder="1"/>
    <xf numFmtId="0" fontId="4" fillId="0" borderId="20" xfId="0" applyFont="1" applyBorder="1"/>
    <xf numFmtId="0" fontId="4" fillId="5" borderId="18" xfId="0" applyFont="1" applyFill="1" applyBorder="1"/>
    <xf numFmtId="0" fontId="4" fillId="0" borderId="22" xfId="0" applyFont="1" applyBorder="1"/>
    <xf numFmtId="0" fontId="4" fillId="5" borderId="41" xfId="0" applyFont="1" applyFill="1" applyBorder="1"/>
    <xf numFmtId="44" fontId="4" fillId="0" borderId="0" xfId="2" applyFont="1"/>
    <xf numFmtId="0" fontId="4" fillId="5" borderId="23" xfId="0" applyFont="1" applyFill="1" applyBorder="1"/>
    <xf numFmtId="0" fontId="4" fillId="5" borderId="13" xfId="0" applyFont="1" applyFill="1" applyBorder="1"/>
    <xf numFmtId="0" fontId="4" fillId="0" borderId="42" xfId="0" applyFont="1" applyBorder="1"/>
    <xf numFmtId="0" fontId="4" fillId="0" borderId="13" xfId="0" applyFont="1" applyBorder="1"/>
    <xf numFmtId="9" fontId="4" fillId="0" borderId="21" xfId="3" applyFont="1" applyBorder="1"/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8" borderId="25" xfId="0" applyFont="1" applyFill="1" applyBorder="1" applyAlignment="1">
      <alignment horizontal="center" vertical="center"/>
    </xf>
    <xf numFmtId="8" fontId="4" fillId="0" borderId="0" xfId="0" applyNumberFormat="1" applyFont="1"/>
    <xf numFmtId="10" fontId="4" fillId="0" borderId="0" xfId="0" applyNumberFormat="1" applyFont="1"/>
    <xf numFmtId="0" fontId="4" fillId="0" borderId="31" xfId="0" applyFont="1" applyBorder="1" applyAlignment="1">
      <alignment horizontal="center" vertical="center"/>
    </xf>
    <xf numFmtId="43" fontId="4" fillId="0" borderId="0" xfId="0" applyNumberFormat="1" applyFont="1"/>
    <xf numFmtId="9" fontId="4" fillId="0" borderId="0" xfId="0" applyNumberFormat="1" applyFont="1"/>
    <xf numFmtId="164" fontId="6" fillId="2" borderId="7" xfId="0" applyNumberFormat="1" applyFont="1" applyFill="1" applyBorder="1"/>
    <xf numFmtId="2" fontId="4" fillId="0" borderId="0" xfId="0" applyNumberFormat="1" applyFont="1"/>
    <xf numFmtId="0" fontId="4" fillId="0" borderId="33" xfId="0" applyFont="1" applyBorder="1" applyAlignment="1">
      <alignment horizontal="center" vertical="center"/>
    </xf>
    <xf numFmtId="44" fontId="6" fillId="2" borderId="34" xfId="2" applyFont="1" applyFill="1" applyBorder="1"/>
    <xf numFmtId="10" fontId="6" fillId="2" borderId="7" xfId="0" applyNumberFormat="1" applyFont="1" applyFill="1" applyBorder="1"/>
    <xf numFmtId="0" fontId="4" fillId="5" borderId="25" xfId="0" applyFont="1" applyFill="1" applyBorder="1" applyAlignment="1">
      <alignment horizontal="center" vertical="center"/>
    </xf>
    <xf numFmtId="44" fontId="6" fillId="2" borderId="35" xfId="2" applyFont="1" applyFill="1" applyBorder="1"/>
    <xf numFmtId="0" fontId="4" fillId="9" borderId="36" xfId="0" applyFont="1" applyFill="1" applyBorder="1"/>
    <xf numFmtId="168" fontId="6" fillId="2" borderId="38" xfId="0" applyNumberFormat="1" applyFont="1" applyFill="1" applyBorder="1"/>
    <xf numFmtId="164" fontId="6" fillId="2" borderId="8" xfId="0" applyNumberFormat="1" applyFont="1" applyFill="1" applyBorder="1"/>
    <xf numFmtId="2" fontId="6" fillId="2" borderId="7" xfId="0" applyNumberFormat="1" applyFont="1" applyFill="1" applyBorder="1"/>
    <xf numFmtId="0" fontId="4" fillId="0" borderId="29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0" fontId="4" fillId="0" borderId="0" xfId="3" applyNumberFormat="1" applyFont="1"/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2" xfId="0" applyFont="1" applyBorder="1"/>
    <xf numFmtId="44" fontId="6" fillId="2" borderId="25" xfId="2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4" fontId="6" fillId="2" borderId="15" xfId="0" applyNumberFormat="1" applyFont="1" applyFill="1" applyBorder="1"/>
    <xf numFmtId="44" fontId="6" fillId="2" borderId="16" xfId="0" applyNumberFormat="1" applyFont="1" applyFill="1" applyBorder="1"/>
    <xf numFmtId="44" fontId="6" fillId="2" borderId="32" xfId="2" applyFont="1" applyFill="1" applyBorder="1"/>
    <xf numFmtId="44" fontId="6" fillId="2" borderId="13" xfId="0" applyNumberFormat="1" applyFont="1" applyFill="1" applyBorder="1"/>
    <xf numFmtId="44" fontId="6" fillId="2" borderId="13" xfId="0" quotePrefix="1" applyNumberFormat="1" applyFont="1" applyFill="1" applyBorder="1"/>
    <xf numFmtId="44" fontId="6" fillId="2" borderId="13" xfId="2" applyFont="1" applyFill="1" applyBorder="1"/>
    <xf numFmtId="0" fontId="4" fillId="9" borderId="7" xfId="0" applyFont="1" applyFill="1" applyBorder="1"/>
    <xf numFmtId="10" fontId="6" fillId="2" borderId="39" xfId="0" applyNumberFormat="1" applyFont="1" applyFill="1" applyBorder="1"/>
    <xf numFmtId="44" fontId="6" fillId="2" borderId="19" xfId="2" applyFont="1" applyFill="1" applyBorder="1"/>
    <xf numFmtId="44" fontId="4" fillId="0" borderId="20" xfId="0" applyNumberFormat="1" applyFont="1" applyBorder="1" applyAlignment="1">
      <alignment horizontal="center" vertical="center"/>
    </xf>
    <xf numFmtId="9" fontId="7" fillId="0" borderId="21" xfId="3" applyFont="1" applyBorder="1"/>
    <xf numFmtId="166" fontId="4" fillId="0" borderId="20" xfId="0" applyNumberFormat="1" applyFont="1" applyBorder="1" applyAlignment="1">
      <alignment horizontal="center" vertical="center"/>
    </xf>
    <xf numFmtId="44" fontId="6" fillId="2" borderId="21" xfId="0" applyNumberFormat="1" applyFont="1" applyFill="1" applyBorder="1"/>
    <xf numFmtId="9" fontId="7" fillId="0" borderId="16" xfId="3" applyFont="1" applyBorder="1"/>
    <xf numFmtId="44" fontId="6" fillId="2" borderId="17" xfId="0" applyNumberFormat="1" applyFont="1" applyFill="1" applyBorder="1"/>
    <xf numFmtId="44" fontId="6" fillId="2" borderId="23" xfId="0" applyNumberFormat="1" applyFont="1" applyFill="1" applyBorder="1"/>
    <xf numFmtId="9" fontId="6" fillId="2" borderId="38" xfId="0" applyNumberFormat="1" applyFont="1" applyFill="1" applyBorder="1"/>
    <xf numFmtId="0" fontId="4" fillId="0" borderId="24" xfId="0" applyFont="1" applyBorder="1"/>
    <xf numFmtId="0" fontId="4" fillId="0" borderId="0" xfId="0" applyFont="1" applyAlignment="1">
      <alignment vertical="center"/>
    </xf>
    <xf numFmtId="44" fontId="4" fillId="0" borderId="13" xfId="2" applyFont="1" applyBorder="1"/>
    <xf numFmtId="168" fontId="6" fillId="2" borderId="39" xfId="0" applyNumberFormat="1" applyFont="1" applyFill="1" applyBorder="1"/>
    <xf numFmtId="10" fontId="6" fillId="2" borderId="17" xfId="3" applyNumberFormat="1" applyFont="1" applyFill="1" applyBorder="1"/>
    <xf numFmtId="10" fontId="6" fillId="2" borderId="13" xfId="3" applyNumberFormat="1" applyFont="1" applyFill="1" applyBorder="1"/>
    <xf numFmtId="8" fontId="6" fillId="2" borderId="7" xfId="0" applyNumberFormat="1" applyFont="1" applyFill="1" applyBorder="1"/>
    <xf numFmtId="168" fontId="8" fillId="2" borderId="25" xfId="0" applyNumberFormat="1" applyFont="1" applyFill="1" applyBorder="1"/>
    <xf numFmtId="0" fontId="4" fillId="5" borderId="25" xfId="0" applyFont="1" applyFill="1" applyBorder="1"/>
    <xf numFmtId="0" fontId="7" fillId="0" borderId="0" xfId="0" applyFont="1" applyAlignment="1">
      <alignment horizontal="center" vertical="center"/>
    </xf>
    <xf numFmtId="0" fontId="4" fillId="3" borderId="25" xfId="0" applyFont="1" applyFill="1" applyBorder="1"/>
    <xf numFmtId="43" fontId="7" fillId="0" borderId="0" xfId="0" applyNumberFormat="1" applyFont="1" applyAlignment="1">
      <alignment horizontal="center" vertical="center"/>
    </xf>
    <xf numFmtId="44" fontId="6" fillId="2" borderId="25" xfId="0" applyNumberFormat="1" applyFont="1" applyFill="1" applyBorder="1"/>
    <xf numFmtId="10" fontId="6" fillId="2" borderId="25" xfId="3" applyNumberFormat="1" applyFont="1" applyFill="1" applyBorder="1"/>
    <xf numFmtId="0" fontId="4" fillId="0" borderId="23" xfId="0" applyFont="1" applyBorder="1"/>
    <xf numFmtId="0" fontId="4" fillId="0" borderId="27" xfId="0" applyFont="1" applyBorder="1"/>
    <xf numFmtId="44" fontId="4" fillId="0" borderId="27" xfId="2" applyFont="1" applyBorder="1"/>
    <xf numFmtId="0" fontId="4" fillId="0" borderId="21" xfId="0" applyFont="1" applyBorder="1"/>
    <xf numFmtId="0" fontId="4" fillId="5" borderId="26" xfId="0" applyFont="1" applyFill="1" applyBorder="1"/>
    <xf numFmtId="0" fontId="4" fillId="5" borderId="17" xfId="0" applyFont="1" applyFill="1" applyBorder="1"/>
    <xf numFmtId="0" fontId="4" fillId="4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3" fontId="4" fillId="0" borderId="46" xfId="1" applyFont="1" applyBorder="1"/>
    <xf numFmtId="43" fontId="4" fillId="0" borderId="46" xfId="0" applyNumberFormat="1" applyFont="1" applyBorder="1"/>
    <xf numFmtId="0" fontId="4" fillId="0" borderId="46" xfId="0" applyFont="1" applyBorder="1"/>
    <xf numFmtId="0" fontId="4" fillId="0" borderId="19" xfId="0" applyFont="1" applyBorder="1"/>
    <xf numFmtId="10" fontId="4" fillId="0" borderId="21" xfId="0" applyNumberFormat="1" applyFont="1" applyBorder="1"/>
    <xf numFmtId="10" fontId="4" fillId="0" borderId="16" xfId="0" applyNumberFormat="1" applyFont="1" applyBorder="1"/>
    <xf numFmtId="8" fontId="4" fillId="5" borderId="13" xfId="0" applyNumberFormat="1" applyFont="1" applyFill="1" applyBorder="1"/>
    <xf numFmtId="2" fontId="4" fillId="0" borderId="21" xfId="0" applyNumberFormat="1" applyFont="1" applyBorder="1"/>
    <xf numFmtId="0" fontId="4" fillId="0" borderId="16" xfId="0" applyFont="1" applyBorder="1"/>
    <xf numFmtId="43" fontId="4" fillId="5" borderId="13" xfId="1" applyFont="1" applyFill="1" applyBorder="1"/>
    <xf numFmtId="8" fontId="4" fillId="0" borderId="0" xfId="0" applyNumberFormat="1" applyFont="1" applyAlignment="1">
      <alignment horizontal="center" vertical="center"/>
    </xf>
    <xf numFmtId="8" fontId="4" fillId="0" borderId="20" xfId="0" applyNumberFormat="1" applyFont="1" applyBorder="1" applyAlignment="1">
      <alignment horizontal="center" vertical="center"/>
    </xf>
    <xf numFmtId="8" fontId="4" fillId="0" borderId="27" xfId="0" applyNumberFormat="1" applyFont="1" applyBorder="1"/>
    <xf numFmtId="165" fontId="4" fillId="0" borderId="27" xfId="0" applyNumberFormat="1" applyFont="1" applyBorder="1"/>
    <xf numFmtId="0" fontId="4" fillId="0" borderId="47" xfId="0" applyFont="1" applyBorder="1"/>
    <xf numFmtId="0" fontId="4" fillId="7" borderId="13" xfId="0" applyFont="1" applyFill="1" applyBorder="1"/>
    <xf numFmtId="165" fontId="4" fillId="0" borderId="0" xfId="0" applyNumberFormat="1" applyFont="1" applyAlignment="1">
      <alignment horizontal="center" vertical="center"/>
    </xf>
    <xf numFmtId="9" fontId="4" fillId="0" borderId="22" xfId="0" applyNumberFormat="1" applyFont="1" applyBorder="1" applyAlignment="1">
      <alignment horizontal="center" vertical="center"/>
    </xf>
    <xf numFmtId="8" fontId="4" fillId="0" borderId="42" xfId="0" applyNumberFormat="1" applyFont="1" applyBorder="1"/>
    <xf numFmtId="0" fontId="4" fillId="0" borderId="16" xfId="0" applyFont="1" applyBorder="1" applyAlignment="1">
      <alignment horizontal="left" vertical="center"/>
    </xf>
    <xf numFmtId="10" fontId="4" fillId="0" borderId="27" xfId="3" applyNumberFormat="1" applyFont="1" applyBorder="1"/>
    <xf numFmtId="0" fontId="8" fillId="2" borderId="13" xfId="3" applyNumberFormat="1" applyFont="1" applyFill="1" applyBorder="1"/>
    <xf numFmtId="167" fontId="8" fillId="2" borderId="23" xfId="3" applyNumberFormat="1" applyFont="1" applyFill="1" applyBorder="1"/>
    <xf numFmtId="44" fontId="4" fillId="0" borderId="17" xfId="2" applyFont="1" applyBorder="1"/>
    <xf numFmtId="9" fontId="4" fillId="0" borderId="13" xfId="3" applyFont="1" applyBorder="1"/>
    <xf numFmtId="9" fontId="4" fillId="0" borderId="13" xfId="3" applyFont="1" applyFill="1" applyBorder="1"/>
    <xf numFmtId="9" fontId="4" fillId="0" borderId="21" xfId="3" applyFont="1" applyFill="1" applyBorder="1"/>
    <xf numFmtId="44" fontId="4" fillId="0" borderId="0" xfId="0" applyNumberFormat="1" applyFont="1"/>
    <xf numFmtId="0" fontId="4" fillId="0" borderId="50" xfId="0" applyFont="1" applyBorder="1"/>
    <xf numFmtId="0" fontId="0" fillId="0" borderId="42" xfId="0" applyBorder="1"/>
    <xf numFmtId="10" fontId="6" fillId="6" borderId="28" xfId="0" applyNumberFormat="1" applyFont="1" applyFill="1" applyBorder="1"/>
    <xf numFmtId="0" fontId="4" fillId="0" borderId="4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7" fillId="0" borderId="2" xfId="0" applyNumberFormat="1" applyFont="1" applyBorder="1"/>
    <xf numFmtId="10" fontId="7" fillId="0" borderId="4" xfId="0" applyNumberFormat="1" applyFont="1" applyBorder="1"/>
    <xf numFmtId="1" fontId="7" fillId="0" borderId="4" xfId="0" applyNumberFormat="1" applyFont="1" applyBorder="1"/>
    <xf numFmtId="164" fontId="7" fillId="0" borderId="4" xfId="0" applyNumberFormat="1" applyFont="1" applyBorder="1"/>
    <xf numFmtId="0" fontId="7" fillId="0" borderId="0" xfId="0" applyFont="1"/>
    <xf numFmtId="44" fontId="7" fillId="0" borderId="10" xfId="2" applyFont="1" applyBorder="1"/>
    <xf numFmtId="44" fontId="7" fillId="0" borderId="12" xfId="0" applyNumberFormat="1" applyFont="1" applyBorder="1"/>
    <xf numFmtId="164" fontId="7" fillId="0" borderId="12" xfId="0" applyNumberFormat="1" applyFont="1" applyBorder="1"/>
    <xf numFmtId="167" fontId="7" fillId="0" borderId="12" xfId="0" applyNumberFormat="1" applyFont="1" applyBorder="1"/>
    <xf numFmtId="43" fontId="7" fillId="0" borderId="12" xfId="1" applyFont="1" applyBorder="1"/>
    <xf numFmtId="1" fontId="7" fillId="0" borderId="12" xfId="0" applyNumberFormat="1" applyFont="1" applyBorder="1"/>
    <xf numFmtId="44" fontId="7" fillId="0" borderId="0" xfId="0" applyNumberFormat="1" applyFont="1"/>
    <xf numFmtId="0" fontId="7" fillId="0" borderId="24" xfId="0" applyFont="1" applyBorder="1"/>
    <xf numFmtId="44" fontId="7" fillId="0" borderId="13" xfId="2" applyFont="1" applyBorder="1"/>
    <xf numFmtId="0" fontId="7" fillId="0" borderId="13" xfId="0" applyFont="1" applyBorder="1"/>
    <xf numFmtId="10" fontId="7" fillId="0" borderId="13" xfId="3" applyNumberFormat="1" applyFont="1" applyBorder="1"/>
    <xf numFmtId="10" fontId="10" fillId="0" borderId="25" xfId="3" applyNumberFormat="1" applyFont="1" applyFill="1" applyBorder="1"/>
    <xf numFmtId="10" fontId="7" fillId="0" borderId="25" xfId="3" applyNumberFormat="1" applyFont="1" applyBorder="1"/>
    <xf numFmtId="169" fontId="7" fillId="0" borderId="25" xfId="1" applyNumberFormat="1" applyFont="1" applyBorder="1"/>
    <xf numFmtId="44" fontId="7" fillId="0" borderId="25" xfId="2" applyFont="1" applyBorder="1"/>
    <xf numFmtId="9" fontId="7" fillId="0" borderId="0" xfId="0" applyNumberFormat="1" applyFont="1"/>
    <xf numFmtId="44" fontId="7" fillId="0" borderId="23" xfId="2" applyFont="1" applyBorder="1"/>
    <xf numFmtId="44" fontId="7" fillId="0" borderId="27" xfId="2" applyFont="1" applyBorder="1"/>
    <xf numFmtId="10" fontId="7" fillId="0" borderId="17" xfId="3" applyNumberFormat="1" applyFont="1" applyBorder="1"/>
    <xf numFmtId="169" fontId="10" fillId="0" borderId="13" xfId="1" applyNumberFormat="1" applyFont="1" applyFill="1" applyBorder="1"/>
    <xf numFmtId="9" fontId="7" fillId="0" borderId="19" xfId="3" applyFont="1" applyBorder="1"/>
    <xf numFmtId="10" fontId="7" fillId="0" borderId="19" xfId="3" applyNumberFormat="1" applyFont="1" applyBorder="1"/>
    <xf numFmtId="10" fontId="7" fillId="0" borderId="21" xfId="3" applyNumberFormat="1" applyFont="1" applyBorder="1"/>
    <xf numFmtId="10" fontId="7" fillId="0" borderId="0" xfId="3" applyNumberFormat="1" applyFont="1" applyBorder="1"/>
    <xf numFmtId="10" fontId="6" fillId="2" borderId="13" xfId="0" applyNumberFormat="1" applyFont="1" applyFill="1" applyBorder="1"/>
    <xf numFmtId="43" fontId="6" fillId="2" borderId="23" xfId="1" applyFont="1" applyFill="1" applyBorder="1"/>
    <xf numFmtId="10" fontId="6" fillId="2" borderId="23" xfId="0" applyNumberFormat="1" applyFont="1" applyFill="1" applyBorder="1"/>
    <xf numFmtId="0" fontId="7" fillId="0" borderId="19" xfId="0" applyFont="1" applyBorder="1"/>
    <xf numFmtId="0" fontId="7" fillId="0" borderId="21" xfId="0" applyFont="1" applyBorder="1"/>
    <xf numFmtId="10" fontId="7" fillId="0" borderId="21" xfId="0" applyNumberFormat="1" applyFont="1" applyBorder="1"/>
    <xf numFmtId="9" fontId="7" fillId="0" borderId="16" xfId="0" applyNumberFormat="1" applyFont="1" applyBorder="1"/>
    <xf numFmtId="165" fontId="7" fillId="0" borderId="19" xfId="0" applyNumberFormat="1" applyFont="1" applyBorder="1"/>
    <xf numFmtId="0" fontId="7" fillId="0" borderId="16" xfId="0" applyFont="1" applyBorder="1"/>
    <xf numFmtId="165" fontId="6" fillId="2" borderId="13" xfId="0" applyNumberFormat="1" applyFont="1" applyFill="1" applyBorder="1"/>
    <xf numFmtId="165" fontId="7" fillId="0" borderId="16" xfId="0" applyNumberFormat="1" applyFont="1" applyBorder="1"/>
    <xf numFmtId="10" fontId="6" fillId="2" borderId="21" xfId="0" applyNumberFormat="1" applyFont="1" applyFill="1" applyBorder="1"/>
    <xf numFmtId="10" fontId="6" fillId="2" borderId="23" xfId="3" applyNumberFormat="1" applyFont="1" applyFill="1" applyBorder="1"/>
    <xf numFmtId="0" fontId="6" fillId="2" borderId="19" xfId="3" applyNumberFormat="1" applyFont="1" applyFill="1" applyBorder="1"/>
    <xf numFmtId="0" fontId="6" fillId="2" borderId="48" xfId="3" applyNumberFormat="1" applyFont="1" applyFill="1" applyBorder="1"/>
    <xf numFmtId="10" fontId="6" fillId="2" borderId="48" xfId="3" applyNumberFormat="1" applyFont="1" applyFill="1" applyBorder="1"/>
    <xf numFmtId="10" fontId="6" fillId="2" borderId="16" xfId="3" applyNumberFormat="1" applyFont="1" applyFill="1" applyBorder="1"/>
    <xf numFmtId="165" fontId="7" fillId="0" borderId="21" xfId="0" applyNumberFormat="1" applyFont="1" applyBorder="1"/>
    <xf numFmtId="168" fontId="6" fillId="2" borderId="21" xfId="0" applyNumberFormat="1" applyFont="1" applyFill="1" applyBorder="1"/>
    <xf numFmtId="1" fontId="7" fillId="0" borderId="21" xfId="0" applyNumberFormat="1" applyFont="1" applyBorder="1"/>
    <xf numFmtId="8" fontId="6" fillId="2" borderId="23" xfId="0" applyNumberFormat="1" applyFont="1" applyFill="1" applyBorder="1"/>
    <xf numFmtId="168" fontId="6" fillId="2" borderId="21" xfId="2" applyNumberFormat="1" applyFont="1" applyFill="1" applyBorder="1"/>
    <xf numFmtId="10" fontId="7" fillId="0" borderId="16" xfId="0" applyNumberFormat="1" applyFont="1" applyBorder="1"/>
    <xf numFmtId="44" fontId="7" fillId="0" borderId="32" xfId="2" applyFont="1" applyBorder="1"/>
    <xf numFmtId="9" fontId="7" fillId="0" borderId="32" xfId="3" applyFont="1" applyBorder="1"/>
    <xf numFmtId="0" fontId="7" fillId="0" borderId="30" xfId="0" applyFont="1" applyBorder="1"/>
    <xf numFmtId="10" fontId="7" fillId="0" borderId="32" xfId="3" applyNumberFormat="1" applyFont="1" applyBorder="1"/>
    <xf numFmtId="10" fontId="7" fillId="0" borderId="34" xfId="3" applyNumberFormat="1" applyFont="1" applyBorder="1"/>
    <xf numFmtId="44" fontId="7" fillId="0" borderId="30" xfId="2" applyFont="1" applyBorder="1"/>
    <xf numFmtId="44" fontId="7" fillId="0" borderId="34" xfId="2" applyFont="1" applyBorder="1"/>
    <xf numFmtId="10" fontId="7" fillId="0" borderId="37" xfId="0" applyNumberFormat="1" applyFont="1" applyBorder="1"/>
    <xf numFmtId="168" fontId="11" fillId="0" borderId="8" xfId="0" applyNumberFormat="1" applyFont="1" applyBorder="1"/>
    <xf numFmtId="10" fontId="7" fillId="0" borderId="8" xfId="0" applyNumberFormat="1" applyFont="1" applyBorder="1"/>
    <xf numFmtId="168" fontId="7" fillId="0" borderId="38" xfId="0" applyNumberFormat="1" applyFont="1" applyBorder="1"/>
    <xf numFmtId="168" fontId="7" fillId="0" borderId="0" xfId="0" applyNumberFormat="1" applyFont="1"/>
    <xf numFmtId="2" fontId="7" fillId="0" borderId="8" xfId="0" applyNumberFormat="1" applyFont="1" applyBorder="1"/>
    <xf numFmtId="0" fontId="7" fillId="0" borderId="37" xfId="0" applyFont="1" applyBorder="1"/>
    <xf numFmtId="0" fontId="7" fillId="0" borderId="8" xfId="0" applyFont="1" applyBorder="1"/>
    <xf numFmtId="0" fontId="7" fillId="0" borderId="38" xfId="0" applyFont="1" applyBorder="1"/>
    <xf numFmtId="168" fontId="7" fillId="0" borderId="37" xfId="0" applyNumberFormat="1" applyFont="1" applyBorder="1"/>
    <xf numFmtId="168" fontId="7" fillId="0" borderId="8" xfId="0" applyNumberFormat="1" applyFont="1" applyBorder="1"/>
    <xf numFmtId="2" fontId="7" fillId="0" borderId="37" xfId="0" applyNumberFormat="1" applyFont="1" applyBorder="1"/>
    <xf numFmtId="9" fontId="7" fillId="0" borderId="8" xfId="0" applyNumberFormat="1" applyFont="1" applyBorder="1"/>
    <xf numFmtId="0" fontId="4" fillId="5" borderId="14" xfId="0" applyFont="1" applyFill="1" applyBorder="1" applyAlignment="1">
      <alignment vertical="center"/>
    </xf>
    <xf numFmtId="0" fontId="5" fillId="5" borderId="13" xfId="0" applyFont="1" applyFill="1" applyBorder="1" applyAlignment="1">
      <alignment horizontal="left" vertical="center"/>
    </xf>
    <xf numFmtId="0" fontId="4" fillId="5" borderId="7" xfId="0" applyFont="1" applyFill="1" applyBorder="1"/>
    <xf numFmtId="0" fontId="4" fillId="5" borderId="8" xfId="0" applyFont="1" applyFill="1" applyBorder="1"/>
    <xf numFmtId="0" fontId="4" fillId="13" borderId="0" xfId="0" applyFont="1" applyFill="1"/>
    <xf numFmtId="10" fontId="6" fillId="2" borderId="0" xfId="0" applyNumberFormat="1" applyFont="1" applyFill="1"/>
    <xf numFmtId="10" fontId="7" fillId="0" borderId="0" xfId="0" applyNumberFormat="1" applyFont="1"/>
    <xf numFmtId="2" fontId="6" fillId="2" borderId="0" xfId="0" applyNumberFormat="1" applyFont="1" applyFill="1"/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14" fillId="2" borderId="2" xfId="2" applyFont="1" applyFill="1" applyBorder="1"/>
    <xf numFmtId="0" fontId="13" fillId="0" borderId="3" xfId="0" applyFont="1" applyBorder="1" applyAlignment="1">
      <alignment horizontal="center" vertical="center"/>
    </xf>
    <xf numFmtId="44" fontId="13" fillId="0" borderId="4" xfId="2" applyFont="1" applyBorder="1"/>
    <xf numFmtId="0" fontId="13" fillId="0" borderId="5" xfId="0" applyFont="1" applyBorder="1" applyAlignment="1">
      <alignment horizontal="center" vertical="center"/>
    </xf>
    <xf numFmtId="44" fontId="13" fillId="0" borderId="6" xfId="2" applyFont="1" applyBorder="1"/>
    <xf numFmtId="0" fontId="13" fillId="5" borderId="43" xfId="0" applyFont="1" applyFill="1" applyBorder="1"/>
    <xf numFmtId="2" fontId="14" fillId="2" borderId="44" xfId="0" applyNumberFormat="1" applyFont="1" applyFill="1" applyBorder="1"/>
    <xf numFmtId="0" fontId="13" fillId="5" borderId="13" xfId="0" applyFont="1" applyFill="1" applyBorder="1"/>
    <xf numFmtId="2" fontId="14" fillId="2" borderId="21" xfId="0" applyNumberFormat="1" applyFont="1" applyFill="1" applyBorder="1"/>
    <xf numFmtId="168" fontId="14" fillId="2" borderId="19" xfId="0" applyNumberFormat="1" applyFont="1" applyFill="1" applyBorder="1"/>
    <xf numFmtId="0" fontId="13" fillId="0" borderId="0" xfId="0" applyFont="1"/>
    <xf numFmtId="168" fontId="14" fillId="0" borderId="0" xfId="0" applyNumberFormat="1" applyFont="1"/>
    <xf numFmtId="0" fontId="13" fillId="0" borderId="1" xfId="0" applyFont="1" applyBorder="1" applyAlignment="1">
      <alignment horizontal="center"/>
    </xf>
    <xf numFmtId="164" fontId="13" fillId="0" borderId="2" xfId="0" applyNumberFormat="1" applyFont="1" applyBorder="1"/>
    <xf numFmtId="0" fontId="13" fillId="0" borderId="3" xfId="0" applyFont="1" applyBorder="1" applyAlignment="1">
      <alignment horizontal="center"/>
    </xf>
    <xf numFmtId="164" fontId="13" fillId="0" borderId="4" xfId="0" applyNumberFormat="1" applyFont="1" applyBorder="1"/>
    <xf numFmtId="43" fontId="13" fillId="0" borderId="4" xfId="0" applyNumberFormat="1" applyFont="1" applyBorder="1"/>
    <xf numFmtId="0" fontId="4" fillId="0" borderId="40" xfId="0" applyFont="1" applyBorder="1"/>
    <xf numFmtId="44" fontId="14" fillId="2" borderId="0" xfId="2" applyFont="1" applyFill="1" applyBorder="1"/>
    <xf numFmtId="44" fontId="4" fillId="0" borderId="26" xfId="0" applyNumberFormat="1" applyFont="1" applyBorder="1"/>
    <xf numFmtId="44" fontId="13" fillId="0" borderId="21" xfId="2" applyFont="1" applyBorder="1"/>
    <xf numFmtId="0" fontId="13" fillId="0" borderId="0" xfId="0" applyFont="1" applyAlignment="1">
      <alignment horizontal="center"/>
    </xf>
    <xf numFmtId="164" fontId="13" fillId="0" borderId="21" xfId="0" applyNumberFormat="1" applyFont="1" applyBorder="1"/>
    <xf numFmtId="44" fontId="15" fillId="2" borderId="0" xfId="2" applyFont="1" applyFill="1" applyBorder="1"/>
    <xf numFmtId="164" fontId="4" fillId="0" borderId="26" xfId="0" applyNumberFormat="1" applyFont="1" applyBorder="1"/>
    <xf numFmtId="10" fontId="13" fillId="0" borderId="21" xfId="0" applyNumberFormat="1" applyFont="1" applyBorder="1"/>
    <xf numFmtId="9" fontId="4" fillId="0" borderId="0" xfId="3" applyFont="1"/>
    <xf numFmtId="0" fontId="13" fillId="11" borderId="0" xfId="0" applyFont="1" applyFill="1" applyAlignment="1">
      <alignment horizontal="center"/>
    </xf>
    <xf numFmtId="171" fontId="13" fillId="0" borderId="21" xfId="3" applyNumberFormat="1" applyFont="1" applyBorder="1"/>
    <xf numFmtId="170" fontId="13" fillId="0" borderId="21" xfId="1" applyNumberFormat="1" applyFont="1" applyBorder="1"/>
    <xf numFmtId="0" fontId="13" fillId="11" borderId="22" xfId="0" applyFont="1" applyFill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44" fontId="14" fillId="2" borderId="37" xfId="2" applyFont="1" applyFill="1" applyBorder="1"/>
    <xf numFmtId="44" fontId="4" fillId="0" borderId="39" xfId="0" applyNumberFormat="1" applyFont="1" applyBorder="1"/>
    <xf numFmtId="0" fontId="13" fillId="5" borderId="41" xfId="0" applyFont="1" applyFill="1" applyBorder="1"/>
    <xf numFmtId="44" fontId="14" fillId="2" borderId="7" xfId="2" applyFont="1" applyFill="1" applyBorder="1"/>
    <xf numFmtId="10" fontId="14" fillId="2" borderId="27" xfId="3" applyNumberFormat="1" applyFont="1" applyFill="1" applyBorder="1"/>
    <xf numFmtId="0" fontId="13" fillId="5" borderId="20" xfId="0" applyFont="1" applyFill="1" applyBorder="1"/>
    <xf numFmtId="10" fontId="14" fillId="2" borderId="1" xfId="3" applyNumberFormat="1" applyFont="1" applyFill="1" applyBorder="1"/>
    <xf numFmtId="10" fontId="15" fillId="2" borderId="51" xfId="0" applyNumberFormat="1" applyFont="1" applyFill="1" applyBorder="1"/>
    <xf numFmtId="0" fontId="13" fillId="12" borderId="51" xfId="0" applyFont="1" applyFill="1" applyBorder="1"/>
    <xf numFmtId="10" fontId="14" fillId="2" borderId="39" xfId="3" applyNumberFormat="1" applyFont="1" applyFill="1" applyBorder="1"/>
    <xf numFmtId="0" fontId="13" fillId="12" borderId="5" xfId="0" applyFont="1" applyFill="1" applyBorder="1"/>
    <xf numFmtId="10" fontId="14" fillId="2" borderId="38" xfId="3" applyNumberFormat="1" applyFont="1" applyFill="1" applyBorder="1"/>
    <xf numFmtId="10" fontId="14" fillId="0" borderId="0" xfId="3" applyNumberFormat="1" applyFont="1" applyFill="1" applyBorder="1"/>
    <xf numFmtId="44" fontId="13" fillId="0" borderId="2" xfId="2" applyFont="1" applyBorder="1"/>
    <xf numFmtId="164" fontId="13" fillId="0" borderId="4" xfId="2" applyNumberFormat="1" applyFont="1" applyBorder="1"/>
    <xf numFmtId="0" fontId="13" fillId="5" borderId="7" xfId="0" applyFont="1" applyFill="1" applyBorder="1"/>
    <xf numFmtId="172" fontId="14" fillId="2" borderId="39" xfId="0" applyNumberFormat="1" applyFont="1" applyFill="1" applyBorder="1"/>
    <xf numFmtId="0" fontId="13" fillId="5" borderId="38" xfId="0" applyFont="1" applyFill="1" applyBorder="1"/>
    <xf numFmtId="172" fontId="14" fillId="2" borderId="4" xfId="0" applyNumberFormat="1" applyFont="1" applyFill="1" applyBorder="1"/>
    <xf numFmtId="0" fontId="13" fillId="5" borderId="46" xfId="0" applyFont="1" applyFill="1" applyBorder="1"/>
    <xf numFmtId="2" fontId="14" fillId="2" borderId="55" xfId="0" applyNumberFormat="1" applyFont="1" applyFill="1" applyBorder="1"/>
    <xf numFmtId="0" fontId="13" fillId="5" borderId="51" xfId="0" applyFont="1" applyFill="1" applyBorder="1"/>
    <xf numFmtId="2" fontId="14" fillId="2" borderId="39" xfId="0" applyNumberFormat="1" applyFont="1" applyFill="1" applyBorder="1"/>
    <xf numFmtId="164" fontId="13" fillId="0" borderId="4" xfId="2" applyNumberFormat="1" applyFont="1" applyBorder="1" applyAlignment="1">
      <alignment horizontal="right"/>
    </xf>
    <xf numFmtId="43" fontId="4" fillId="0" borderId="26" xfId="1" applyFont="1" applyBorder="1"/>
    <xf numFmtId="2" fontId="13" fillId="0" borderId="4" xfId="1" applyNumberFormat="1" applyFont="1" applyBorder="1"/>
    <xf numFmtId="168" fontId="15" fillId="2" borderId="19" xfId="2" applyNumberFormat="1" applyFont="1" applyFill="1" applyBorder="1"/>
    <xf numFmtId="168" fontId="16" fillId="2" borderId="0" xfId="0" applyNumberFormat="1" applyFont="1" applyFill="1"/>
    <xf numFmtId="44" fontId="4" fillId="0" borderId="16" xfId="2" applyFont="1" applyBorder="1"/>
    <xf numFmtId="44" fontId="13" fillId="0" borderId="0" xfId="2" applyFont="1" applyBorder="1"/>
    <xf numFmtId="43" fontId="15" fillId="2" borderId="23" xfId="1" applyFont="1" applyFill="1" applyBorder="1"/>
    <xf numFmtId="164" fontId="14" fillId="2" borderId="0" xfId="1" applyNumberFormat="1" applyFont="1" applyFill="1" applyBorder="1"/>
    <xf numFmtId="43" fontId="14" fillId="2" borderId="23" xfId="0" applyNumberFormat="1" applyFont="1" applyFill="1" applyBorder="1"/>
    <xf numFmtId="0" fontId="13" fillId="5" borderId="23" xfId="0" applyFont="1" applyFill="1" applyBorder="1"/>
    <xf numFmtId="2" fontId="14" fillId="2" borderId="23" xfId="0" applyNumberFormat="1" applyFont="1" applyFill="1" applyBorder="1"/>
    <xf numFmtId="0" fontId="4" fillId="0" borderId="17" xfId="0" applyFont="1" applyBorder="1"/>
    <xf numFmtId="0" fontId="14" fillId="2" borderId="56" xfId="2" applyNumberFormat="1" applyFont="1" applyFill="1" applyBorder="1"/>
    <xf numFmtId="44" fontId="4" fillId="0" borderId="19" xfId="2" applyFont="1" applyBorder="1"/>
    <xf numFmtId="44" fontId="4" fillId="0" borderId="21" xfId="2" applyFont="1" applyBorder="1"/>
    <xf numFmtId="44" fontId="17" fillId="2" borderId="19" xfId="2" applyFont="1" applyFill="1" applyBorder="1"/>
    <xf numFmtId="44" fontId="5" fillId="0" borderId="21" xfId="2" applyFont="1" applyFill="1" applyBorder="1"/>
    <xf numFmtId="9" fontId="4" fillId="0" borderId="16" xfId="3" applyFont="1" applyBorder="1"/>
    <xf numFmtId="44" fontId="17" fillId="2" borderId="21" xfId="0" applyNumberFormat="1" applyFont="1" applyFill="1" applyBorder="1"/>
    <xf numFmtId="0" fontId="4" fillId="0" borderId="1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44" fontId="17" fillId="2" borderId="19" xfId="0" applyNumberFormat="1" applyFont="1" applyFill="1" applyBorder="1"/>
    <xf numFmtId="44" fontId="17" fillId="2" borderId="13" xfId="0" applyNumberFormat="1" applyFont="1" applyFill="1" applyBorder="1"/>
    <xf numFmtId="0" fontId="4" fillId="5" borderId="27" xfId="0" applyFont="1" applyFill="1" applyBorder="1"/>
    <xf numFmtId="10" fontId="17" fillId="2" borderId="13" xfId="3" applyNumberFormat="1" applyFont="1" applyFill="1" applyBorder="1"/>
    <xf numFmtId="10" fontId="15" fillId="2" borderId="27" xfId="3" applyNumberFormat="1" applyFont="1" applyFill="1" applyBorder="1"/>
    <xf numFmtId="44" fontId="17" fillId="0" borderId="0" xfId="0" applyNumberFormat="1" applyFont="1"/>
    <xf numFmtId="44" fontId="4" fillId="0" borderId="42" xfId="2" applyFont="1" applyBorder="1"/>
    <xf numFmtId="0" fontId="4" fillId="5" borderId="58" xfId="0" applyFont="1" applyFill="1" applyBorder="1"/>
    <xf numFmtId="170" fontId="15" fillId="2" borderId="18" xfId="1" applyNumberFormat="1" applyFont="1" applyFill="1" applyBorder="1"/>
    <xf numFmtId="164" fontId="4" fillId="0" borderId="2" xfId="0" applyNumberFormat="1" applyFont="1" applyBorder="1"/>
    <xf numFmtId="164" fontId="4" fillId="0" borderId="21" xfId="2" applyNumberFormat="1" applyFont="1" applyBorder="1"/>
    <xf numFmtId="0" fontId="4" fillId="10" borderId="0" xfId="0" applyFont="1" applyFill="1" applyAlignment="1">
      <alignment horizontal="center" vertical="center"/>
    </xf>
    <xf numFmtId="43" fontId="4" fillId="0" borderId="21" xfId="1" applyFont="1" applyBorder="1"/>
    <xf numFmtId="44" fontId="15" fillId="2" borderId="18" xfId="2" applyFont="1" applyFill="1" applyBorder="1"/>
    <xf numFmtId="0" fontId="4" fillId="5" borderId="3" xfId="0" applyFont="1" applyFill="1" applyBorder="1"/>
    <xf numFmtId="43" fontId="15" fillId="2" borderId="57" xfId="1" applyFont="1" applyFill="1" applyBorder="1"/>
    <xf numFmtId="0" fontId="4" fillId="5" borderId="0" xfId="0" applyFont="1" applyFill="1"/>
    <xf numFmtId="2" fontId="15" fillId="2" borderId="38" xfId="1" applyNumberFormat="1" applyFont="1" applyFill="1" applyBorder="1"/>
    <xf numFmtId="0" fontId="4" fillId="0" borderId="45" xfId="0" applyFont="1" applyBorder="1"/>
    <xf numFmtId="168" fontId="15" fillId="2" borderId="13" xfId="0" applyNumberFormat="1" applyFont="1" applyFill="1" applyBorder="1"/>
    <xf numFmtId="168" fontId="15" fillId="2" borderId="21" xfId="0" applyNumberFormat="1" applyFont="1" applyFill="1" applyBorder="1"/>
    <xf numFmtId="0" fontId="4" fillId="0" borderId="1" xfId="0" applyFont="1" applyBorder="1"/>
    <xf numFmtId="44" fontId="4" fillId="0" borderId="2" xfId="2" applyFont="1" applyBorder="1"/>
    <xf numFmtId="0" fontId="4" fillId="0" borderId="3" xfId="0" applyFont="1" applyBorder="1"/>
    <xf numFmtId="44" fontId="4" fillId="0" borderId="4" xfId="2" applyFont="1" applyBorder="1"/>
    <xf numFmtId="44" fontId="4" fillId="0" borderId="6" xfId="2" applyFont="1" applyBorder="1"/>
    <xf numFmtId="0" fontId="4" fillId="5" borderId="51" xfId="0" applyFont="1" applyFill="1" applyBorder="1"/>
    <xf numFmtId="10" fontId="15" fillId="2" borderId="6" xfId="3" applyNumberFormat="1" applyFont="1" applyFill="1" applyBorder="1"/>
    <xf numFmtId="0" fontId="4" fillId="0" borderId="5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0" fontId="15" fillId="2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10" fontId="15" fillId="2" borderId="4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5" borderId="0" xfId="0" applyFont="1" applyFill="1" applyAlignment="1">
      <alignment vertical="center"/>
    </xf>
    <xf numFmtId="10" fontId="18" fillId="0" borderId="0" xfId="0" applyNumberFormat="1" applyFont="1"/>
    <xf numFmtId="168" fontId="18" fillId="0" borderId="0" xfId="0" applyNumberFormat="1" applyFont="1"/>
    <xf numFmtId="2" fontId="18" fillId="0" borderId="0" xfId="0" applyNumberFormat="1" applyFont="1"/>
    <xf numFmtId="2" fontId="7" fillId="0" borderId="0" xfId="0" applyNumberFormat="1" applyFont="1"/>
    <xf numFmtId="43" fontId="7" fillId="0" borderId="0" xfId="0" applyNumberFormat="1" applyFont="1"/>
    <xf numFmtId="173" fontId="18" fillId="0" borderId="0" xfId="0" applyNumberFormat="1" applyFont="1"/>
    <xf numFmtId="168" fontId="4" fillId="0" borderId="0" xfId="0" applyNumberFormat="1" applyFont="1"/>
    <xf numFmtId="10" fontId="19" fillId="0" borderId="0" xfId="0" applyNumberFormat="1" applyFont="1"/>
    <xf numFmtId="2" fontId="19" fillId="0" borderId="0" xfId="0" applyNumberFormat="1" applyFont="1"/>
    <xf numFmtId="8" fontId="4" fillId="5" borderId="0" xfId="0" applyNumberFormat="1" applyFont="1" applyFill="1"/>
    <xf numFmtId="10" fontId="4" fillId="0" borderId="19" xfId="0" applyNumberFormat="1" applyFont="1" applyBorder="1"/>
    <xf numFmtId="168" fontId="19" fillId="0" borderId="0" xfId="0" applyNumberFormat="1" applyFont="1"/>
    <xf numFmtId="0" fontId="4" fillId="0" borderId="0" xfId="0" applyFont="1" applyAlignment="1">
      <alignment wrapText="1"/>
    </xf>
    <xf numFmtId="168" fontId="0" fillId="0" borderId="0" xfId="2" applyNumberFormat="1" applyFont="1" applyAlignment="1">
      <alignment horizontal="center" vertical="center"/>
    </xf>
    <xf numFmtId="0" fontId="0" fillId="0" borderId="47" xfId="0" applyBorder="1"/>
    <xf numFmtId="0" fontId="20" fillId="0" borderId="41" xfId="0" applyFont="1" applyBorder="1" applyAlignment="1">
      <alignment horizontal="center" vertical="top"/>
    </xf>
    <xf numFmtId="0" fontId="20" fillId="0" borderId="13" xfId="0" applyFont="1" applyBorder="1" applyAlignment="1">
      <alignment horizontal="center" vertical="top"/>
    </xf>
    <xf numFmtId="0" fontId="20" fillId="0" borderId="45" xfId="0" applyFont="1" applyBorder="1" applyAlignment="1">
      <alignment horizontal="center" vertical="top"/>
    </xf>
    <xf numFmtId="0" fontId="20" fillId="0" borderId="26" xfId="0" applyFont="1" applyBorder="1" applyAlignment="1">
      <alignment horizontal="center" vertical="top"/>
    </xf>
    <xf numFmtId="168" fontId="0" fillId="0" borderId="47" xfId="2" applyNumberFormat="1" applyFont="1" applyBorder="1" applyAlignment="1">
      <alignment horizontal="center" vertical="center"/>
    </xf>
    <xf numFmtId="168" fontId="0" fillId="0" borderId="19" xfId="2" applyNumberFormat="1" applyFont="1" applyBorder="1" applyAlignment="1">
      <alignment horizontal="center" vertical="center"/>
    </xf>
    <xf numFmtId="168" fontId="0" fillId="0" borderId="21" xfId="2" applyNumberFormat="1" applyFont="1" applyBorder="1" applyAlignment="1">
      <alignment horizontal="center" vertical="center"/>
    </xf>
    <xf numFmtId="168" fontId="0" fillId="0" borderId="16" xfId="2" applyNumberFormat="1" applyFont="1" applyBorder="1" applyAlignment="1">
      <alignment horizontal="center" vertical="center"/>
    </xf>
    <xf numFmtId="164" fontId="0" fillId="0" borderId="21" xfId="2" applyNumberFormat="1" applyFont="1" applyBorder="1"/>
    <xf numFmtId="164" fontId="0" fillId="0" borderId="16" xfId="2" applyNumberFormat="1" applyFont="1" applyBorder="1"/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0" fontId="19" fillId="0" borderId="0" xfId="0" applyNumberFormat="1" applyFont="1" applyAlignment="1">
      <alignment horizontal="center"/>
    </xf>
    <xf numFmtId="0" fontId="19" fillId="0" borderId="0" xfId="0" applyFont="1"/>
    <xf numFmtId="168" fontId="4" fillId="0" borderId="0" xfId="2" applyNumberFormat="1" applyFont="1"/>
    <xf numFmtId="174" fontId="7" fillId="0" borderId="0" xfId="0" applyNumberFormat="1" applyFont="1"/>
    <xf numFmtId="44" fontId="18" fillId="0" borderId="0" xfId="2" applyFont="1"/>
    <xf numFmtId="9" fontId="7" fillId="0" borderId="0" xfId="3" applyFont="1"/>
    <xf numFmtId="8" fontId="7" fillId="0" borderId="0" xfId="0" applyNumberFormat="1" applyFont="1"/>
    <xf numFmtId="10" fontId="7" fillId="0" borderId="0" xfId="3" applyNumberFormat="1" applyFont="1"/>
    <xf numFmtId="10" fontId="4" fillId="0" borderId="27" xfId="0" applyNumberFormat="1" applyFont="1" applyBorder="1"/>
    <xf numFmtId="0" fontId="4" fillId="0" borderId="0" xfId="0" applyFont="1" applyAlignment="1">
      <alignment horizontal="left" vertical="center"/>
    </xf>
    <xf numFmtId="43" fontId="4" fillId="0" borderId="0" xfId="1" applyFont="1"/>
    <xf numFmtId="175" fontId="4" fillId="0" borderId="0" xfId="1" applyNumberFormat="1" applyFont="1"/>
    <xf numFmtId="43" fontId="4" fillId="0" borderId="0" xfId="1" applyFont="1" applyAlignment="1">
      <alignment horizontal="center"/>
    </xf>
    <xf numFmtId="2" fontId="18" fillId="0" borderId="0" xfId="1" applyNumberFormat="1" applyFont="1"/>
    <xf numFmtId="171" fontId="18" fillId="0" borderId="0" xfId="3" applyNumberFormat="1" applyFont="1"/>
    <xf numFmtId="0" fontId="19" fillId="0" borderId="0" xfId="0" applyFont="1" applyAlignment="1">
      <alignment horizontal="right" vertical="center"/>
    </xf>
    <xf numFmtId="168" fontId="18" fillId="0" borderId="0" xfId="0" applyNumberFormat="1" applyFont="1" applyAlignment="1">
      <alignment horizontal="center" vertical="center"/>
    </xf>
    <xf numFmtId="168" fontId="4" fillId="0" borderId="52" xfId="0" applyNumberFormat="1" applyFont="1" applyBorder="1" applyAlignment="1">
      <alignment vertical="center"/>
    </xf>
    <xf numFmtId="168" fontId="4" fillId="0" borderId="0" xfId="0" applyNumberFormat="1" applyFont="1" applyAlignment="1">
      <alignment vertical="center"/>
    </xf>
    <xf numFmtId="168" fontId="4" fillId="0" borderId="53" xfId="0" applyNumberFormat="1" applyFont="1" applyBorder="1" applyAlignment="1">
      <alignment vertical="center"/>
    </xf>
    <xf numFmtId="10" fontId="15" fillId="2" borderId="0" xfId="0" applyNumberFormat="1" applyFont="1" applyFill="1" applyAlignment="1">
      <alignment horizontal="center" vertical="center"/>
    </xf>
    <xf numFmtId="9" fontId="6" fillId="2" borderId="21" xfId="3" applyFont="1" applyFill="1" applyBorder="1"/>
    <xf numFmtId="10" fontId="6" fillId="2" borderId="21" xfId="3" applyNumberFormat="1" applyFont="1" applyFill="1" applyBorder="1"/>
    <xf numFmtId="9" fontId="6" fillId="2" borderId="16" xfId="3" applyFont="1" applyFill="1" applyBorder="1"/>
    <xf numFmtId="10" fontId="19" fillId="0" borderId="0" xfId="3" applyNumberFormat="1" applyFont="1"/>
    <xf numFmtId="43" fontId="18" fillId="0" borderId="0" xfId="1" applyFont="1"/>
    <xf numFmtId="43" fontId="7" fillId="0" borderId="0" xfId="1" applyFont="1"/>
    <xf numFmtId="10" fontId="21" fillId="0" borderId="0" xfId="0" applyNumberFormat="1" applyFont="1"/>
    <xf numFmtId="0" fontId="19" fillId="0" borderId="0" xfId="0" applyFont="1" applyAlignment="1">
      <alignment wrapText="1"/>
    </xf>
    <xf numFmtId="10" fontId="22" fillId="0" borderId="0" xfId="0" applyNumberFormat="1" applyFont="1"/>
    <xf numFmtId="168" fontId="23" fillId="0" borderId="0" xfId="0" applyNumberFormat="1" applyFont="1"/>
    <xf numFmtId="0" fontId="24" fillId="0" borderId="0" xfId="0" applyFont="1"/>
    <xf numFmtId="10" fontId="24" fillId="0" borderId="0" xfId="0" applyNumberFormat="1" applyFont="1"/>
    <xf numFmtId="0" fontId="23" fillId="0" borderId="0" xfId="0" applyFont="1"/>
    <xf numFmtId="2" fontId="23" fillId="0" borderId="0" xfId="0" applyNumberFormat="1" applyFont="1"/>
    <xf numFmtId="168" fontId="24" fillId="0" borderId="0" xfId="0" applyNumberFormat="1" applyFont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0" borderId="63" xfId="0" applyFont="1" applyBorder="1"/>
    <xf numFmtId="168" fontId="4" fillId="0" borderId="64" xfId="0" applyNumberFormat="1" applyFont="1" applyBorder="1"/>
    <xf numFmtId="0" fontId="4" fillId="0" borderId="65" xfId="0" applyFont="1" applyBorder="1"/>
    <xf numFmtId="0" fontId="4" fillId="0" borderId="66" xfId="0" applyFont="1" applyBorder="1"/>
    <xf numFmtId="0" fontId="4" fillId="0" borderId="67" xfId="0" applyFont="1" applyBorder="1"/>
    <xf numFmtId="168" fontId="4" fillId="0" borderId="68" xfId="0" applyNumberFormat="1" applyFont="1" applyBorder="1"/>
    <xf numFmtId="0" fontId="4" fillId="0" borderId="69" xfId="0" applyFont="1" applyBorder="1"/>
    <xf numFmtId="0" fontId="4" fillId="0" borderId="70" xfId="0" applyFont="1" applyBorder="1"/>
    <xf numFmtId="0" fontId="4" fillId="0" borderId="68" xfId="0" applyFont="1" applyBorder="1"/>
    <xf numFmtId="168" fontId="4" fillId="0" borderId="69" xfId="0" applyNumberFormat="1" applyFont="1" applyBorder="1"/>
    <xf numFmtId="168" fontId="4" fillId="0" borderId="70" xfId="0" applyNumberFormat="1" applyFont="1" applyBorder="1"/>
    <xf numFmtId="10" fontId="4" fillId="0" borderId="61" xfId="0" applyNumberFormat="1" applyFont="1" applyBorder="1"/>
    <xf numFmtId="0" fontId="4" fillId="0" borderId="64" xfId="0" applyFont="1" applyBorder="1"/>
    <xf numFmtId="0" fontId="4" fillId="0" borderId="71" xfId="0" applyFont="1" applyBorder="1"/>
    <xf numFmtId="10" fontId="4" fillId="0" borderId="60" xfId="0" applyNumberFormat="1" applyFont="1" applyBorder="1"/>
    <xf numFmtId="10" fontId="4" fillId="0" borderId="63" xfId="0" applyNumberFormat="1" applyFont="1" applyBorder="1"/>
    <xf numFmtId="0" fontId="25" fillId="0" borderId="0" xfId="0" applyFont="1"/>
    <xf numFmtId="176" fontId="19" fillId="0" borderId="0" xfId="0" applyNumberFormat="1" applyFont="1"/>
    <xf numFmtId="168" fontId="25" fillId="0" borderId="0" xfId="0" applyNumberFormat="1" applyFont="1"/>
    <xf numFmtId="0" fontId="26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4" fillId="0" borderId="0" xfId="0" applyNumberFormat="1" applyFont="1"/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/>
    <xf numFmtId="0" fontId="4" fillId="0" borderId="60" xfId="0" applyFont="1" applyBorder="1" applyAlignment="1">
      <alignment horizontal="center" vertical="center"/>
    </xf>
    <xf numFmtId="10" fontId="4" fillId="0" borderId="61" xfId="0" applyNumberFormat="1" applyFont="1" applyBorder="1" applyAlignment="1">
      <alignment horizontal="center"/>
    </xf>
    <xf numFmtId="44" fontId="27" fillId="0" borderId="61" xfId="0" applyNumberFormat="1" applyFont="1" applyBorder="1"/>
    <xf numFmtId="44" fontId="27" fillId="0" borderId="75" xfId="0" applyNumberFormat="1" applyFont="1" applyBorder="1"/>
    <xf numFmtId="0" fontId="4" fillId="0" borderId="74" xfId="0" applyFont="1" applyBorder="1" applyAlignment="1">
      <alignment wrapText="1"/>
    </xf>
    <xf numFmtId="0" fontId="19" fillId="0" borderId="64" xfId="0" applyFont="1" applyBorder="1" applyAlignment="1">
      <alignment horizontal="center" vertical="center" wrapText="1"/>
    </xf>
    <xf numFmtId="44" fontId="28" fillId="0" borderId="6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9" fillId="0" borderId="0" xfId="0" applyFont="1"/>
    <xf numFmtId="2" fontId="29" fillId="0" borderId="0" xfId="0" applyNumberFormat="1" applyFont="1"/>
    <xf numFmtId="44" fontId="19" fillId="0" borderId="0" xfId="2" applyFont="1"/>
    <xf numFmtId="44" fontId="26" fillId="0" borderId="0" xfId="2" applyFont="1"/>
    <xf numFmtId="0" fontId="4" fillId="0" borderId="76" xfId="0" applyFont="1" applyBorder="1"/>
    <xf numFmtId="44" fontId="4" fillId="0" borderId="76" xfId="2" applyFont="1" applyBorder="1"/>
    <xf numFmtId="0" fontId="4" fillId="0" borderId="29" xfId="0" applyFont="1" applyBorder="1"/>
    <xf numFmtId="0" fontId="4" fillId="0" borderId="77" xfId="0" applyFont="1" applyBorder="1"/>
    <xf numFmtId="0" fontId="4" fillId="0" borderId="31" xfId="0" applyFont="1" applyBorder="1"/>
    <xf numFmtId="44" fontId="4" fillId="0" borderId="32" xfId="2" applyFont="1" applyBorder="1" applyAlignment="1">
      <alignment horizontal="center" vertical="center"/>
    </xf>
    <xf numFmtId="44" fontId="4" fillId="0" borderId="78" xfId="2" applyFont="1" applyBorder="1" applyAlignment="1">
      <alignment horizontal="center" vertical="center"/>
    </xf>
    <xf numFmtId="0" fontId="4" fillId="0" borderId="33" xfId="0" applyFont="1" applyBorder="1"/>
    <xf numFmtId="0" fontId="19" fillId="0" borderId="79" xfId="0" applyFont="1" applyBorder="1"/>
    <xf numFmtId="44" fontId="26" fillId="0" borderId="34" xfId="2" applyFont="1" applyBorder="1" applyAlignment="1">
      <alignment horizontal="center"/>
    </xf>
    <xf numFmtId="0" fontId="4" fillId="0" borderId="30" xfId="0" applyFont="1" applyBorder="1"/>
    <xf numFmtId="44" fontId="4" fillId="0" borderId="0" xfId="2" applyFont="1" applyBorder="1"/>
    <xf numFmtId="44" fontId="4" fillId="0" borderId="32" xfId="2" applyFont="1" applyBorder="1"/>
    <xf numFmtId="0" fontId="19" fillId="0" borderId="31" xfId="0" applyFont="1" applyBorder="1"/>
    <xf numFmtId="44" fontId="19" fillId="0" borderId="0" xfId="2" applyFont="1" applyBorder="1"/>
    <xf numFmtId="44" fontId="19" fillId="0" borderId="32" xfId="2" applyFont="1" applyBorder="1"/>
    <xf numFmtId="44" fontId="19" fillId="0" borderId="0" xfId="0" applyNumberFormat="1" applyFont="1"/>
    <xf numFmtId="44" fontId="19" fillId="0" borderId="32" xfId="0" applyNumberFormat="1" applyFont="1" applyBorder="1"/>
    <xf numFmtId="0" fontId="19" fillId="0" borderId="80" xfId="0" applyFont="1" applyBorder="1"/>
    <xf numFmtId="0" fontId="26" fillId="0" borderId="33" xfId="0" applyFont="1" applyBorder="1"/>
    <xf numFmtId="44" fontId="26" fillId="0" borderId="79" xfId="0" applyNumberFormat="1" applyFont="1" applyBorder="1"/>
    <xf numFmtId="44" fontId="26" fillId="0" borderId="34" xfId="0" applyNumberFormat="1" applyFont="1" applyBorder="1"/>
    <xf numFmtId="10" fontId="4" fillId="0" borderId="32" xfId="3" applyNumberFormat="1" applyFont="1" applyBorder="1"/>
    <xf numFmtId="2" fontId="19" fillId="0" borderId="32" xfId="1" applyNumberFormat="1" applyFont="1" applyBorder="1" applyAlignment="1">
      <alignment horizontal="center"/>
    </xf>
    <xf numFmtId="10" fontId="24" fillId="0" borderId="32" xfId="3" applyNumberFormat="1" applyFont="1" applyBorder="1" applyAlignment="1">
      <alignment horizontal="center"/>
    </xf>
    <xf numFmtId="10" fontId="24" fillId="0" borderId="0" xfId="3" applyNumberFormat="1" applyFont="1" applyBorder="1" applyAlignment="1">
      <alignment horizontal="center"/>
    </xf>
    <xf numFmtId="2" fontId="4" fillId="0" borderId="32" xfId="0" applyNumberFormat="1" applyFont="1" applyBorder="1"/>
    <xf numFmtId="172" fontId="19" fillId="0" borderId="32" xfId="0" applyNumberFormat="1" applyFont="1" applyBorder="1" applyAlignment="1">
      <alignment horizontal="center" vertical="center"/>
    </xf>
    <xf numFmtId="10" fontId="24" fillId="0" borderId="32" xfId="0" applyNumberFormat="1" applyFont="1" applyBorder="1" applyAlignment="1">
      <alignment horizontal="center"/>
    </xf>
    <xf numFmtId="10" fontId="24" fillId="0" borderId="34" xfId="0" applyNumberFormat="1" applyFont="1" applyBorder="1" applyAlignment="1">
      <alignment horizontal="center" vertical="center"/>
    </xf>
    <xf numFmtId="10" fontId="19" fillId="0" borderId="78" xfId="3" applyNumberFormat="1" applyFont="1" applyBorder="1" applyAlignment="1">
      <alignment horizontal="center"/>
    </xf>
    <xf numFmtId="43" fontId="19" fillId="0" borderId="78" xfId="1" applyFont="1" applyBorder="1" applyAlignment="1">
      <alignment horizontal="center" vertical="center"/>
    </xf>
    <xf numFmtId="2" fontId="19" fillId="0" borderId="78" xfId="0" applyNumberFormat="1" applyFont="1" applyBorder="1" applyAlignment="1">
      <alignment horizontal="center"/>
    </xf>
    <xf numFmtId="10" fontId="24" fillId="0" borderId="32" xfId="3" applyNumberFormat="1" applyFont="1" applyBorder="1" applyAlignment="1">
      <alignment horizontal="center" vertical="center"/>
    </xf>
    <xf numFmtId="10" fontId="4" fillId="0" borderId="78" xfId="3" applyNumberFormat="1" applyFont="1" applyBorder="1"/>
    <xf numFmtId="10" fontId="19" fillId="0" borderId="78" xfId="0" applyNumberFormat="1" applyFont="1" applyBorder="1" applyAlignment="1">
      <alignment horizontal="center" vertical="center"/>
    </xf>
    <xf numFmtId="168" fontId="4" fillId="0" borderId="30" xfId="2" applyNumberFormat="1" applyFont="1" applyBorder="1"/>
    <xf numFmtId="168" fontId="4" fillId="0" borderId="32" xfId="2" applyNumberFormat="1" applyFont="1" applyBorder="1"/>
    <xf numFmtId="168" fontId="19" fillId="0" borderId="32" xfId="0" applyNumberFormat="1" applyFont="1" applyBorder="1"/>
    <xf numFmtId="168" fontId="19" fillId="0" borderId="78" xfId="0" applyNumberFormat="1" applyFont="1" applyBorder="1"/>
    <xf numFmtId="0" fontId="26" fillId="0" borderId="31" xfId="0" applyFont="1" applyBorder="1"/>
    <xf numFmtId="10" fontId="19" fillId="0" borderId="32" xfId="3" applyNumberFormat="1" applyFont="1" applyBorder="1"/>
    <xf numFmtId="168" fontId="19" fillId="0" borderId="34" xfId="0" applyNumberFormat="1" applyFont="1" applyBorder="1"/>
    <xf numFmtId="10" fontId="4" fillId="0" borderId="30" xfId="3" applyNumberFormat="1" applyFont="1" applyBorder="1"/>
    <xf numFmtId="168" fontId="4" fillId="0" borderId="32" xfId="0" applyNumberFormat="1" applyFont="1" applyBorder="1"/>
    <xf numFmtId="10" fontId="19" fillId="0" borderId="78" xfId="3" applyNumberFormat="1" applyFont="1" applyBorder="1"/>
    <xf numFmtId="10" fontId="26" fillId="0" borderId="34" xfId="0" applyNumberFormat="1" applyFont="1" applyBorder="1"/>
    <xf numFmtId="0" fontId="31" fillId="0" borderId="31" xfId="0" applyFont="1" applyBorder="1"/>
    <xf numFmtId="44" fontId="31" fillId="0" borderId="0" xfId="2" applyFont="1" applyBorder="1"/>
    <xf numFmtId="44" fontId="31" fillId="0" borderId="32" xfId="2" applyFont="1" applyBorder="1"/>
    <xf numFmtId="0" fontId="4" fillId="0" borderId="86" xfId="0" applyFont="1" applyBorder="1"/>
    <xf numFmtId="0" fontId="4" fillId="0" borderId="87" xfId="0" applyFont="1" applyBorder="1"/>
    <xf numFmtId="0" fontId="4" fillId="0" borderId="85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172" fontId="19" fillId="0" borderId="84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8" xfId="0" applyFont="1" applyBorder="1"/>
    <xf numFmtId="172" fontId="19" fillId="0" borderId="90" xfId="0" applyNumberFormat="1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26" xfId="0" applyFont="1" applyBorder="1"/>
    <xf numFmtId="0" fontId="4" fillId="0" borderId="100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31" fillId="0" borderId="83" xfId="0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2" fontId="19" fillId="0" borderId="89" xfId="0" applyNumberFormat="1" applyFont="1" applyBorder="1" applyAlignment="1">
      <alignment horizontal="center" vertical="center"/>
    </xf>
    <xf numFmtId="2" fontId="24" fillId="0" borderId="91" xfId="0" applyNumberFormat="1" applyFont="1" applyBorder="1" applyAlignment="1">
      <alignment horizontal="center" vertical="center"/>
    </xf>
    <xf numFmtId="2" fontId="24" fillId="0" borderId="92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9" fillId="0" borderId="80" xfId="0" applyFont="1" applyBorder="1" applyAlignment="1">
      <alignment horizontal="center"/>
    </xf>
    <xf numFmtId="0" fontId="19" fillId="0" borderId="76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4" fillId="0" borderId="80" xfId="0" applyFont="1" applyBorder="1" applyAlignment="1">
      <alignment horizontal="left"/>
    </xf>
    <xf numFmtId="0" fontId="4" fillId="0" borderId="76" xfId="0" applyFont="1" applyBorder="1" applyAlignment="1">
      <alignment horizontal="left"/>
    </xf>
    <xf numFmtId="0" fontId="4" fillId="0" borderId="81" xfId="0" applyFont="1" applyBorder="1" applyAlignment="1">
      <alignment horizontal="center"/>
    </xf>
    <xf numFmtId="0" fontId="4" fillId="0" borderId="82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168" fontId="19" fillId="0" borderId="0" xfId="0" applyNumberFormat="1" applyFont="1" applyAlignment="1">
      <alignment horizontal="center" vertical="center"/>
    </xf>
    <xf numFmtId="168" fontId="19" fillId="0" borderId="32" xfId="0" applyNumberFormat="1" applyFont="1" applyBorder="1" applyAlignment="1">
      <alignment horizontal="center" vertical="center"/>
    </xf>
    <xf numFmtId="168" fontId="19" fillId="0" borderId="76" xfId="0" applyNumberFormat="1" applyFont="1" applyBorder="1" applyAlignment="1">
      <alignment horizontal="center"/>
    </xf>
    <xf numFmtId="168" fontId="19" fillId="0" borderId="78" xfId="0" applyNumberFormat="1" applyFont="1" applyBorder="1" applyAlignment="1">
      <alignment horizontal="center"/>
    </xf>
    <xf numFmtId="0" fontId="30" fillId="0" borderId="97" xfId="0" applyFont="1" applyBorder="1" applyAlignment="1">
      <alignment horizontal="center" vertical="center"/>
    </xf>
    <xf numFmtId="0" fontId="30" fillId="0" borderId="98" xfId="0" applyFont="1" applyBorder="1" applyAlignment="1">
      <alignment horizontal="center" vertical="center"/>
    </xf>
    <xf numFmtId="0" fontId="30" fillId="0" borderId="99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80" xfId="0" applyFont="1" applyBorder="1" applyAlignment="1">
      <alignment horizontal="left" vertical="center"/>
    </xf>
    <xf numFmtId="0" fontId="4" fillId="0" borderId="76" xfId="0" applyFont="1" applyBorder="1" applyAlignment="1">
      <alignment horizontal="left" vertical="center"/>
    </xf>
    <xf numFmtId="0" fontId="19" fillId="0" borderId="33" xfId="0" applyFont="1" applyBorder="1" applyAlignment="1">
      <alignment horizontal="center"/>
    </xf>
    <xf numFmtId="0" fontId="19" fillId="0" borderId="79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5" borderId="41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01" xfId="0" applyFont="1" applyBorder="1"/>
    <xf numFmtId="168" fontId="4" fillId="0" borderId="102" xfId="2" applyNumberFormat="1" applyFont="1" applyBorder="1"/>
    <xf numFmtId="0" fontId="4" fillId="0" borderId="103" xfId="0" applyFont="1" applyBorder="1"/>
    <xf numFmtId="168" fontId="4" fillId="0" borderId="87" xfId="2" applyNumberFormat="1" applyFont="1" applyBorder="1"/>
    <xf numFmtId="0" fontId="19" fillId="0" borderId="103" xfId="0" applyFont="1" applyBorder="1"/>
    <xf numFmtId="10" fontId="19" fillId="0" borderId="87" xfId="3" applyNumberFormat="1" applyFont="1" applyBorder="1" applyAlignment="1">
      <alignment horizontal="center"/>
    </xf>
    <xf numFmtId="10" fontId="19" fillId="0" borderId="87" xfId="1" applyNumberFormat="1" applyFont="1" applyBorder="1" applyAlignment="1">
      <alignment horizontal="center"/>
    </xf>
    <xf numFmtId="2" fontId="19" fillId="0" borderId="87" xfId="1" applyNumberFormat="1" applyFont="1" applyBorder="1" applyAlignment="1">
      <alignment horizontal="center" vertical="center"/>
    </xf>
    <xf numFmtId="0" fontId="19" fillId="0" borderId="103" xfId="0" applyFont="1" applyBorder="1" applyAlignment="1">
      <alignment vertical="center"/>
    </xf>
    <xf numFmtId="10" fontId="19" fillId="0" borderId="87" xfId="3" applyNumberFormat="1" applyFont="1" applyBorder="1" applyAlignment="1">
      <alignment horizontal="center" vertical="center"/>
    </xf>
    <xf numFmtId="0" fontId="19" fillId="0" borderId="104" xfId="0" applyFont="1" applyBorder="1" applyAlignment="1">
      <alignment vertical="center"/>
    </xf>
    <xf numFmtId="10" fontId="19" fillId="0" borderId="86" xfId="3" applyNumberFormat="1" applyFont="1" applyBorder="1" applyAlignment="1">
      <alignment horizontal="center" vertical="center"/>
    </xf>
    <xf numFmtId="0" fontId="4" fillId="0" borderId="105" xfId="0" applyFont="1" applyBorder="1"/>
    <xf numFmtId="168" fontId="4" fillId="0" borderId="106" xfId="2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1" defaultTableStyle="TableStyleMedium2" defaultPivotStyle="PivotStyleLight16">
    <tableStyle name="Invisible" pivot="0" table="0" count="0" xr9:uid="{DDFAB010-C71C-4FA6-815E-D0A6118A3868}"/>
  </tableStyles>
  <colors>
    <mruColors>
      <color rgb="FF9BF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0F22BB-B71A-4981-B17D-27C0304DB111}" name="Table1" displayName="Table1" ref="N92:P95" totalsRowShown="0" tableBorderDxfId="1">
  <autoFilter ref="N92:P95" xr:uid="{680F22BB-B71A-4981-B17D-27C0304DB111}"/>
  <tableColumns count="3">
    <tableColumn id="1" xr3:uid="{C0EADD41-16AE-4680-87DF-0B585FA0F953}" name="EBIT"/>
    <tableColumn id="2" xr3:uid="{B55F17F5-97AB-4B06-B184-BB1B5B7D43D4}" name="Income Stat" dataDxfId="0"/>
    <tableColumn id="3" xr3:uid="{36A6F375-C1B7-48A5-B774-A9619905E22B}" name="CAN be negativ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A2A4-BB7D-4880-8B7C-2616A932F65F}">
  <dimension ref="A1:P189"/>
  <sheetViews>
    <sheetView tabSelected="1" zoomScaleNormal="100" workbookViewId="0">
      <selection activeCell="G17" sqref="G17"/>
    </sheetView>
  </sheetViews>
  <sheetFormatPr defaultColWidth="9.140625" defaultRowHeight="15" x14ac:dyDescent="0.25"/>
  <cols>
    <col min="1" max="1" width="22.85546875" style="3" bestFit="1" customWidth="1"/>
    <col min="2" max="2" width="52.7109375" style="3" bestFit="1" customWidth="1"/>
    <col min="3" max="3" width="25.42578125" style="3" customWidth="1"/>
    <col min="4" max="4" width="15.5703125" style="3" bestFit="1" customWidth="1"/>
    <col min="5" max="5" width="23.5703125" style="3" bestFit="1" customWidth="1"/>
    <col min="6" max="6" width="17.7109375" style="3" bestFit="1" customWidth="1"/>
    <col min="7" max="7" width="9.7109375" style="3" bestFit="1" customWidth="1"/>
    <col min="8" max="8" width="18.140625" style="3" bestFit="1" customWidth="1"/>
    <col min="9" max="9" width="25.85546875" style="3" bestFit="1" customWidth="1"/>
    <col min="10" max="10" width="27.140625" style="3" customWidth="1"/>
    <col min="11" max="11" width="22.42578125" style="3" customWidth="1"/>
    <col min="12" max="12" width="13.140625" style="3" bestFit="1" customWidth="1"/>
    <col min="13" max="13" width="20.42578125" style="3" bestFit="1" customWidth="1"/>
    <col min="14" max="14" width="16.28515625" style="3" customWidth="1"/>
    <col min="15" max="15" width="16.5703125" style="3" bestFit="1" customWidth="1"/>
    <col min="16" max="16" width="13.42578125" style="3" customWidth="1"/>
    <col min="17" max="16384" width="9.140625" style="3"/>
  </cols>
  <sheetData>
    <row r="1" spans="1:5" ht="33.75" x14ac:dyDescent="0.25">
      <c r="B1" s="2" t="s">
        <v>0</v>
      </c>
      <c r="C1" s="209" t="s">
        <v>1</v>
      </c>
      <c r="D1" s="497"/>
      <c r="E1" s="497"/>
    </row>
    <row r="2" spans="1:5" ht="14.25" customHeight="1" x14ac:dyDescent="0.25">
      <c r="B2" s="2"/>
      <c r="C2" s="209"/>
      <c r="D2" s="414"/>
      <c r="E2" s="414"/>
    </row>
    <row r="3" spans="1:5" ht="16.5" customHeight="1" x14ac:dyDescent="0.25">
      <c r="A3" s="413" t="s">
        <v>2</v>
      </c>
      <c r="B3" s="2"/>
      <c r="C3" s="209"/>
      <c r="D3" s="414"/>
      <c r="E3" s="414"/>
    </row>
    <row r="4" spans="1:5" ht="15.75" x14ac:dyDescent="0.25">
      <c r="B4" s="210" t="s">
        <v>3</v>
      </c>
      <c r="C4" s="211">
        <v>0</v>
      </c>
      <c r="D4" s="495" t="s">
        <v>4</v>
      </c>
      <c r="E4" s="496"/>
    </row>
    <row r="5" spans="1:5" ht="15.75" x14ac:dyDescent="0.25">
      <c r="B5" s="212" t="s">
        <v>5</v>
      </c>
      <c r="C5" s="213">
        <v>0</v>
      </c>
      <c r="D5" s="495" t="s">
        <v>6</v>
      </c>
      <c r="E5" s="496"/>
    </row>
    <row r="6" spans="1:5" ht="15.75" x14ac:dyDescent="0.25">
      <c r="B6" s="212" t="s">
        <v>7</v>
      </c>
      <c r="C6" s="213">
        <v>0</v>
      </c>
      <c r="D6" s="495" t="s">
        <v>8</v>
      </c>
      <c r="E6" s="496"/>
    </row>
    <row r="7" spans="1:5" ht="15.75" x14ac:dyDescent="0.25">
      <c r="B7" s="214" t="s">
        <v>9</v>
      </c>
      <c r="C7" s="215">
        <v>0</v>
      </c>
      <c r="D7" s="495" t="s">
        <v>10</v>
      </c>
      <c r="E7" s="496"/>
    </row>
    <row r="8" spans="1:5" ht="15.75" x14ac:dyDescent="0.25">
      <c r="A8" s="81"/>
      <c r="B8" s="216" t="s">
        <v>11</v>
      </c>
      <c r="C8" s="217" t="e">
        <f>$C$4/$C$5</f>
        <v>#DIV/0!</v>
      </c>
    </row>
    <row r="9" spans="1:5" ht="15.75" x14ac:dyDescent="0.25">
      <c r="A9" s="81"/>
      <c r="B9" s="218" t="s">
        <v>12</v>
      </c>
      <c r="C9" s="219" t="e">
        <f>($C$4-$C$7)/$C$5</f>
        <v>#DIV/0!</v>
      </c>
    </row>
    <row r="10" spans="1:5" ht="15.75" x14ac:dyDescent="0.25">
      <c r="A10" s="81"/>
      <c r="B10" s="218" t="s">
        <v>7</v>
      </c>
      <c r="C10" s="220">
        <f>$C$4-$C$5</f>
        <v>0</v>
      </c>
    </row>
    <row r="11" spans="1:5" ht="15.75" x14ac:dyDescent="0.25">
      <c r="B11" s="221"/>
      <c r="C11" s="222"/>
    </row>
    <row r="12" spans="1:5" ht="15.75" customHeight="1" x14ac:dyDescent="0.25">
      <c r="B12" s="221"/>
      <c r="C12" s="221"/>
    </row>
    <row r="13" spans="1:5" ht="15.75" x14ac:dyDescent="0.25">
      <c r="B13" s="223" t="s">
        <v>13</v>
      </c>
      <c r="C13" s="224">
        <v>0</v>
      </c>
    </row>
    <row r="14" spans="1:5" ht="15.75" x14ac:dyDescent="0.25">
      <c r="B14" s="225" t="s">
        <v>14</v>
      </c>
      <c r="C14" s="226">
        <v>0</v>
      </c>
    </row>
    <row r="15" spans="1:5" ht="15.75" x14ac:dyDescent="0.25">
      <c r="B15" s="225" t="s">
        <v>15</v>
      </c>
      <c r="C15" s="226">
        <v>0</v>
      </c>
    </row>
    <row r="16" spans="1:5" ht="15.75" x14ac:dyDescent="0.25">
      <c r="B16" s="225" t="s">
        <v>16</v>
      </c>
      <c r="C16" s="227">
        <v>0</v>
      </c>
    </row>
    <row r="17" spans="1:7" ht="15.75" x14ac:dyDescent="0.25">
      <c r="B17" s="225" t="s">
        <v>17</v>
      </c>
      <c r="C17" s="213">
        <v>0</v>
      </c>
    </row>
    <row r="18" spans="1:7" ht="15.75" x14ac:dyDescent="0.25">
      <c r="B18" s="225" t="s">
        <v>18</v>
      </c>
      <c r="C18" s="213">
        <v>0</v>
      </c>
    </row>
    <row r="19" spans="1:7" ht="15.75" x14ac:dyDescent="0.25">
      <c r="B19" s="225" t="s">
        <v>19</v>
      </c>
      <c r="C19" s="213">
        <v>0</v>
      </c>
      <c r="D19" s="228"/>
    </row>
    <row r="20" spans="1:7" ht="15.75" x14ac:dyDescent="0.25">
      <c r="B20" s="225" t="s">
        <v>20</v>
      </c>
      <c r="C20" s="229">
        <f>$C$18+$C$19</f>
        <v>0</v>
      </c>
      <c r="D20" s="230">
        <v>0</v>
      </c>
    </row>
    <row r="21" spans="1:7" ht="15.75" x14ac:dyDescent="0.25">
      <c r="B21" s="225" t="s">
        <v>21</v>
      </c>
      <c r="C21" s="231">
        <v>0</v>
      </c>
      <c r="F21" s="9"/>
    </row>
    <row r="22" spans="1:7" ht="15.75" x14ac:dyDescent="0.25">
      <c r="A22" s="81"/>
      <c r="B22" s="232" t="s">
        <v>22</v>
      </c>
      <c r="C22" s="233">
        <v>0</v>
      </c>
      <c r="D22" s="7"/>
      <c r="F22" s="9"/>
    </row>
    <row r="23" spans="1:7" ht="15.75" x14ac:dyDescent="0.25">
      <c r="A23" s="81"/>
      <c r="B23" s="232" t="s">
        <v>23</v>
      </c>
      <c r="C23" s="234">
        <f>$C$21+$C$22</f>
        <v>0</v>
      </c>
      <c r="D23" s="235">
        <v>0</v>
      </c>
      <c r="F23" s="9"/>
    </row>
    <row r="24" spans="1:7" ht="15.75" x14ac:dyDescent="0.25">
      <c r="A24" s="81"/>
      <c r="B24" s="232" t="s">
        <v>24</v>
      </c>
      <c r="C24" s="236">
        <v>0</v>
      </c>
      <c r="F24" s="237"/>
    </row>
    <row r="25" spans="1:7" ht="15.75" x14ac:dyDescent="0.25">
      <c r="A25" s="81"/>
      <c r="B25" s="232" t="s">
        <v>25</v>
      </c>
      <c r="C25" s="231">
        <v>0</v>
      </c>
    </row>
    <row r="26" spans="1:7" ht="15.75" x14ac:dyDescent="0.25">
      <c r="A26" s="81"/>
      <c r="B26" s="238" t="s">
        <v>26</v>
      </c>
      <c r="C26" s="239">
        <v>0</v>
      </c>
    </row>
    <row r="27" spans="1:7" ht="15.75" x14ac:dyDescent="0.25">
      <c r="A27" s="81"/>
      <c r="B27" s="238" t="s">
        <v>27</v>
      </c>
      <c r="C27" s="240">
        <v>0</v>
      </c>
    </row>
    <row r="28" spans="1:7" ht="15.75" x14ac:dyDescent="0.25">
      <c r="B28" s="241" t="s">
        <v>28</v>
      </c>
      <c r="C28" s="240">
        <v>0</v>
      </c>
    </row>
    <row r="29" spans="1:7" ht="15.75" x14ac:dyDescent="0.25">
      <c r="B29" s="242" t="s">
        <v>29</v>
      </c>
      <c r="C29" s="243">
        <f>$C$20-$C$23</f>
        <v>0</v>
      </c>
      <c r="D29" s="244">
        <f>$D$20-$C$22</f>
        <v>0</v>
      </c>
    </row>
    <row r="30" spans="1:7" ht="15.75" x14ac:dyDescent="0.25">
      <c r="B30" s="245" t="s">
        <v>30</v>
      </c>
      <c r="C30" s="246">
        <f>$C$24*$C$25</f>
        <v>0</v>
      </c>
      <c r="F30" s="3" t="s">
        <v>31</v>
      </c>
      <c r="G30" s="22">
        <v>0</v>
      </c>
    </row>
    <row r="31" spans="1:7" ht="15.75" x14ac:dyDescent="0.25">
      <c r="B31" s="218" t="s">
        <v>32</v>
      </c>
      <c r="C31" s="247" t="e">
        <f>($C$30/$C$20)</f>
        <v>#DIV/0!</v>
      </c>
      <c r="F31" s="3" t="s">
        <v>33</v>
      </c>
      <c r="G31" s="3">
        <v>0</v>
      </c>
    </row>
    <row r="32" spans="1:7" ht="15.75" x14ac:dyDescent="0.25">
      <c r="B32" s="248" t="s">
        <v>34</v>
      </c>
      <c r="C32" s="249" t="e">
        <f>($C$30/$C$29)</f>
        <v>#DIV/0!</v>
      </c>
      <c r="D32" s="250" t="e">
        <f>$C$30/D29</f>
        <v>#DIV/0!</v>
      </c>
      <c r="F32" s="3" t="s">
        <v>35</v>
      </c>
      <c r="G32" s="3">
        <v>0</v>
      </c>
    </row>
    <row r="33" spans="1:15" ht="15.75" x14ac:dyDescent="0.25">
      <c r="B33" s="251" t="s">
        <v>36</v>
      </c>
      <c r="C33" s="252" t="e">
        <f>$D$23/$D$20</f>
        <v>#DIV/0!</v>
      </c>
      <c r="F33" s="3" t="s">
        <v>37</v>
      </c>
      <c r="G33" s="3">
        <v>0</v>
      </c>
    </row>
    <row r="34" spans="1:15" ht="15.75" x14ac:dyDescent="0.25">
      <c r="B34" s="253" t="s">
        <v>38</v>
      </c>
      <c r="C34" s="254" t="e">
        <f>$C$14/$C$15</f>
        <v>#DIV/0!</v>
      </c>
      <c r="F34" s="353" t="s">
        <v>39</v>
      </c>
      <c r="G34" s="353">
        <f>G32+G33</f>
        <v>0</v>
      </c>
    </row>
    <row r="35" spans="1:15" ht="15.75" x14ac:dyDescent="0.25">
      <c r="B35" s="221"/>
      <c r="C35" s="255"/>
      <c r="F35" s="353" t="s">
        <v>40</v>
      </c>
      <c r="G35" s="331" t="e">
        <f>G31/G34</f>
        <v>#DIV/0!</v>
      </c>
    </row>
    <row r="36" spans="1:15" ht="15.75" x14ac:dyDescent="0.25">
      <c r="A36" s="3" t="s">
        <v>41</v>
      </c>
      <c r="B36" s="221"/>
      <c r="C36" s="221"/>
      <c r="F36" s="353" t="s">
        <v>42</v>
      </c>
      <c r="G36" s="353">
        <f>G31*(1+G30)</f>
        <v>0</v>
      </c>
    </row>
    <row r="37" spans="1:15" ht="15.75" x14ac:dyDescent="0.25">
      <c r="B37" s="223" t="s">
        <v>43</v>
      </c>
      <c r="C37" s="256">
        <v>0</v>
      </c>
      <c r="F37" s="353" t="s">
        <v>44</v>
      </c>
      <c r="G37" s="331" t="e">
        <f>G30/G35</f>
        <v>#DIV/0!</v>
      </c>
    </row>
    <row r="38" spans="1:15" ht="15.75" x14ac:dyDescent="0.25">
      <c r="B38" s="225" t="s">
        <v>45</v>
      </c>
      <c r="C38" s="257">
        <v>0</v>
      </c>
      <c r="F38" s="385" t="s">
        <v>46</v>
      </c>
      <c r="G38" s="386" t="e">
        <f>G36*(1-G37)</f>
        <v>#DIV/0!</v>
      </c>
    </row>
    <row r="39" spans="1:15" ht="15.75" x14ac:dyDescent="0.25">
      <c r="B39" s="225" t="s">
        <v>47</v>
      </c>
      <c r="C39" s="213">
        <v>0</v>
      </c>
      <c r="D39" s="123"/>
    </row>
    <row r="40" spans="1:15" ht="15.75" x14ac:dyDescent="0.25">
      <c r="B40" s="225" t="s">
        <v>25</v>
      </c>
      <c r="C40" s="257">
        <v>0</v>
      </c>
      <c r="D40" s="123"/>
    </row>
    <row r="41" spans="1:15" ht="15.75" x14ac:dyDescent="0.25">
      <c r="B41" s="225" t="s">
        <v>19</v>
      </c>
      <c r="C41" s="257">
        <v>0</v>
      </c>
      <c r="D41" s="123"/>
    </row>
    <row r="42" spans="1:15" ht="15.75" x14ac:dyDescent="0.25">
      <c r="B42" s="225" t="s">
        <v>20</v>
      </c>
      <c r="C42" s="257">
        <v>0</v>
      </c>
      <c r="D42" s="123"/>
    </row>
    <row r="43" spans="1:15" ht="15.75" x14ac:dyDescent="0.25">
      <c r="B43" s="258" t="s">
        <v>48</v>
      </c>
      <c r="C43" s="259" t="e">
        <f>($C$39+$C$38)/$C$37</f>
        <v>#DIV/0!</v>
      </c>
    </row>
    <row r="44" spans="1:15" ht="15.75" x14ac:dyDescent="0.25">
      <c r="B44" s="260" t="s">
        <v>49</v>
      </c>
      <c r="C44" s="261" t="e">
        <f>$C$40/$C$41</f>
        <v>#DIV/0!</v>
      </c>
    </row>
    <row r="45" spans="1:15" ht="15.75" x14ac:dyDescent="0.25">
      <c r="B45" s="262" t="s">
        <v>50</v>
      </c>
      <c r="C45" s="263" t="e">
        <f>365/$C$43</f>
        <v>#DIV/0!</v>
      </c>
    </row>
    <row r="46" spans="1:15" ht="15.75" x14ac:dyDescent="0.25">
      <c r="B46" s="264" t="s">
        <v>51</v>
      </c>
      <c r="C46" s="265" t="e">
        <f>$C$40/$C$42</f>
        <v>#DIV/0!</v>
      </c>
    </row>
    <row r="47" spans="1:15" ht="15.75" x14ac:dyDescent="0.25">
      <c r="B47" s="221"/>
      <c r="C47" s="221"/>
    </row>
    <row r="48" spans="1:15" ht="15.75" x14ac:dyDescent="0.25">
      <c r="B48" s="221"/>
      <c r="C48" s="221"/>
      <c r="L48" s="3" t="s">
        <v>52</v>
      </c>
      <c r="M48" s="3" t="s">
        <v>53</v>
      </c>
      <c r="N48" s="3" t="s">
        <v>496</v>
      </c>
      <c r="O48" s="3" t="s">
        <v>497</v>
      </c>
    </row>
    <row r="49" spans="1:16" ht="15.75" x14ac:dyDescent="0.25">
      <c r="B49" s="210" t="s">
        <v>54</v>
      </c>
      <c r="C49" s="256">
        <v>0</v>
      </c>
      <c r="K49" s="3" t="s">
        <v>55</v>
      </c>
      <c r="L49" s="9">
        <v>5192</v>
      </c>
      <c r="M49" s="9">
        <v>5400</v>
      </c>
    </row>
    <row r="50" spans="1:16" ht="15.75" x14ac:dyDescent="0.25">
      <c r="B50" s="212" t="s">
        <v>56</v>
      </c>
      <c r="C50" s="213">
        <v>0</v>
      </c>
      <c r="F50" s="3" t="s">
        <v>40</v>
      </c>
      <c r="G50" s="22">
        <v>0.1</v>
      </c>
      <c r="K50" s="3" t="s">
        <v>57</v>
      </c>
      <c r="L50" s="9">
        <v>-3678.5</v>
      </c>
      <c r="M50" s="9">
        <v>-3848</v>
      </c>
    </row>
    <row r="51" spans="1:16" ht="15.75" x14ac:dyDescent="0.25">
      <c r="B51" s="212" t="s">
        <v>58</v>
      </c>
      <c r="C51" s="266">
        <v>0</v>
      </c>
      <c r="D51" s="267">
        <v>0</v>
      </c>
      <c r="F51" s="3" t="s">
        <v>33</v>
      </c>
      <c r="G51" s="3">
        <v>127</v>
      </c>
      <c r="K51" s="3" t="s">
        <v>45</v>
      </c>
      <c r="L51" s="9">
        <v>-573</v>
      </c>
      <c r="M51" s="9">
        <v>-580</v>
      </c>
    </row>
    <row r="52" spans="1:16" ht="15.75" x14ac:dyDescent="0.25">
      <c r="B52" s="212" t="s">
        <v>59</v>
      </c>
      <c r="C52" s="268">
        <v>0</v>
      </c>
      <c r="F52" s="3" t="s">
        <v>60</v>
      </c>
      <c r="G52" s="22">
        <v>0.6</v>
      </c>
      <c r="K52" s="353" t="s">
        <v>14</v>
      </c>
      <c r="L52" s="428">
        <f>L49+L50+L51</f>
        <v>940.5</v>
      </c>
      <c r="M52" s="428">
        <f>M49+M50+M51</f>
        <v>972</v>
      </c>
      <c r="N52" s="3" t="s">
        <v>61</v>
      </c>
    </row>
    <row r="53" spans="1:16" ht="15.75" x14ac:dyDescent="0.25">
      <c r="B53" s="212" t="s">
        <v>62</v>
      </c>
      <c r="C53" s="213">
        <v>0</v>
      </c>
      <c r="D53" s="269">
        <f>C103</f>
        <v>0</v>
      </c>
      <c r="F53" s="353" t="s">
        <v>63</v>
      </c>
      <c r="G53" s="331">
        <f>G50*G52</f>
        <v>0.06</v>
      </c>
      <c r="K53" s="3" t="s">
        <v>64</v>
      </c>
      <c r="L53" s="9">
        <v>170</v>
      </c>
      <c r="M53" s="9">
        <v>172</v>
      </c>
      <c r="N53" s="3">
        <v>800</v>
      </c>
      <c r="O53" s="3">
        <v>800</v>
      </c>
    </row>
    <row r="54" spans="1:16" ht="15.75" x14ac:dyDescent="0.25">
      <c r="B54" s="212" t="s">
        <v>30</v>
      </c>
      <c r="C54" s="270">
        <f>$C$49+$C$50</f>
        <v>0</v>
      </c>
      <c r="D54" s="271">
        <v>0</v>
      </c>
      <c r="F54" s="3" t="s">
        <v>65</v>
      </c>
      <c r="G54" s="3">
        <v>60</v>
      </c>
      <c r="K54" s="3" t="s">
        <v>66</v>
      </c>
      <c r="L54" s="9">
        <v>652.1</v>
      </c>
      <c r="M54" s="9">
        <v>670</v>
      </c>
    </row>
    <row r="55" spans="1:16" ht="17.25" thickTop="1" thickBot="1" x14ac:dyDescent="0.3">
      <c r="A55" s="81"/>
      <c r="B55" s="212" t="s">
        <v>67</v>
      </c>
      <c r="C55" s="272">
        <f>$C$50</f>
        <v>0</v>
      </c>
      <c r="F55" s="426" t="s">
        <v>46</v>
      </c>
      <c r="G55" s="427">
        <f>G51*(1+G53)*(1-G52)</f>
        <v>53.848000000000006</v>
      </c>
      <c r="K55" s="353" t="s">
        <v>30</v>
      </c>
      <c r="L55" s="428">
        <f>L52-L53-L54</f>
        <v>118.39999999999998</v>
      </c>
      <c r="M55" s="428">
        <f>M52-M53-M54</f>
        <v>130</v>
      </c>
    </row>
    <row r="56" spans="1:16" ht="17.25" thickTop="1" thickBot="1" x14ac:dyDescent="0.3">
      <c r="A56" s="81"/>
      <c r="B56" s="214" t="s">
        <v>25</v>
      </c>
      <c r="C56" s="215">
        <v>0</v>
      </c>
      <c r="D56" s="273" t="e">
        <f>$D$53/$D$51</f>
        <v>#DIV/0!</v>
      </c>
      <c r="K56" s="3" t="s">
        <v>68</v>
      </c>
      <c r="L56" s="9">
        <v>92</v>
      </c>
      <c r="M56" s="9">
        <v>-370</v>
      </c>
      <c r="N56" s="330">
        <f>M56-L56</f>
        <v>-462</v>
      </c>
      <c r="O56" s="330">
        <f>N56+(N53-L51)</f>
        <v>911</v>
      </c>
      <c r="P56" s="330">
        <f>N56+(O53-M51)</f>
        <v>918</v>
      </c>
    </row>
    <row r="57" spans="1:16" ht="17.25" thickTop="1" thickBot="1" x14ac:dyDescent="0.3">
      <c r="A57" s="81"/>
      <c r="B57" s="216" t="s">
        <v>69</v>
      </c>
      <c r="C57" s="274" t="e">
        <f>$C$54/$C$52</f>
        <v>#DIV/0!</v>
      </c>
      <c r="D57" s="273" t="e">
        <f>$D$54/$D$51</f>
        <v>#DIV/0!</v>
      </c>
      <c r="K57" s="430" t="s">
        <v>70</v>
      </c>
      <c r="L57" s="431">
        <v>0</v>
      </c>
      <c r="M57" s="431">
        <v>0</v>
      </c>
      <c r="N57" s="330">
        <f>M57-L57</f>
        <v>0</v>
      </c>
    </row>
    <row r="58" spans="1:16" ht="17.25" thickTop="1" thickBot="1" x14ac:dyDescent="0.3">
      <c r="A58" s="81"/>
      <c r="B58" s="218" t="s">
        <v>71</v>
      </c>
      <c r="C58" s="275" t="e">
        <f>$C$55/$C$52</f>
        <v>#DIV/0!</v>
      </c>
      <c r="D58" s="13"/>
      <c r="K58" s="411" t="s">
        <v>72</v>
      </c>
      <c r="L58" s="429">
        <f>L55-O56+N57</f>
        <v>-792.6</v>
      </c>
      <c r="M58" s="429">
        <f>M55-P56+N57</f>
        <v>-788</v>
      </c>
      <c r="O58" s="330"/>
    </row>
    <row r="59" spans="1:16" ht="17.25" thickTop="1" thickBot="1" x14ac:dyDescent="0.3">
      <c r="B59" s="276" t="s">
        <v>73</v>
      </c>
      <c r="C59" s="277" t="e">
        <f>$C$53/$C$57</f>
        <v>#DIV/0!</v>
      </c>
      <c r="D59" s="278"/>
    </row>
    <row r="60" spans="1:16" ht="17.25" thickTop="1" thickBot="1" x14ac:dyDescent="0.3">
      <c r="B60" s="260" t="s">
        <v>74</v>
      </c>
      <c r="C60" s="279" t="e">
        <f>($C$53*$C$52)/$C$56</f>
        <v>#DIV/0!</v>
      </c>
    </row>
    <row r="61" spans="1:16" ht="16.5" thickTop="1" thickBot="1" x14ac:dyDescent="0.3"/>
    <row r="62" spans="1:16" ht="15.75" thickBot="1" x14ac:dyDescent="0.3">
      <c r="N62" s="432"/>
      <c r="O62" s="433" t="s">
        <v>498</v>
      </c>
      <c r="P62" s="440" t="s">
        <v>499</v>
      </c>
    </row>
    <row r="63" spans="1:16" ht="15.75" thickTop="1" x14ac:dyDescent="0.25">
      <c r="B63" s="15" t="s">
        <v>75</v>
      </c>
      <c r="C63" s="280">
        <v>0</v>
      </c>
      <c r="E63" s="3" t="s">
        <v>14</v>
      </c>
      <c r="F63" s="330">
        <v>238</v>
      </c>
      <c r="K63" s="432" t="s">
        <v>55</v>
      </c>
      <c r="L63" s="466">
        <v>0</v>
      </c>
      <c r="N63" s="434" t="s">
        <v>55</v>
      </c>
      <c r="O63" s="441">
        <v>544</v>
      </c>
      <c r="P63" s="442">
        <v>620</v>
      </c>
    </row>
    <row r="64" spans="1:16" ht="15.75" thickBot="1" x14ac:dyDescent="0.3">
      <c r="B64" s="16" t="s">
        <v>76</v>
      </c>
      <c r="C64" s="281">
        <v>0</v>
      </c>
      <c r="E64" s="3" t="s">
        <v>77</v>
      </c>
      <c r="F64" s="22">
        <v>0</v>
      </c>
      <c r="I64" s="330"/>
      <c r="K64" s="434" t="s">
        <v>78</v>
      </c>
      <c r="L64" s="467">
        <v>0</v>
      </c>
      <c r="M64" s="498" t="s">
        <v>535</v>
      </c>
      <c r="N64" s="477" t="s">
        <v>500</v>
      </c>
      <c r="O64" s="478">
        <v>-465.1</v>
      </c>
      <c r="P64" s="479">
        <v>-528.5</v>
      </c>
    </row>
    <row r="65" spans="1:16" ht="16.5" thickTop="1" thickBot="1" x14ac:dyDescent="0.3">
      <c r="B65" s="6" t="s">
        <v>79</v>
      </c>
      <c r="C65" s="282">
        <f>$C$63+$C$64</f>
        <v>0</v>
      </c>
      <c r="E65" s="3" t="s">
        <v>45</v>
      </c>
      <c r="F65" s="330">
        <v>0</v>
      </c>
      <c r="I65" s="330"/>
      <c r="K65" s="434" t="s">
        <v>80</v>
      </c>
      <c r="L65" s="467">
        <v>0</v>
      </c>
      <c r="M65" s="498"/>
      <c r="N65" s="477" t="s">
        <v>501</v>
      </c>
      <c r="O65" s="478">
        <v>-12.5</v>
      </c>
      <c r="P65" s="479">
        <v>-14</v>
      </c>
    </row>
    <row r="66" spans="1:16" ht="15.75" thickTop="1" x14ac:dyDescent="0.25">
      <c r="B66" s="15" t="s">
        <v>30</v>
      </c>
      <c r="C66" s="283">
        <v>0</v>
      </c>
      <c r="E66" s="3" t="s">
        <v>81</v>
      </c>
      <c r="F66" s="330">
        <v>0</v>
      </c>
      <c r="K66" s="434" t="s">
        <v>14</v>
      </c>
      <c r="L66" s="467">
        <v>0</v>
      </c>
      <c r="N66" s="443" t="s">
        <v>14</v>
      </c>
      <c r="O66" s="444">
        <f>O63+O64+O65</f>
        <v>66.399999999999977</v>
      </c>
      <c r="P66" s="445">
        <f>P63+P64+P65</f>
        <v>77.5</v>
      </c>
    </row>
    <row r="67" spans="1:16" ht="30.75" thickBot="1" x14ac:dyDescent="0.3">
      <c r="B67" s="16" t="s">
        <v>77</v>
      </c>
      <c r="C67" s="284" t="e">
        <f>($C$64-$C$66)/$C$64</f>
        <v>#DIV/0!</v>
      </c>
      <c r="E67" s="336" t="s">
        <v>82</v>
      </c>
      <c r="F67" s="330">
        <v>0</v>
      </c>
      <c r="K67" s="434" t="s">
        <v>83</v>
      </c>
      <c r="L67" s="452">
        <v>0</v>
      </c>
      <c r="N67" s="434" t="s">
        <v>502</v>
      </c>
      <c r="O67" s="441">
        <v>0</v>
      </c>
      <c r="P67" s="442">
        <v>0</v>
      </c>
    </row>
    <row r="68" spans="1:16" ht="16.5" thickTop="1" thickBot="1" x14ac:dyDescent="0.3">
      <c r="A68" s="413"/>
      <c r="B68" s="6" t="s">
        <v>84</v>
      </c>
      <c r="C68" s="285" t="e">
        <f>C65*(1-$C$67)</f>
        <v>#DIV/0!</v>
      </c>
      <c r="E68" s="353" t="s">
        <v>85</v>
      </c>
      <c r="F68" s="335">
        <f>F63*(1-F64)</f>
        <v>238</v>
      </c>
      <c r="K68" s="434" t="s">
        <v>61</v>
      </c>
      <c r="L68" s="467">
        <v>0</v>
      </c>
      <c r="N68" s="434" t="s">
        <v>503</v>
      </c>
      <c r="O68" s="441">
        <v>-25.3</v>
      </c>
      <c r="P68" s="442">
        <v>-29.5</v>
      </c>
    </row>
    <row r="69" spans="1:16" ht="15.75" thickTop="1" x14ac:dyDescent="0.25">
      <c r="B69" s="286" t="s">
        <v>86</v>
      </c>
      <c r="C69" s="281">
        <v>0</v>
      </c>
      <c r="E69" s="353" t="s">
        <v>65</v>
      </c>
      <c r="F69" s="382">
        <f>F68+F65-F66-F67</f>
        <v>238</v>
      </c>
      <c r="K69" s="434" t="s">
        <v>87</v>
      </c>
      <c r="L69" s="452">
        <v>0</v>
      </c>
      <c r="N69" s="443" t="s">
        <v>30</v>
      </c>
      <c r="O69" s="444">
        <f>O66+O67+O68</f>
        <v>41.09999999999998</v>
      </c>
      <c r="P69" s="445">
        <f>P66+P67+P68</f>
        <v>48</v>
      </c>
    </row>
    <row r="70" spans="1:16" ht="15.75" thickBot="1" x14ac:dyDescent="0.3">
      <c r="B70" s="287" t="s">
        <v>88</v>
      </c>
      <c r="C70" s="281">
        <v>0</v>
      </c>
      <c r="K70" s="434" t="s">
        <v>77</v>
      </c>
      <c r="L70" s="452">
        <v>0</v>
      </c>
      <c r="N70" s="434" t="s">
        <v>504</v>
      </c>
      <c r="O70" s="441">
        <v>175</v>
      </c>
      <c r="P70" s="442">
        <v>240</v>
      </c>
    </row>
    <row r="71" spans="1:16" ht="16.5" thickTop="1" thickBot="1" x14ac:dyDescent="0.3">
      <c r="A71" s="81"/>
      <c r="B71" s="8" t="s">
        <v>89</v>
      </c>
      <c r="C71" s="288">
        <f>$C$69+$C$70</f>
        <v>0</v>
      </c>
      <c r="K71" s="443" t="s">
        <v>90</v>
      </c>
      <c r="L71" s="468">
        <f>L66*(1-L70)</f>
        <v>0</v>
      </c>
      <c r="N71" s="434" t="s">
        <v>505</v>
      </c>
      <c r="O71" s="441">
        <v>0</v>
      </c>
      <c r="P71" s="442">
        <v>0</v>
      </c>
    </row>
    <row r="72" spans="1:16" ht="16.5" thickTop="1" thickBot="1" x14ac:dyDescent="0.3">
      <c r="A72" s="81"/>
      <c r="B72" s="17" t="s">
        <v>91</v>
      </c>
      <c r="C72" s="284">
        <v>0</v>
      </c>
      <c r="E72" s="3" t="s">
        <v>92</v>
      </c>
      <c r="F72" s="3">
        <v>1189</v>
      </c>
      <c r="K72" s="448" t="s">
        <v>93</v>
      </c>
      <c r="L72" s="469">
        <f>L68-(L65*(1+L67))+((L63*L67)*L69)</f>
        <v>0</v>
      </c>
      <c r="M72" s="330"/>
      <c r="N72" s="443" t="s">
        <v>506</v>
      </c>
      <c r="O72" s="514">
        <f>P71-O71</f>
        <v>0</v>
      </c>
      <c r="P72" s="515"/>
    </row>
    <row r="73" spans="1:16" ht="16.5" thickTop="1" thickBot="1" x14ac:dyDescent="0.3">
      <c r="A73" s="81"/>
      <c r="B73" s="11" t="s">
        <v>94</v>
      </c>
      <c r="C73" s="289">
        <f>$C$71*$C$72</f>
        <v>0</v>
      </c>
      <c r="E73" s="336" t="s">
        <v>57</v>
      </c>
      <c r="F73" s="3">
        <v>749</v>
      </c>
      <c r="G73" s="3" t="s">
        <v>63</v>
      </c>
      <c r="K73" s="470" t="s">
        <v>95</v>
      </c>
      <c r="L73" s="471" t="e">
        <f>L72/L71</f>
        <v>#DIV/0!</v>
      </c>
      <c r="N73" s="434" t="s">
        <v>61</v>
      </c>
      <c r="O73" s="441">
        <v>15</v>
      </c>
      <c r="P73" s="442">
        <v>22</v>
      </c>
    </row>
    <row r="74" spans="1:16" ht="25.5" customHeight="1" thickTop="1" thickBot="1" x14ac:dyDescent="0.3">
      <c r="A74" s="81"/>
      <c r="B74" s="290" t="s">
        <v>96</v>
      </c>
      <c r="C74" s="289" t="e">
        <f>$C$68-$C$73</f>
        <v>#DIV/0!</v>
      </c>
      <c r="E74" s="336" t="s">
        <v>97</v>
      </c>
      <c r="F74" s="3">
        <v>112.3</v>
      </c>
      <c r="G74" s="379">
        <v>0.06</v>
      </c>
      <c r="K74" s="470" t="s">
        <v>40</v>
      </c>
      <c r="L74" s="471" t="e">
        <f>L67/L73</f>
        <v>#DIV/0!</v>
      </c>
      <c r="N74" s="443" t="s">
        <v>507</v>
      </c>
      <c r="O74" s="446">
        <f>O73+O65</f>
        <v>2.5</v>
      </c>
      <c r="P74" s="447">
        <f>P73+P65</f>
        <v>8</v>
      </c>
    </row>
    <row r="75" spans="1:16" ht="16.5" thickTop="1" thickBot="1" x14ac:dyDescent="0.3">
      <c r="B75" s="11" t="s">
        <v>98</v>
      </c>
      <c r="C75" s="291" t="e">
        <f>$C$68/$C$71</f>
        <v>#DIV/0!</v>
      </c>
      <c r="E75" s="353" t="s">
        <v>14</v>
      </c>
      <c r="F75" s="353">
        <f>F72-F73-F74</f>
        <v>327.7</v>
      </c>
      <c r="K75" s="449" t="s">
        <v>99</v>
      </c>
      <c r="L75" s="472">
        <f>((L66*(1+L67)*(1-L70)))+((L65*(1+L67)))-L68-((L63*L67)*L69)</f>
        <v>0</v>
      </c>
      <c r="N75" s="448" t="s">
        <v>138</v>
      </c>
      <c r="O75" s="516">
        <f>P70-O70</f>
        <v>65</v>
      </c>
      <c r="P75" s="517"/>
    </row>
    <row r="76" spans="1:16" ht="16.5" thickTop="1" thickBot="1" x14ac:dyDescent="0.3">
      <c r="B76" s="11" t="s">
        <v>100</v>
      </c>
      <c r="C76" s="292" t="e">
        <f>$C$66/$C$70</f>
        <v>#DIV/0!</v>
      </c>
      <c r="E76" s="3" t="s">
        <v>77</v>
      </c>
      <c r="F76" s="22">
        <v>0.2</v>
      </c>
      <c r="N76" s="449" t="s">
        <v>72</v>
      </c>
      <c r="O76" s="450">
        <f>O69-O74-$O$75+$O$72</f>
        <v>-26.40000000000002</v>
      </c>
      <c r="P76" s="451">
        <f>P69-P74-$O$75+$O$72</f>
        <v>-25</v>
      </c>
    </row>
    <row r="77" spans="1:16" ht="16.5" thickTop="1" thickBot="1" x14ac:dyDescent="0.3">
      <c r="C77" s="293"/>
      <c r="E77" s="353" t="s">
        <v>90</v>
      </c>
      <c r="F77" s="353">
        <f>F75*(1-F76)</f>
        <v>262.16000000000003</v>
      </c>
    </row>
    <row r="78" spans="1:16" x14ac:dyDescent="0.25">
      <c r="C78" s="293"/>
      <c r="E78" s="3" t="s">
        <v>81</v>
      </c>
      <c r="F78" s="3">
        <v>167.3</v>
      </c>
      <c r="K78" s="432" t="s">
        <v>101</v>
      </c>
      <c r="L78" s="473">
        <v>0.2</v>
      </c>
    </row>
    <row r="79" spans="1:16" ht="15.75" thickBot="1" x14ac:dyDescent="0.3">
      <c r="D79" s="5"/>
      <c r="E79" s="353" t="s">
        <v>45</v>
      </c>
      <c r="F79" s="353">
        <f>F74*(1+G74)</f>
        <v>119.038</v>
      </c>
      <c r="K79" s="434" t="s">
        <v>65</v>
      </c>
      <c r="L79" s="474">
        <v>60</v>
      </c>
    </row>
    <row r="80" spans="1:16" ht="15.75" thickTop="1" x14ac:dyDescent="0.25">
      <c r="B80" s="15" t="s">
        <v>102</v>
      </c>
      <c r="C80" s="294">
        <v>0</v>
      </c>
      <c r="D80" s="5"/>
      <c r="E80" s="380" t="s">
        <v>103</v>
      </c>
      <c r="F80" s="353">
        <f>F78-F79</f>
        <v>48.262000000000015</v>
      </c>
      <c r="K80" s="434" t="s">
        <v>104</v>
      </c>
      <c r="L80" s="474">
        <v>900</v>
      </c>
    </row>
    <row r="81" spans="1:16" ht="15.75" thickBot="1" x14ac:dyDescent="0.3">
      <c r="A81" s="81"/>
      <c r="B81" s="17" t="s">
        <v>105</v>
      </c>
      <c r="C81" s="271">
        <v>0</v>
      </c>
      <c r="E81" s="3" t="s">
        <v>106</v>
      </c>
      <c r="F81" s="379">
        <v>0.28000000000000003</v>
      </c>
      <c r="K81" s="434" t="s">
        <v>37</v>
      </c>
      <c r="L81" s="474">
        <v>600</v>
      </c>
    </row>
    <row r="82" spans="1:16" ht="16.5" thickTop="1" thickBot="1" x14ac:dyDescent="0.3">
      <c r="B82" s="10" t="s">
        <v>107</v>
      </c>
      <c r="C82" s="273" t="e">
        <f>$C$81/$C$80</f>
        <v>#DIV/0!</v>
      </c>
      <c r="D82" s="5"/>
      <c r="E82" s="353" t="s">
        <v>108</v>
      </c>
      <c r="F82" s="353">
        <f>G74*F72</f>
        <v>71.34</v>
      </c>
      <c r="K82" s="434" t="s">
        <v>109</v>
      </c>
      <c r="L82" s="474">
        <v>300</v>
      </c>
    </row>
    <row r="83" spans="1:16" ht="16.5" thickTop="1" thickBot="1" x14ac:dyDescent="0.3">
      <c r="A83" s="81"/>
      <c r="B83" s="295" t="s">
        <v>110</v>
      </c>
      <c r="C83" s="296" t="e">
        <f>365/$C$82</f>
        <v>#DIV/0!</v>
      </c>
      <c r="E83" s="353" t="s">
        <v>111</v>
      </c>
      <c r="F83" s="353">
        <f>F81*F82</f>
        <v>19.975200000000005</v>
      </c>
      <c r="K83" s="443" t="s">
        <v>112</v>
      </c>
      <c r="L83" s="468">
        <f>L80+L81-L82</f>
        <v>1200</v>
      </c>
    </row>
    <row r="84" spans="1:16" ht="15.75" thickTop="1" x14ac:dyDescent="0.25">
      <c r="E84" s="331" t="s">
        <v>113</v>
      </c>
      <c r="F84" s="332">
        <f>F80+F83</f>
        <v>68.237200000000016</v>
      </c>
      <c r="G84" s="22"/>
      <c r="K84" s="443" t="s">
        <v>90</v>
      </c>
      <c r="L84" s="468">
        <f>L78*L83</f>
        <v>240</v>
      </c>
    </row>
    <row r="85" spans="1:16" ht="15.75" thickBot="1" x14ac:dyDescent="0.3">
      <c r="A85" s="3" t="s">
        <v>114</v>
      </c>
      <c r="E85" s="331" t="s">
        <v>95</v>
      </c>
      <c r="F85" s="381">
        <f>F84/F77</f>
        <v>0.26028837351235889</v>
      </c>
      <c r="G85" s="22"/>
      <c r="K85" s="443" t="s">
        <v>44</v>
      </c>
      <c r="L85" s="468">
        <f>L84-L79</f>
        <v>180</v>
      </c>
    </row>
    <row r="86" spans="1:16" ht="16.5" thickTop="1" thickBot="1" x14ac:dyDescent="0.3">
      <c r="B86" s="19" t="s">
        <v>30</v>
      </c>
      <c r="C86" s="297">
        <v>0</v>
      </c>
      <c r="E86" s="22"/>
      <c r="F86" s="22"/>
      <c r="G86" s="22"/>
      <c r="K86" s="448" t="s">
        <v>95</v>
      </c>
      <c r="L86" s="475">
        <f>L85/L84</f>
        <v>0.75</v>
      </c>
    </row>
    <row r="87" spans="1:16" ht="16.5" thickTop="1" thickBot="1" x14ac:dyDescent="0.3">
      <c r="A87" s="81"/>
      <c r="B87" s="16" t="s">
        <v>54</v>
      </c>
      <c r="C87" s="281">
        <v>0</v>
      </c>
      <c r="K87" s="449" t="s">
        <v>63</v>
      </c>
      <c r="L87" s="476">
        <f>L78*L86</f>
        <v>0.15000000000000002</v>
      </c>
    </row>
    <row r="88" spans="1:16" x14ac:dyDescent="0.25">
      <c r="A88" s="81"/>
      <c r="B88" s="18" t="s">
        <v>115</v>
      </c>
      <c r="C88" s="281">
        <v>0</v>
      </c>
      <c r="E88" s="3" t="s">
        <v>30</v>
      </c>
      <c r="F88" s="3">
        <v>189</v>
      </c>
    </row>
    <row r="89" spans="1:16" x14ac:dyDescent="0.25">
      <c r="A89" s="81"/>
      <c r="B89" s="18" t="s">
        <v>116</v>
      </c>
      <c r="C89" s="298">
        <v>0</v>
      </c>
      <c r="E89" s="3" t="s">
        <v>117</v>
      </c>
      <c r="F89" s="3">
        <v>1200</v>
      </c>
    </row>
    <row r="90" spans="1:16" x14ac:dyDescent="0.25">
      <c r="A90" s="81"/>
      <c r="B90" s="299" t="s">
        <v>118</v>
      </c>
      <c r="C90" s="281">
        <v>0</v>
      </c>
      <c r="E90" s="3" t="s">
        <v>119</v>
      </c>
      <c r="F90" s="3">
        <v>63</v>
      </c>
    </row>
    <row r="91" spans="1:16" ht="30" x14ac:dyDescent="0.25">
      <c r="A91" s="81"/>
      <c r="B91" s="299" t="s">
        <v>120</v>
      </c>
      <c r="C91" s="300">
        <v>0</v>
      </c>
      <c r="E91" s="336" t="s">
        <v>121</v>
      </c>
      <c r="F91" s="3">
        <v>24</v>
      </c>
      <c r="I91" s="388"/>
      <c r="J91" s="416" t="s">
        <v>122</v>
      </c>
      <c r="K91" s="418">
        <v>2010</v>
      </c>
    </row>
    <row r="92" spans="1:16" ht="30" x14ac:dyDescent="0.25">
      <c r="A92" s="81"/>
      <c r="B92" s="299" t="s">
        <v>123</v>
      </c>
      <c r="C92" s="271">
        <v>0</v>
      </c>
      <c r="D92" s="5"/>
      <c r="E92" s="353" t="s">
        <v>34</v>
      </c>
      <c r="F92" s="331">
        <f>F88/F89</f>
        <v>0.1575</v>
      </c>
      <c r="I92" s="417"/>
      <c r="J92" s="3" t="s">
        <v>124</v>
      </c>
      <c r="K92" s="419">
        <v>0.2</v>
      </c>
      <c r="N92" s="65" t="s">
        <v>14</v>
      </c>
      <c r="O92" s="65" t="s">
        <v>125</v>
      </c>
      <c r="P92" s="425" t="s">
        <v>126</v>
      </c>
    </row>
    <row r="93" spans="1:16" ht="15.75" x14ac:dyDescent="0.25">
      <c r="B93" s="6" t="s">
        <v>127</v>
      </c>
      <c r="C93" s="301" t="e">
        <f>$C$90/$C$91</f>
        <v>#DIV/0!</v>
      </c>
      <c r="D93" s="5"/>
      <c r="E93" s="353" t="s">
        <v>128</v>
      </c>
      <c r="F93" s="331">
        <f>(F90+F91)/F88</f>
        <v>0.46031746031746029</v>
      </c>
      <c r="I93" s="417"/>
      <c r="J93" s="3" t="s">
        <v>14</v>
      </c>
      <c r="K93" s="420">
        <v>4046</v>
      </c>
      <c r="N93" s="425" t="s">
        <v>129</v>
      </c>
      <c r="O93" s="65" t="s">
        <v>130</v>
      </c>
      <c r="P93" s="18" t="s">
        <v>131</v>
      </c>
    </row>
    <row r="94" spans="1:16" ht="31.5" thickTop="1" thickBot="1" x14ac:dyDescent="0.3">
      <c r="B94" s="302" t="s">
        <v>132</v>
      </c>
      <c r="C94" s="303" t="e">
        <f>$C$92/$C$93</f>
        <v>#DIV/0!</v>
      </c>
      <c r="E94" s="380" t="s">
        <v>133</v>
      </c>
      <c r="F94" s="331">
        <f>1-F93</f>
        <v>0.53968253968253976</v>
      </c>
      <c r="I94" s="417"/>
      <c r="J94" s="3" t="s">
        <v>33</v>
      </c>
      <c r="K94" s="420">
        <f>K93*(1-K92)</f>
        <v>3236.8</v>
      </c>
      <c r="N94" s="65" t="s">
        <v>134</v>
      </c>
      <c r="O94" s="65" t="s">
        <v>130</v>
      </c>
      <c r="P94" s="18" t="s">
        <v>131</v>
      </c>
    </row>
    <row r="95" spans="1:16" ht="31.5" thickTop="1" thickBot="1" x14ac:dyDescent="0.3">
      <c r="A95" s="81"/>
      <c r="B95" s="304" t="s">
        <v>135</v>
      </c>
      <c r="C95" s="305" t="e">
        <f>C86/C89</f>
        <v>#DIV/0!</v>
      </c>
      <c r="E95" s="383" t="s">
        <v>136</v>
      </c>
      <c r="F95" s="384">
        <f>F92*F94</f>
        <v>8.500000000000002E-2</v>
      </c>
      <c r="I95" s="417" t="s">
        <v>137</v>
      </c>
      <c r="J95" s="336" t="s">
        <v>45</v>
      </c>
      <c r="K95" s="420">
        <v>2296</v>
      </c>
      <c r="N95" s="65" t="s">
        <v>138</v>
      </c>
      <c r="O95" s="65" t="s">
        <v>130</v>
      </c>
      <c r="P95" s="336" t="s">
        <v>126</v>
      </c>
    </row>
    <row r="96" spans="1:16" ht="17.25" thickTop="1" thickBot="1" x14ac:dyDescent="0.3">
      <c r="B96" s="306"/>
      <c r="I96" s="417" t="s">
        <v>139</v>
      </c>
      <c r="J96" s="3" t="s">
        <v>134</v>
      </c>
      <c r="K96" s="420">
        <v>2586</v>
      </c>
    </row>
    <row r="97" spans="1:15" ht="17.25" thickTop="1" thickBot="1" x14ac:dyDescent="0.3">
      <c r="A97" s="81"/>
      <c r="B97" s="18" t="s">
        <v>25</v>
      </c>
      <c r="C97" s="280">
        <v>0</v>
      </c>
      <c r="I97" s="417" t="s">
        <v>139</v>
      </c>
      <c r="J97" s="422" t="s">
        <v>140</v>
      </c>
      <c r="K97" s="421">
        <v>2313</v>
      </c>
    </row>
    <row r="98" spans="1:15" ht="17.25" thickTop="1" thickBot="1" x14ac:dyDescent="0.3">
      <c r="A98" s="81"/>
      <c r="B98" s="18" t="s">
        <v>141</v>
      </c>
      <c r="C98" s="281">
        <v>0</v>
      </c>
      <c r="I98" s="391"/>
      <c r="J98" s="423" t="s">
        <v>65</v>
      </c>
      <c r="K98" s="424">
        <f>K94+K95-K96-K97</f>
        <v>633.80000000000018</v>
      </c>
      <c r="M98" s="511" t="s">
        <v>255</v>
      </c>
      <c r="N98" s="512"/>
      <c r="O98" s="513"/>
    </row>
    <row r="99" spans="1:15" x14ac:dyDescent="0.25">
      <c r="A99" s="81"/>
      <c r="B99" s="18" t="s">
        <v>142</v>
      </c>
      <c r="C99" s="281">
        <v>0</v>
      </c>
      <c r="M99" s="434" t="s">
        <v>508</v>
      </c>
      <c r="O99" s="452">
        <v>4.7E-2</v>
      </c>
    </row>
    <row r="100" spans="1:15" x14ac:dyDescent="0.25">
      <c r="A100" s="81"/>
      <c r="B100" s="18" t="s">
        <v>143</v>
      </c>
      <c r="C100" s="281">
        <v>0</v>
      </c>
      <c r="M100" s="503" t="s">
        <v>509</v>
      </c>
      <c r="N100" s="504"/>
      <c r="O100" s="452">
        <v>0.45</v>
      </c>
    </row>
    <row r="101" spans="1:15" x14ac:dyDescent="0.25">
      <c r="A101" s="81"/>
      <c r="B101" s="18" t="s">
        <v>124</v>
      </c>
      <c r="C101" s="14">
        <v>0</v>
      </c>
      <c r="M101" s="503" t="s">
        <v>510</v>
      </c>
      <c r="N101" s="504"/>
      <c r="O101" s="452">
        <v>0.17</v>
      </c>
    </row>
    <row r="102" spans="1:15" ht="15.75" thickBot="1" x14ac:dyDescent="0.3">
      <c r="A102" s="81"/>
      <c r="B102" s="17" t="s">
        <v>115</v>
      </c>
      <c r="C102" s="281">
        <v>0</v>
      </c>
      <c r="I102" s="3" t="s">
        <v>33</v>
      </c>
      <c r="J102" s="9">
        <v>238</v>
      </c>
      <c r="M102" s="503" t="s">
        <v>511</v>
      </c>
      <c r="N102" s="504"/>
      <c r="O102" s="452">
        <v>2.63E-2</v>
      </c>
    </row>
    <row r="103" spans="1:15" ht="16.5" thickTop="1" thickBot="1" x14ac:dyDescent="0.3">
      <c r="B103" s="8" t="s">
        <v>30</v>
      </c>
      <c r="C103" s="307">
        <f>((C97)-($C$98+$C$99+$C$100))*(1-$C$101)</f>
        <v>0</v>
      </c>
      <c r="I103" s="3" t="s">
        <v>117</v>
      </c>
      <c r="J103" s="9">
        <v>784</v>
      </c>
      <c r="M103" s="507" t="s">
        <v>512</v>
      </c>
      <c r="N103" s="508"/>
      <c r="O103" s="453">
        <f>O100/O101</f>
        <v>2.6470588235294117</v>
      </c>
    </row>
    <row r="104" spans="1:15" ht="16.5" thickTop="1" thickBot="1" x14ac:dyDescent="0.3">
      <c r="B104" s="11" t="s">
        <v>144</v>
      </c>
      <c r="C104" s="308">
        <f>$C$103-$C$102</f>
        <v>0</v>
      </c>
      <c r="I104" s="3" t="s">
        <v>482</v>
      </c>
      <c r="J104" s="9">
        <v>233</v>
      </c>
      <c r="M104" s="509" t="s">
        <v>513</v>
      </c>
      <c r="N104" s="510"/>
      <c r="O104" s="460">
        <f>O102*O103</f>
        <v>6.9617647058823534E-2</v>
      </c>
    </row>
    <row r="105" spans="1:15" ht="16.5" thickTop="1" thickBot="1" x14ac:dyDescent="0.3">
      <c r="I105" s="3" t="s">
        <v>483</v>
      </c>
      <c r="J105" s="40">
        <v>0.11</v>
      </c>
      <c r="M105" s="507" t="s">
        <v>514</v>
      </c>
      <c r="N105" s="508"/>
      <c r="O105" s="454">
        <f>O99+O104</f>
        <v>0.11661764705882353</v>
      </c>
    </row>
    <row r="106" spans="1:15" ht="15.75" thickBot="1" x14ac:dyDescent="0.3">
      <c r="M106" s="511" t="s">
        <v>515</v>
      </c>
      <c r="N106" s="512"/>
      <c r="O106" s="513"/>
    </row>
    <row r="107" spans="1:15" ht="15.75" thickTop="1" x14ac:dyDescent="0.25">
      <c r="B107" s="309" t="s">
        <v>145</v>
      </c>
      <c r="C107" s="310">
        <v>0</v>
      </c>
      <c r="I107" s="353" t="s">
        <v>484</v>
      </c>
      <c r="J107" s="428">
        <f>J103+J104</f>
        <v>1017</v>
      </c>
      <c r="M107" s="503" t="s">
        <v>516</v>
      </c>
      <c r="N107" s="504"/>
      <c r="O107" s="452">
        <v>5.0299999999999997E-2</v>
      </c>
    </row>
    <row r="108" spans="1:15" x14ac:dyDescent="0.25">
      <c r="B108" s="311" t="s">
        <v>146</v>
      </c>
      <c r="C108" s="312">
        <v>0</v>
      </c>
      <c r="I108" s="353" t="s">
        <v>485</v>
      </c>
      <c r="J108" s="376">
        <f>J102/J107</f>
        <v>0.23402163225172073</v>
      </c>
      <c r="M108" s="503" t="s">
        <v>517</v>
      </c>
      <c r="N108" s="504"/>
      <c r="O108" s="452">
        <v>0.38</v>
      </c>
    </row>
    <row r="109" spans="1:15" ht="15.75" thickBot="1" x14ac:dyDescent="0.3">
      <c r="B109" s="311" t="s">
        <v>147</v>
      </c>
      <c r="C109" s="313">
        <v>0</v>
      </c>
      <c r="I109" s="353" t="s">
        <v>486</v>
      </c>
      <c r="J109" s="428">
        <f>J102*(1+J105)</f>
        <v>264.18</v>
      </c>
      <c r="M109" s="503" t="s">
        <v>518</v>
      </c>
      <c r="N109" s="504"/>
      <c r="O109" s="452">
        <v>0.22</v>
      </c>
    </row>
    <row r="110" spans="1:15" ht="16.5" thickTop="1" thickBot="1" x14ac:dyDescent="0.3">
      <c r="B110" s="314" t="s">
        <v>148</v>
      </c>
      <c r="C110" s="315" t="e">
        <f>(C108+C109-C107)/C107</f>
        <v>#DIV/0!</v>
      </c>
      <c r="I110" s="353" t="s">
        <v>487</v>
      </c>
      <c r="J110" s="428">
        <f>J109/J108</f>
        <v>1128.8700000000001</v>
      </c>
      <c r="M110" s="505" t="s">
        <v>519</v>
      </c>
      <c r="N110" s="506"/>
      <c r="O110" s="461">
        <f>O108/O109</f>
        <v>1.7272727272727273</v>
      </c>
    </row>
    <row r="111" spans="1:15" ht="15.75" thickBot="1" x14ac:dyDescent="0.3">
      <c r="C111" s="3" t="s">
        <v>149</v>
      </c>
      <c r="D111" s="330">
        <v>0</v>
      </c>
      <c r="I111" s="353" t="s">
        <v>488</v>
      </c>
      <c r="J111" s="428">
        <f>J110-J107</f>
        <v>111.87000000000012</v>
      </c>
      <c r="M111" s="443" t="s">
        <v>520</v>
      </c>
      <c r="N111" s="455">
        <f>(((O108-O109)/O109)*O107)+O107</f>
        <v>8.6881818181818171E-2</v>
      </c>
      <c r="O111" s="454">
        <f>(((O108-O109)/O109)*O107)</f>
        <v>3.6581818181818181E-2</v>
      </c>
    </row>
    <row r="112" spans="1:15" ht="15.75" thickBot="1" x14ac:dyDescent="0.3">
      <c r="B112" s="41" t="s">
        <v>150</v>
      </c>
      <c r="C112" s="316" t="s">
        <v>151</v>
      </c>
      <c r="D112" s="316" t="s">
        <v>62</v>
      </c>
      <c r="E112" s="317" t="s">
        <v>152</v>
      </c>
      <c r="I112" s="411" t="s">
        <v>65</v>
      </c>
      <c r="J112" s="429">
        <f>J109*(1-(J105/J108))</f>
        <v>140.0043</v>
      </c>
      <c r="M112" s="511" t="s">
        <v>513</v>
      </c>
      <c r="N112" s="512"/>
      <c r="O112" s="513"/>
    </row>
    <row r="113" spans="1:15" ht="15.75" thickTop="1" x14ac:dyDescent="0.25">
      <c r="B113" s="318" t="s">
        <v>153</v>
      </c>
      <c r="C113" s="369">
        <v>0</v>
      </c>
      <c r="D113" s="369">
        <v>0</v>
      </c>
      <c r="E113" s="319" t="e">
        <f>(D113-D111+C113)/D111</f>
        <v>#DIV/0!</v>
      </c>
      <c r="M113" s="503" t="s">
        <v>517</v>
      </c>
      <c r="N113" s="504"/>
      <c r="O113" s="452">
        <v>0.43</v>
      </c>
    </row>
    <row r="114" spans="1:15" ht="15.75" thickBot="1" x14ac:dyDescent="0.3">
      <c r="B114" s="320" t="s">
        <v>154</v>
      </c>
      <c r="C114" s="370">
        <v>0</v>
      </c>
      <c r="D114" s="370">
        <v>0</v>
      </c>
      <c r="E114" s="321" t="e">
        <f>(D114-D111+C114)/D111</f>
        <v>#DIV/0!</v>
      </c>
      <c r="M114" s="503" t="s">
        <v>517</v>
      </c>
      <c r="N114" s="504"/>
      <c r="O114" s="452">
        <v>0.2</v>
      </c>
    </row>
    <row r="115" spans="1:15" ht="20.25" thickTop="1" thickBot="1" x14ac:dyDescent="0.3">
      <c r="B115" s="322" t="s">
        <v>155</v>
      </c>
      <c r="C115" s="371">
        <v>0</v>
      </c>
      <c r="D115" s="371">
        <v>0</v>
      </c>
      <c r="E115" s="319" t="e">
        <f>(D115-D111+C115)/D111</f>
        <v>#DIV/0!</v>
      </c>
      <c r="H115" s="518" t="s">
        <v>122</v>
      </c>
      <c r="I115" s="519"/>
      <c r="J115" s="519"/>
      <c r="K115" s="520"/>
      <c r="M115" s="503" t="s">
        <v>511</v>
      </c>
      <c r="N115" s="504"/>
      <c r="O115" s="452">
        <v>3.6400000000000002E-2</v>
      </c>
    </row>
    <row r="116" spans="1:15" ht="16.5" thickTop="1" thickBot="1" x14ac:dyDescent="0.3">
      <c r="B116" s="65"/>
      <c r="C116" s="65"/>
      <c r="D116" s="323" t="s">
        <v>156</v>
      </c>
      <c r="E116" s="372" t="e">
        <f>((1/3)*E113)+((1/3)*E114)+((1/3)*E115)</f>
        <v>#DIV/0!</v>
      </c>
      <c r="H116" s="434" t="s">
        <v>494</v>
      </c>
      <c r="I116" s="99"/>
      <c r="J116" s="3" t="s">
        <v>30</v>
      </c>
      <c r="K116" s="435">
        <v>0</v>
      </c>
      <c r="M116" s="505" t="s">
        <v>519</v>
      </c>
      <c r="N116" s="506"/>
      <c r="O116" s="462">
        <f>O113/O114</f>
        <v>2.15</v>
      </c>
    </row>
    <row r="117" spans="1:15" ht="14.25" customHeight="1" thickTop="1" thickBot="1" x14ac:dyDescent="0.3">
      <c r="B117" s="535" t="s">
        <v>157</v>
      </c>
      <c r="C117" s="536">
        <v>0</v>
      </c>
      <c r="H117" s="434" t="s">
        <v>495</v>
      </c>
      <c r="I117" s="81" t="s">
        <v>137</v>
      </c>
      <c r="J117" s="3" t="s">
        <v>489</v>
      </c>
      <c r="K117" s="435">
        <v>0</v>
      </c>
      <c r="M117" s="521" t="s">
        <v>521</v>
      </c>
      <c r="N117" s="522"/>
      <c r="O117" s="463">
        <f>O115*O116</f>
        <v>7.8259999999999996E-2</v>
      </c>
    </row>
    <row r="118" spans="1:15" ht="14.25" customHeight="1" thickBot="1" x14ac:dyDescent="0.3">
      <c r="B118" s="537" t="s">
        <v>37</v>
      </c>
      <c r="C118" s="538">
        <v>0</v>
      </c>
      <c r="H118" s="434" t="s">
        <v>495</v>
      </c>
      <c r="I118" s="81" t="s">
        <v>493</v>
      </c>
      <c r="J118" s="3" t="s">
        <v>134</v>
      </c>
      <c r="K118" s="435">
        <v>0</v>
      </c>
      <c r="M118" s="511" t="s">
        <v>522</v>
      </c>
      <c r="N118" s="512"/>
      <c r="O118" s="513"/>
    </row>
    <row r="119" spans="1:15" x14ac:dyDescent="0.25">
      <c r="B119" s="537" t="s">
        <v>158</v>
      </c>
      <c r="C119" s="538">
        <v>0</v>
      </c>
      <c r="H119" s="434" t="s">
        <v>494</v>
      </c>
      <c r="I119" s="81" t="s">
        <v>493</v>
      </c>
      <c r="J119" s="3" t="s">
        <v>490</v>
      </c>
      <c r="K119" s="435">
        <v>0</v>
      </c>
      <c r="M119" s="523" t="s">
        <v>511</v>
      </c>
      <c r="N119" s="524"/>
      <c r="O119" s="452">
        <v>3.2000000000000001E-2</v>
      </c>
    </row>
    <row r="120" spans="1:15" ht="15.75" thickBot="1" x14ac:dyDescent="0.3">
      <c r="B120" s="537" t="s">
        <v>159</v>
      </c>
      <c r="C120" s="538">
        <v>0</v>
      </c>
      <c r="H120" s="434" t="s">
        <v>495</v>
      </c>
      <c r="I120" s="81" t="s">
        <v>137</v>
      </c>
      <c r="J120" s="3" t="s">
        <v>491</v>
      </c>
      <c r="K120" s="435">
        <v>0</v>
      </c>
      <c r="M120" s="525" t="s">
        <v>508</v>
      </c>
      <c r="N120" s="526"/>
      <c r="O120" s="464">
        <v>5.7700000000000001E-2</v>
      </c>
    </row>
    <row r="121" spans="1:15" ht="16.5" thickTop="1" thickBot="1" x14ac:dyDescent="0.3">
      <c r="B121" s="537" t="s">
        <v>45</v>
      </c>
      <c r="C121" s="538">
        <v>0</v>
      </c>
      <c r="H121" s="434" t="s">
        <v>495</v>
      </c>
      <c r="I121" s="81" t="s">
        <v>139</v>
      </c>
      <c r="J121" s="430" t="s">
        <v>492</v>
      </c>
      <c r="K121" s="436">
        <v>0</v>
      </c>
      <c r="M121" s="507" t="s">
        <v>522</v>
      </c>
      <c r="N121" s="508"/>
      <c r="O121" s="454">
        <f>O119+O120</f>
        <v>8.9700000000000002E-2</v>
      </c>
    </row>
    <row r="122" spans="1:15" ht="16.5" thickTop="1" thickBot="1" x14ac:dyDescent="0.3">
      <c r="B122" s="537" t="s">
        <v>160</v>
      </c>
      <c r="C122" s="538">
        <v>0</v>
      </c>
      <c r="H122" s="437"/>
      <c r="I122" s="494"/>
      <c r="J122" s="438" t="s">
        <v>72</v>
      </c>
      <c r="K122" s="439">
        <f>K116+K117-K118-K119+K120-K121</f>
        <v>0</v>
      </c>
      <c r="M122" s="511" t="s">
        <v>523</v>
      </c>
      <c r="N122" s="512"/>
      <c r="O122" s="513"/>
    </row>
    <row r="123" spans="1:15" x14ac:dyDescent="0.25">
      <c r="B123" s="537" t="s">
        <v>161</v>
      </c>
      <c r="C123" s="538">
        <v>0</v>
      </c>
      <c r="M123" s="503" t="s">
        <v>481</v>
      </c>
      <c r="N123" s="504"/>
      <c r="O123" s="456">
        <v>1.23</v>
      </c>
    </row>
    <row r="124" spans="1:15" x14ac:dyDescent="0.25">
      <c r="A124" s="3" t="s">
        <v>162</v>
      </c>
      <c r="B124" s="537" t="s">
        <v>163</v>
      </c>
      <c r="C124" s="538">
        <v>0</v>
      </c>
      <c r="M124" s="503" t="s">
        <v>527</v>
      </c>
      <c r="N124" s="504"/>
      <c r="O124" s="452">
        <v>3.6299999999999999E-2</v>
      </c>
    </row>
    <row r="125" spans="1:15" ht="15.75" thickBot="1" x14ac:dyDescent="0.3">
      <c r="B125" s="547" t="s">
        <v>15</v>
      </c>
      <c r="C125" s="548">
        <v>0</v>
      </c>
      <c r="M125" s="503" t="s">
        <v>528</v>
      </c>
      <c r="N125" s="504"/>
      <c r="O125" s="452">
        <v>5.7000000000000002E-2</v>
      </c>
    </row>
    <row r="126" spans="1:15" ht="16.5" thickTop="1" thickBot="1" x14ac:dyDescent="0.3">
      <c r="B126" s="539" t="s">
        <v>164</v>
      </c>
      <c r="C126" s="540" t="e">
        <f>C124/C117</f>
        <v>#DIV/0!</v>
      </c>
      <c r="H126" s="110"/>
      <c r="I126" s="110"/>
      <c r="J126" s="110"/>
      <c r="K126" s="110"/>
      <c r="M126" s="503" t="s">
        <v>513</v>
      </c>
      <c r="N126" s="504"/>
      <c r="O126" s="452">
        <v>8.5099999999999995E-2</v>
      </c>
    </row>
    <row r="127" spans="1:15" ht="16.5" thickTop="1" thickBot="1" x14ac:dyDescent="0.3">
      <c r="B127" s="539" t="s">
        <v>165</v>
      </c>
      <c r="C127" s="540" t="e">
        <f>C120/C119</f>
        <v>#DIV/0!</v>
      </c>
      <c r="G127" s="104"/>
      <c r="H127" s="485" t="s">
        <v>536</v>
      </c>
      <c r="I127" s="482" t="s">
        <v>537</v>
      </c>
      <c r="J127" s="482" t="s">
        <v>77</v>
      </c>
      <c r="K127" s="489" t="s">
        <v>540</v>
      </c>
      <c r="M127" s="503" t="s">
        <v>529</v>
      </c>
      <c r="N127" s="504"/>
      <c r="O127" s="452">
        <v>0.85</v>
      </c>
    </row>
    <row r="128" spans="1:15" ht="15.75" thickTop="1" x14ac:dyDescent="0.25">
      <c r="A128" s="25"/>
      <c r="B128" s="539" t="s">
        <v>166</v>
      </c>
      <c r="C128" s="541" t="e">
        <f>C120/C125</f>
        <v>#DIV/0!</v>
      </c>
      <c r="F128" s="81"/>
      <c r="G128" s="481" t="s">
        <v>538</v>
      </c>
      <c r="H128" s="483">
        <v>1.19</v>
      </c>
      <c r="I128" s="483">
        <v>0.34</v>
      </c>
      <c r="J128" s="483">
        <v>0.47</v>
      </c>
      <c r="K128" s="488">
        <v>0.73</v>
      </c>
      <c r="M128" s="503" t="s">
        <v>530</v>
      </c>
      <c r="N128" s="504"/>
      <c r="O128" s="452">
        <v>0.61</v>
      </c>
    </row>
    <row r="129" spans="2:15" ht="15.75" thickBot="1" x14ac:dyDescent="0.3">
      <c r="B129" s="539" t="s">
        <v>167</v>
      </c>
      <c r="C129" s="542" t="e">
        <f>C118/C123</f>
        <v>#DIV/0!</v>
      </c>
      <c r="F129" s="81"/>
      <c r="G129" s="481" t="s">
        <v>539</v>
      </c>
      <c r="H129" s="490">
        <v>1.1499999999999999</v>
      </c>
      <c r="I129" s="483">
        <v>0.76</v>
      </c>
      <c r="J129" s="483">
        <v>0.47</v>
      </c>
      <c r="K129" s="492">
        <v>0.39</v>
      </c>
      <c r="M129" s="507" t="s">
        <v>524</v>
      </c>
      <c r="N129" s="508"/>
      <c r="O129" s="457">
        <f>O127/O128</f>
        <v>1.3934426229508197</v>
      </c>
    </row>
    <row r="130" spans="2:15" ht="16.5" thickTop="1" thickBot="1" x14ac:dyDescent="0.3">
      <c r="B130" s="543" t="s">
        <v>168</v>
      </c>
      <c r="C130" s="544" t="e">
        <f>C122/C118</f>
        <v>#DIV/0!</v>
      </c>
      <c r="F130" s="81"/>
      <c r="G130" s="90" t="s">
        <v>541</v>
      </c>
      <c r="H130" s="78"/>
      <c r="I130" s="491">
        <v>0.56000000000000005</v>
      </c>
      <c r="J130" s="492">
        <v>0.31</v>
      </c>
      <c r="M130" s="505" t="s">
        <v>525</v>
      </c>
      <c r="N130" s="506"/>
      <c r="O130" s="465">
        <f>O129*O126</f>
        <v>0.11858196721311474</v>
      </c>
    </row>
    <row r="131" spans="2:15" ht="16.5" thickTop="1" thickBot="1" x14ac:dyDescent="0.3">
      <c r="B131" s="545" t="s">
        <v>169</v>
      </c>
      <c r="C131" s="546" t="e">
        <f>C122/C118</f>
        <v>#DIV/0!</v>
      </c>
      <c r="F131" s="81"/>
      <c r="H131" s="110"/>
      <c r="I131" s="110"/>
      <c r="J131" s="493"/>
      <c r="M131" s="529" t="s">
        <v>526</v>
      </c>
      <c r="N131" s="496"/>
      <c r="O131" s="458">
        <f>O124+O123*O125+O130</f>
        <v>0.22499196721311476</v>
      </c>
    </row>
    <row r="132" spans="2:15" ht="16.5" thickTop="1" thickBot="1" x14ac:dyDescent="0.3">
      <c r="B132" s="65"/>
      <c r="C132" s="413"/>
      <c r="F132" s="81"/>
      <c r="G132" s="278"/>
      <c r="H132" s="485" t="s">
        <v>542</v>
      </c>
      <c r="I132" s="482" t="s">
        <v>543</v>
      </c>
      <c r="J132" s="489" t="s">
        <v>544</v>
      </c>
      <c r="M132" s="511" t="s">
        <v>531</v>
      </c>
      <c r="N132" s="512"/>
      <c r="O132" s="513"/>
    </row>
    <row r="133" spans="2:15" ht="15.75" thickTop="1" x14ac:dyDescent="0.25">
      <c r="B133" s="361" t="s">
        <v>170</v>
      </c>
      <c r="C133" s="364">
        <v>0</v>
      </c>
      <c r="F133" s="81"/>
      <c r="G133" s="480" t="s">
        <v>538</v>
      </c>
      <c r="H133" s="484">
        <f>H128/(1+(1-J128)*(I128))</f>
        <v>1.0083036773428231</v>
      </c>
      <c r="I133" s="499">
        <f>((K128)*(H133))+((K129)*(H134))</f>
        <v>1.0557793919025191</v>
      </c>
      <c r="J133" s="501">
        <f>I133*(1+(1-J130)*(I130))</f>
        <v>1.4637325489336526</v>
      </c>
      <c r="M133" s="523" t="s">
        <v>532</v>
      </c>
      <c r="N133" s="524"/>
      <c r="O133" s="43">
        <v>0.96</v>
      </c>
    </row>
    <row r="134" spans="2:15" ht="15.75" thickBot="1" x14ac:dyDescent="0.3">
      <c r="B134" s="3" t="s">
        <v>171</v>
      </c>
      <c r="C134" s="237">
        <v>0</v>
      </c>
      <c r="F134" s="81"/>
      <c r="G134" s="486" t="s">
        <v>539</v>
      </c>
      <c r="H134" s="487">
        <f>H129/(1+(1-J129)*(I129))</f>
        <v>0.81978899344168799</v>
      </c>
      <c r="I134" s="500"/>
      <c r="J134" s="502"/>
      <c r="M134" s="523" t="s">
        <v>209</v>
      </c>
      <c r="N134" s="524"/>
      <c r="O134" s="43">
        <v>1.33</v>
      </c>
    </row>
    <row r="135" spans="2:15" ht="15.75" thickTop="1" x14ac:dyDescent="0.25">
      <c r="B135" s="3" t="s">
        <v>172</v>
      </c>
      <c r="C135" s="237">
        <v>0</v>
      </c>
      <c r="M135" s="523" t="s">
        <v>190</v>
      </c>
      <c r="N135" s="524"/>
      <c r="O135" s="452">
        <v>3.9800000000000002E-2</v>
      </c>
    </row>
    <row r="136" spans="2:15" x14ac:dyDescent="0.25">
      <c r="B136" s="353" t="s">
        <v>173</v>
      </c>
      <c r="C136" s="365">
        <f>C133/(1-C135)</f>
        <v>0</v>
      </c>
      <c r="M136" s="523" t="s">
        <v>533</v>
      </c>
      <c r="N136" s="524"/>
      <c r="O136" s="452">
        <v>4.9399999999999999E-2</v>
      </c>
    </row>
    <row r="137" spans="2:15" ht="15.75" thickBot="1" x14ac:dyDescent="0.3">
      <c r="J137" s="430"/>
      <c r="M137" s="523" t="s">
        <v>521</v>
      </c>
      <c r="N137" s="524"/>
      <c r="O137" s="452">
        <v>7.3599999999999999E-2</v>
      </c>
    </row>
    <row r="138" spans="2:15" ht="16.5" thickTop="1" thickBot="1" x14ac:dyDescent="0.3">
      <c r="B138" s="3" t="s">
        <v>174</v>
      </c>
      <c r="C138" s="237">
        <v>0</v>
      </c>
      <c r="M138" s="505" t="s">
        <v>522</v>
      </c>
      <c r="N138" s="506"/>
      <c r="O138" s="465">
        <f>O136+(O133*O137)</f>
        <v>0.120056</v>
      </c>
    </row>
    <row r="139" spans="2:15" ht="16.5" thickTop="1" thickBot="1" x14ac:dyDescent="0.3">
      <c r="B139" s="3" t="s">
        <v>175</v>
      </c>
      <c r="C139" s="237">
        <v>0</v>
      </c>
      <c r="M139" s="527" t="s">
        <v>534</v>
      </c>
      <c r="N139" s="528"/>
      <c r="O139" s="459">
        <f>O135+(O134*O136)+(O133*O137)</f>
        <v>0.17615799999999998</v>
      </c>
    </row>
    <row r="140" spans="2:15" x14ac:dyDescent="0.25">
      <c r="B140" s="353" t="s">
        <v>176</v>
      </c>
      <c r="C140" s="324">
        <f>C139*(1-C138)</f>
        <v>0</v>
      </c>
    </row>
    <row r="141" spans="2:15" x14ac:dyDescent="0.25">
      <c r="D141" s="3" t="s">
        <v>177</v>
      </c>
      <c r="E141" s="40">
        <v>0</v>
      </c>
    </row>
    <row r="142" spans="2:15" x14ac:dyDescent="0.25">
      <c r="C142" s="3" t="s">
        <v>178</v>
      </c>
      <c r="D142" s="3" t="s">
        <v>179</v>
      </c>
      <c r="E142" s="3" t="s">
        <v>180</v>
      </c>
    </row>
    <row r="143" spans="2:15" x14ac:dyDescent="0.25">
      <c r="B143" s="3" t="s">
        <v>181</v>
      </c>
      <c r="C143" s="40">
        <v>0</v>
      </c>
      <c r="D143" s="40">
        <v>0</v>
      </c>
      <c r="E143" s="40">
        <v>0</v>
      </c>
    </row>
    <row r="144" spans="2:15" x14ac:dyDescent="0.25">
      <c r="B144" s="3" t="s">
        <v>182</v>
      </c>
      <c r="C144" s="3">
        <v>0</v>
      </c>
      <c r="D144" s="3">
        <v>0</v>
      </c>
      <c r="E144" s="3">
        <v>0</v>
      </c>
    </row>
    <row r="145" spans="2:5" x14ac:dyDescent="0.25">
      <c r="B145" s="3" t="s">
        <v>183</v>
      </c>
      <c r="C145" s="3">
        <v>0</v>
      </c>
      <c r="D145" s="3">
        <v>0</v>
      </c>
      <c r="E145" s="3">
        <v>0</v>
      </c>
    </row>
    <row r="146" spans="2:5" x14ac:dyDescent="0.25">
      <c r="B146" s="3" t="s">
        <v>184</v>
      </c>
      <c r="C146" s="3">
        <v>0</v>
      </c>
      <c r="D146" s="3">
        <v>0</v>
      </c>
      <c r="E146" s="3">
        <v>0</v>
      </c>
    </row>
    <row r="147" spans="2:5" x14ac:dyDescent="0.25">
      <c r="B147" s="3" t="s">
        <v>185</v>
      </c>
      <c r="C147" s="3">
        <v>0</v>
      </c>
      <c r="D147" s="3">
        <v>0</v>
      </c>
      <c r="E147" s="3">
        <v>0</v>
      </c>
    </row>
    <row r="148" spans="2:5" x14ac:dyDescent="0.25">
      <c r="B148" s="46" t="s">
        <v>186</v>
      </c>
      <c r="C148" s="376">
        <f>(1+C143)/(1+$E$141)-1</f>
        <v>0</v>
      </c>
      <c r="D148" s="376">
        <f>(1+D143)/(1+$E$141)-1</f>
        <v>0</v>
      </c>
      <c r="E148" s="376">
        <f t="shared" ref="E148" si="0">(1+E143)/(1+$E$141)-1</f>
        <v>0</v>
      </c>
    </row>
    <row r="149" spans="2:5" x14ac:dyDescent="0.25">
      <c r="C149" s="363"/>
    </row>
    <row r="150" spans="2:5" x14ac:dyDescent="0.25">
      <c r="C150" s="363"/>
    </row>
    <row r="151" spans="2:5" x14ac:dyDescent="0.25">
      <c r="C151" s="40" t="s">
        <v>187</v>
      </c>
      <c r="D151" s="3" t="s">
        <v>188</v>
      </c>
    </row>
    <row r="152" spans="2:5" x14ac:dyDescent="0.25">
      <c r="B152" s="3" t="s">
        <v>189</v>
      </c>
      <c r="C152" s="237">
        <v>0</v>
      </c>
      <c r="D152" s="237">
        <v>0</v>
      </c>
    </row>
    <row r="153" spans="2:5" x14ac:dyDescent="0.25">
      <c r="B153" s="3" t="s">
        <v>183</v>
      </c>
      <c r="C153" s="237">
        <v>0</v>
      </c>
      <c r="D153" s="237">
        <v>0</v>
      </c>
    </row>
    <row r="154" spans="2:5" x14ac:dyDescent="0.25">
      <c r="B154" s="3" t="s">
        <v>190</v>
      </c>
      <c r="C154" s="237">
        <v>0</v>
      </c>
      <c r="D154" s="237">
        <v>0</v>
      </c>
    </row>
    <row r="155" spans="2:5" x14ac:dyDescent="0.25">
      <c r="B155" s="46" t="s">
        <v>191</v>
      </c>
      <c r="C155" s="377" t="e">
        <f>((C152-C154)/C153)</f>
        <v>#DIV/0!</v>
      </c>
      <c r="D155" s="377" t="e">
        <f>((D152-D154)/D153)</f>
        <v>#DIV/0!</v>
      </c>
    </row>
    <row r="162" spans="3:5" x14ac:dyDescent="0.25">
      <c r="D162" s="396" t="s">
        <v>192</v>
      </c>
      <c r="E162" s="389" t="s">
        <v>193</v>
      </c>
    </row>
    <row r="163" spans="3:5" x14ac:dyDescent="0.25">
      <c r="C163" s="398" t="s">
        <v>35</v>
      </c>
      <c r="D163" s="330">
        <v>4000</v>
      </c>
      <c r="E163" s="401">
        <v>2968</v>
      </c>
    </row>
    <row r="164" spans="3:5" x14ac:dyDescent="0.25">
      <c r="C164" s="399" t="s">
        <v>194</v>
      </c>
      <c r="D164" s="330">
        <v>2000</v>
      </c>
      <c r="E164" s="402">
        <v>2429</v>
      </c>
    </row>
    <row r="165" spans="3:5" x14ac:dyDescent="0.25">
      <c r="C165" s="400" t="s">
        <v>195</v>
      </c>
      <c r="D165" s="393">
        <v>1000</v>
      </c>
      <c r="E165" s="397">
        <v>1000</v>
      </c>
    </row>
    <row r="166" spans="3:5" x14ac:dyDescent="0.25">
      <c r="C166" s="353" t="s">
        <v>196</v>
      </c>
      <c r="D166" s="335">
        <f>D163+D164-D165</f>
        <v>5000</v>
      </c>
      <c r="E166" s="335">
        <f>E163+E164-E165</f>
        <v>4397</v>
      </c>
    </row>
    <row r="167" spans="3:5" x14ac:dyDescent="0.25">
      <c r="C167" s="3" t="s">
        <v>197</v>
      </c>
      <c r="D167" s="330">
        <v>293</v>
      </c>
    </row>
    <row r="168" spans="3:5" x14ac:dyDescent="0.25">
      <c r="C168" s="3" t="s">
        <v>198</v>
      </c>
      <c r="D168" s="415">
        <v>3.1809999999999998E-2</v>
      </c>
    </row>
    <row r="169" spans="3:5" x14ac:dyDescent="0.25">
      <c r="C169" s="3" t="s">
        <v>199</v>
      </c>
      <c r="D169" s="22">
        <v>8.1600000000000006E-2</v>
      </c>
    </row>
    <row r="170" spans="3:5" x14ac:dyDescent="0.25">
      <c r="C170" s="353" t="s">
        <v>40</v>
      </c>
      <c r="D170" s="331">
        <f>D167/E166</f>
        <v>6.6636342961109846E-2</v>
      </c>
    </row>
    <row r="171" spans="3:5" x14ac:dyDescent="0.25">
      <c r="C171" s="353" t="s">
        <v>200</v>
      </c>
      <c r="D171" s="331">
        <f>((D170-D168)/(D169-D168))/100</f>
        <v>6.9946461058666091E-3</v>
      </c>
    </row>
    <row r="172" spans="3:5" x14ac:dyDescent="0.25">
      <c r="D172" s="353">
        <f>D171*E166</f>
        <v>30.755458927495479</v>
      </c>
      <c r="E172" s="335">
        <f>(D172*100)-D165</f>
        <v>2075.5458927495479</v>
      </c>
    </row>
    <row r="173" spans="3:5" x14ac:dyDescent="0.25">
      <c r="C173" s="383" t="s">
        <v>35</v>
      </c>
      <c r="D173" s="387">
        <f>D163-E172</f>
        <v>1924.4541072504521</v>
      </c>
    </row>
    <row r="174" spans="3:5" x14ac:dyDescent="0.25">
      <c r="D174" s="22"/>
    </row>
    <row r="178" spans="3:8" x14ac:dyDescent="0.25">
      <c r="C178" s="396"/>
      <c r="D178" s="405" t="s">
        <v>201</v>
      </c>
      <c r="E178" s="394" t="s">
        <v>52</v>
      </c>
      <c r="F178" s="396" t="s">
        <v>53</v>
      </c>
      <c r="G178" s="395" t="s">
        <v>202</v>
      </c>
    </row>
    <row r="179" spans="3:8" x14ac:dyDescent="0.25">
      <c r="C179" s="399" t="s">
        <v>203</v>
      </c>
      <c r="E179" s="22">
        <v>0.06</v>
      </c>
      <c r="F179" s="22">
        <v>0.06</v>
      </c>
      <c r="G179" s="403">
        <v>0.06</v>
      </c>
    </row>
    <row r="180" spans="3:8" x14ac:dyDescent="0.25">
      <c r="C180" s="399" t="s">
        <v>33</v>
      </c>
      <c r="D180" s="3">
        <v>102.87</v>
      </c>
      <c r="E180" s="3">
        <v>107</v>
      </c>
      <c r="F180" s="3">
        <v>117.54</v>
      </c>
      <c r="G180" s="390">
        <v>122.59</v>
      </c>
    </row>
    <row r="181" spans="3:8" x14ac:dyDescent="0.25">
      <c r="C181" s="399" t="s">
        <v>65</v>
      </c>
      <c r="D181" s="3">
        <v>63.53</v>
      </c>
      <c r="E181" s="404">
        <v>64.12</v>
      </c>
      <c r="F181" s="404">
        <v>68.34</v>
      </c>
      <c r="G181" s="392">
        <v>76.22</v>
      </c>
      <c r="H181" s="332">
        <f>G181*(1+0.03)</f>
        <v>78.506600000000006</v>
      </c>
    </row>
    <row r="182" spans="3:8" x14ac:dyDescent="0.25">
      <c r="C182" s="388" t="s">
        <v>199</v>
      </c>
      <c r="D182" s="406">
        <v>0.09</v>
      </c>
    </row>
    <row r="183" spans="3:8" x14ac:dyDescent="0.25">
      <c r="C183" s="391" t="s">
        <v>204</v>
      </c>
      <c r="D183" s="407">
        <v>0.03</v>
      </c>
    </row>
    <row r="185" spans="3:8" x14ac:dyDescent="0.25">
      <c r="C185" s="353" t="s">
        <v>95</v>
      </c>
      <c r="D185" s="331">
        <f>(D180-D181)/D180</f>
        <v>0.382424419169826</v>
      </c>
      <c r="E185" s="331">
        <f>(E180-E181)/E180</f>
        <v>0.40074766355140184</v>
      </c>
      <c r="F185" s="331">
        <f t="shared" ref="F185:G185" si="1">(F180-F181)/F180</f>
        <v>0.41858090862685043</v>
      </c>
      <c r="G185" s="331">
        <f t="shared" si="1"/>
        <v>0.37825271229300922</v>
      </c>
    </row>
    <row r="186" spans="3:8" x14ac:dyDescent="0.25">
      <c r="C186" s="353" t="s">
        <v>40</v>
      </c>
      <c r="D186" s="331">
        <f>$D$182/D185</f>
        <v>0.23534062023385866</v>
      </c>
      <c r="E186" s="331">
        <f t="shared" ref="E186:G186" si="2">$D$182/E185</f>
        <v>0.22458022388059701</v>
      </c>
      <c r="F186" s="331">
        <f t="shared" si="2"/>
        <v>0.21501219512195122</v>
      </c>
      <c r="G186" s="331">
        <f t="shared" si="2"/>
        <v>0.23793616562432607</v>
      </c>
    </row>
    <row r="187" spans="3:8" x14ac:dyDescent="0.25">
      <c r="C187" s="353" t="s">
        <v>205</v>
      </c>
      <c r="D187" s="331">
        <f>D183/D186</f>
        <v>0.12747480638994199</v>
      </c>
    </row>
    <row r="188" spans="3:8" x14ac:dyDescent="0.25">
      <c r="C188" s="408" t="s">
        <v>206</v>
      </c>
      <c r="D188" s="410">
        <f>(G181*(1+D183))/(D182-D183)</f>
        <v>1308.4433333333334</v>
      </c>
    </row>
    <row r="189" spans="3:8" x14ac:dyDescent="0.25">
      <c r="C189" s="353" t="s">
        <v>207</v>
      </c>
      <c r="D189" s="409">
        <f>(NPV(D182,E181,F181,G181)+D188)/100</f>
        <v>14.83645256996819</v>
      </c>
    </row>
  </sheetData>
  <autoFilter ref="B4:B10" xr:uid="{EB66A2A4-BB7D-4880-8B7C-2616A932F65F}"/>
  <mergeCells count="51">
    <mergeCell ref="M136:N136"/>
    <mergeCell ref="M137:N137"/>
    <mergeCell ref="M138:N138"/>
    <mergeCell ref="M139:N139"/>
    <mergeCell ref="M131:N131"/>
    <mergeCell ref="M132:O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O122"/>
    <mergeCell ref="M123:N123"/>
    <mergeCell ref="M124:N124"/>
    <mergeCell ref="M125:N125"/>
    <mergeCell ref="M116:N116"/>
    <mergeCell ref="M117:N117"/>
    <mergeCell ref="M118:O118"/>
    <mergeCell ref="M119:N119"/>
    <mergeCell ref="M120:N120"/>
    <mergeCell ref="M112:O112"/>
    <mergeCell ref="M113:N113"/>
    <mergeCell ref="M114:N114"/>
    <mergeCell ref="M115:N115"/>
    <mergeCell ref="H115:K115"/>
    <mergeCell ref="M106:O106"/>
    <mergeCell ref="O72:P72"/>
    <mergeCell ref="O75:P75"/>
    <mergeCell ref="M98:O98"/>
    <mergeCell ref="M100:N100"/>
    <mergeCell ref="M101:N101"/>
    <mergeCell ref="D5:E5"/>
    <mergeCell ref="D4:E4"/>
    <mergeCell ref="D1:E1"/>
    <mergeCell ref="M64:M65"/>
    <mergeCell ref="I133:I134"/>
    <mergeCell ref="J133:J134"/>
    <mergeCell ref="M107:N107"/>
    <mergeCell ref="M108:N108"/>
    <mergeCell ref="M109:N109"/>
    <mergeCell ref="M110:N110"/>
    <mergeCell ref="D6:E6"/>
    <mergeCell ref="D7:E7"/>
    <mergeCell ref="M102:N102"/>
    <mergeCell ref="M103:N103"/>
    <mergeCell ref="M104:N104"/>
    <mergeCell ref="M105:N10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BA31-712F-4171-B65B-246AE8E4BCBF}">
  <dimension ref="A1:W175"/>
  <sheetViews>
    <sheetView topLeftCell="D99" zoomScale="90" zoomScaleNormal="90" zoomScaleSheetLayoutView="100" workbookViewId="0">
      <selection activeCell="N8" sqref="N8"/>
    </sheetView>
  </sheetViews>
  <sheetFormatPr defaultColWidth="9.140625" defaultRowHeight="15" x14ac:dyDescent="0.25"/>
  <cols>
    <col min="1" max="1" width="47.42578125" style="3" customWidth="1"/>
    <col min="2" max="2" width="37.7109375" style="3" bestFit="1" customWidth="1"/>
    <col min="3" max="3" width="24.85546875" style="133" customWidth="1"/>
    <col min="4" max="4" width="25.7109375" style="3" customWidth="1"/>
    <col min="5" max="5" width="28" style="3" bestFit="1" customWidth="1"/>
    <col min="6" max="6" width="12.42578125" style="3" customWidth="1"/>
    <col min="7" max="7" width="17" style="3" bestFit="1" customWidth="1"/>
    <col min="8" max="8" width="23.7109375" style="3" bestFit="1" customWidth="1"/>
    <col min="9" max="9" width="15.28515625" style="3" bestFit="1" customWidth="1"/>
    <col min="10" max="10" width="15.85546875" style="3" bestFit="1" customWidth="1"/>
    <col min="11" max="11" width="22.42578125" style="3" customWidth="1"/>
    <col min="12" max="12" width="9.28515625" style="3" bestFit="1" customWidth="1"/>
    <col min="13" max="13" width="9.140625" style="3"/>
    <col min="14" max="14" width="23" style="3" customWidth="1"/>
    <col min="15" max="15" width="9.28515625" style="3" bestFit="1" customWidth="1"/>
    <col min="16" max="16" width="24.7109375" style="3" bestFit="1" customWidth="1"/>
    <col min="17" max="18" width="9.140625" style="3"/>
    <col min="19" max="19" width="21.28515625" style="65" bestFit="1" customWidth="1"/>
    <col min="20" max="20" width="18" style="3" bestFit="1" customWidth="1"/>
    <col min="21" max="21" width="9.140625" style="3"/>
    <col min="22" max="22" width="24.5703125" style="3" bestFit="1" customWidth="1"/>
    <col min="23" max="23" width="11" style="3" bestFit="1" customWidth="1"/>
    <col min="24" max="16384" width="9.140625" style="3"/>
  </cols>
  <sheetData>
    <row r="1" spans="1:23" ht="15" customHeight="1" x14ac:dyDescent="0.25">
      <c r="A1" s="2"/>
      <c r="B1" s="2"/>
      <c r="C1" s="128"/>
      <c r="H1" s="110"/>
      <c r="I1" s="110"/>
      <c r="K1" s="110"/>
      <c r="L1" s="110"/>
      <c r="N1" s="110"/>
      <c r="O1" s="110"/>
      <c r="S1" s="18"/>
    </row>
    <row r="2" spans="1:23" x14ac:dyDescent="0.25">
      <c r="B2" s="19" t="s">
        <v>208</v>
      </c>
      <c r="C2" s="129">
        <v>0</v>
      </c>
      <c r="D2" s="96"/>
      <c r="E2" s="15" t="s">
        <v>209</v>
      </c>
      <c r="F2" s="99">
        <v>0</v>
      </c>
      <c r="G2" s="79"/>
      <c r="H2" s="18" t="s">
        <v>210</v>
      </c>
      <c r="I2" s="161">
        <v>0</v>
      </c>
      <c r="J2" s="79"/>
      <c r="K2" s="18" t="s">
        <v>211</v>
      </c>
      <c r="L2" s="165">
        <v>0</v>
      </c>
      <c r="M2" s="79"/>
      <c r="N2" s="18" t="s">
        <v>211</v>
      </c>
      <c r="O2" s="165">
        <v>0</v>
      </c>
      <c r="S2" s="20" t="s">
        <v>212</v>
      </c>
      <c r="T2" s="91" t="s">
        <v>213</v>
      </c>
      <c r="V2" s="92" t="s">
        <v>212</v>
      </c>
      <c r="W2" s="93" t="s">
        <v>213</v>
      </c>
    </row>
    <row r="3" spans="1:23" x14ac:dyDescent="0.25">
      <c r="B3" s="412" t="s">
        <v>214</v>
      </c>
      <c r="C3" s="130">
        <v>0</v>
      </c>
      <c r="D3" s="96"/>
      <c r="E3" s="107" t="s">
        <v>215</v>
      </c>
      <c r="F3" s="100">
        <v>0</v>
      </c>
      <c r="G3" s="108"/>
      <c r="H3" s="106" t="s">
        <v>211</v>
      </c>
      <c r="I3" s="162"/>
      <c r="J3" s="79"/>
      <c r="K3" s="18" t="s">
        <v>216</v>
      </c>
      <c r="L3" s="175">
        <v>0</v>
      </c>
      <c r="M3" s="79"/>
      <c r="N3" s="18" t="s">
        <v>216</v>
      </c>
      <c r="O3" s="175">
        <v>0</v>
      </c>
      <c r="S3" s="23" t="s">
        <v>217</v>
      </c>
      <c r="T3" s="181">
        <v>0</v>
      </c>
      <c r="V3" s="94" t="s">
        <v>218</v>
      </c>
      <c r="W3" s="188">
        <v>0</v>
      </c>
    </row>
    <row r="4" spans="1:23" x14ac:dyDescent="0.25">
      <c r="B4" s="412" t="s">
        <v>219</v>
      </c>
      <c r="C4" s="131">
        <v>0</v>
      </c>
      <c r="D4" s="97"/>
      <c r="E4" s="17" t="s">
        <v>220</v>
      </c>
      <c r="F4" s="101">
        <v>0</v>
      </c>
      <c r="G4" s="109"/>
      <c r="H4" s="112" t="s">
        <v>221</v>
      </c>
      <c r="I4" s="163">
        <v>0</v>
      </c>
      <c r="J4" s="79"/>
      <c r="K4" s="18" t="s">
        <v>222</v>
      </c>
      <c r="L4" s="175">
        <v>0</v>
      </c>
      <c r="M4" s="79"/>
      <c r="N4" s="18" t="s">
        <v>222</v>
      </c>
      <c r="O4" s="175">
        <v>0</v>
      </c>
      <c r="S4" s="23" t="s">
        <v>223</v>
      </c>
      <c r="T4" s="182">
        <v>0</v>
      </c>
      <c r="V4" s="94" t="s">
        <v>224</v>
      </c>
      <c r="W4" s="189">
        <v>0</v>
      </c>
    </row>
    <row r="5" spans="1:23" x14ac:dyDescent="0.25">
      <c r="B5" s="412" t="s">
        <v>225</v>
      </c>
      <c r="C5" s="132">
        <v>0</v>
      </c>
      <c r="D5" s="98"/>
      <c r="E5" s="102" t="s">
        <v>226</v>
      </c>
      <c r="F5" s="158">
        <f>F3+(F2*F4)</f>
        <v>0</v>
      </c>
      <c r="G5" s="108"/>
      <c r="H5" s="113" t="s">
        <v>227</v>
      </c>
      <c r="I5" s="164">
        <v>0</v>
      </c>
      <c r="J5" s="79"/>
      <c r="K5" s="18" t="s">
        <v>228</v>
      </c>
      <c r="L5" s="176" t="e">
        <f>(L4*(1+L8))/(L7-L8)</f>
        <v>#DIV/0!</v>
      </c>
      <c r="M5" s="109"/>
      <c r="N5" s="18" t="s">
        <v>229</v>
      </c>
      <c r="O5" s="175">
        <v>0</v>
      </c>
      <c r="S5" s="23" t="s">
        <v>199</v>
      </c>
      <c r="T5" s="182">
        <v>0</v>
      </c>
      <c r="V5" s="94" t="s">
        <v>230</v>
      </c>
      <c r="W5" s="190">
        <v>0</v>
      </c>
    </row>
    <row r="6" spans="1:23" x14ac:dyDescent="0.25">
      <c r="A6" s="18" t="s">
        <v>231</v>
      </c>
      <c r="B6" s="203" t="s">
        <v>225</v>
      </c>
      <c r="C6" s="26">
        <f>$C$2*(1+$C$3)^$C$4</f>
        <v>0</v>
      </c>
      <c r="D6" s="98"/>
      <c r="E6" s="333" t="s">
        <v>189</v>
      </c>
      <c r="F6" s="334">
        <f>F3+F2*(F4-F3)</f>
        <v>0</v>
      </c>
      <c r="G6" s="360">
        <f>F6-F3</f>
        <v>0</v>
      </c>
      <c r="H6" s="11" t="s">
        <v>232</v>
      </c>
      <c r="I6" s="52" t="e">
        <f>I2*(1+I4)/(I5-I4)</f>
        <v>#DIV/0!</v>
      </c>
      <c r="J6" s="79"/>
      <c r="K6" s="18" t="s">
        <v>233</v>
      </c>
      <c r="L6" s="177">
        <v>0</v>
      </c>
      <c r="M6" s="79"/>
      <c r="N6" s="18" t="s">
        <v>228</v>
      </c>
      <c r="O6" s="179" t="e">
        <f>(O5*(1+O9))/(O8-O9)</f>
        <v>#DIV/0!</v>
      </c>
      <c r="S6" s="28" t="s">
        <v>234</v>
      </c>
      <c r="T6" s="29">
        <f>T3*(1+T4)</f>
        <v>0</v>
      </c>
      <c r="V6" s="94" t="s">
        <v>235</v>
      </c>
      <c r="W6" s="191">
        <v>0</v>
      </c>
    </row>
    <row r="7" spans="1:23" x14ac:dyDescent="0.25">
      <c r="A7" s="18" t="s">
        <v>236</v>
      </c>
      <c r="B7" s="203" t="s">
        <v>214</v>
      </c>
      <c r="C7" s="30" t="e">
        <f>($C$5/$C$2)^(1/$C$4)-1</f>
        <v>#DIV/0!</v>
      </c>
      <c r="D7" s="98"/>
      <c r="E7" s="18" t="s">
        <v>237</v>
      </c>
      <c r="F7" s="103">
        <v>0</v>
      </c>
      <c r="G7" s="81"/>
      <c r="H7" s="18" t="s">
        <v>238</v>
      </c>
      <c r="I7" s="165">
        <v>0</v>
      </c>
      <c r="J7" s="79"/>
      <c r="K7" s="18" t="s">
        <v>239</v>
      </c>
      <c r="L7" s="163">
        <v>0</v>
      </c>
      <c r="M7" s="79"/>
      <c r="N7" s="18" t="s">
        <v>233</v>
      </c>
      <c r="O7" s="177">
        <v>0</v>
      </c>
      <c r="S7" s="31" t="s">
        <v>240</v>
      </c>
      <c r="T7" s="32" t="e">
        <f>T6/(T5-T4)</f>
        <v>#DIV/0!</v>
      </c>
      <c r="V7" s="33" t="s">
        <v>241</v>
      </c>
      <c r="W7" s="34" t="e">
        <f>($W$5*$W$6)/($W$4*(1-$W$3))</f>
        <v>#DIV/0!</v>
      </c>
    </row>
    <row r="8" spans="1:23" x14ac:dyDescent="0.25">
      <c r="A8" s="18" t="s">
        <v>242</v>
      </c>
      <c r="B8" s="204" t="s">
        <v>208</v>
      </c>
      <c r="C8" s="35">
        <f>$C$5/(1+$C$3)^$C$4</f>
        <v>0</v>
      </c>
      <c r="D8" s="98"/>
      <c r="E8" s="106" t="s">
        <v>243</v>
      </c>
      <c r="F8" s="104">
        <v>0</v>
      </c>
      <c r="G8" s="81"/>
      <c r="H8" s="18" t="s">
        <v>221</v>
      </c>
      <c r="I8" s="163">
        <v>0</v>
      </c>
      <c r="J8" s="109"/>
      <c r="K8" s="18" t="s">
        <v>83</v>
      </c>
      <c r="L8" s="163">
        <v>0</v>
      </c>
      <c r="M8" s="79"/>
      <c r="N8" s="18" t="s">
        <v>239</v>
      </c>
      <c r="O8" s="163">
        <v>0</v>
      </c>
      <c r="S8" s="18"/>
      <c r="T8" s="133"/>
      <c r="W8" s="192"/>
    </row>
    <row r="9" spans="1:23" ht="16.5" thickTop="1" thickBot="1" x14ac:dyDescent="0.3">
      <c r="A9" s="18" t="s">
        <v>244</v>
      </c>
      <c r="B9" s="203" t="s">
        <v>219</v>
      </c>
      <c r="C9" s="36" t="e">
        <f>LN($C$5/$C$2)/LN(1+$C$3)</f>
        <v>#DIV/0!</v>
      </c>
      <c r="D9" s="98"/>
      <c r="E9" s="17" t="s">
        <v>209</v>
      </c>
      <c r="F9" s="3">
        <v>0</v>
      </c>
      <c r="G9" s="81"/>
      <c r="H9" s="18" t="s">
        <v>245</v>
      </c>
      <c r="I9" s="163">
        <v>0.09</v>
      </c>
      <c r="J9" s="79"/>
      <c r="K9" s="8" t="s">
        <v>246</v>
      </c>
      <c r="L9" s="178" t="e">
        <f>NPV(L7,L2,L3,L4+L5)</f>
        <v>#DIV/0!</v>
      </c>
      <c r="M9" s="109"/>
      <c r="N9" s="18" t="s">
        <v>83</v>
      </c>
      <c r="O9" s="180">
        <v>0</v>
      </c>
      <c r="S9" s="37" t="s">
        <v>247</v>
      </c>
      <c r="T9" s="183">
        <v>0</v>
      </c>
      <c r="V9" s="38" t="s">
        <v>248</v>
      </c>
      <c r="W9" s="133"/>
    </row>
    <row r="10" spans="1:23" ht="16.5" thickTop="1" thickBot="1" x14ac:dyDescent="0.3">
      <c r="A10" s="39" t="s">
        <v>249</v>
      </c>
      <c r="E10" s="105" t="s">
        <v>250</v>
      </c>
      <c r="F10" s="159">
        <f>F7+((F6-F7)*F8)</f>
        <v>0</v>
      </c>
      <c r="G10" s="40"/>
      <c r="H10" s="81"/>
      <c r="I10" s="17" t="s">
        <v>233</v>
      </c>
      <c r="J10" s="166">
        <v>0</v>
      </c>
      <c r="N10" s="21"/>
      <c r="O10" s="6" t="s">
        <v>246</v>
      </c>
      <c r="P10" s="178" t="e">
        <f>NPV(O8,O2,O3,O4,O5+O6)</f>
        <v>#DIV/0!</v>
      </c>
      <c r="S10" s="23" t="s">
        <v>223</v>
      </c>
      <c r="T10" s="184">
        <v>0</v>
      </c>
      <c r="V10" s="95" t="s">
        <v>251</v>
      </c>
      <c r="W10" s="188">
        <v>0</v>
      </c>
    </row>
    <row r="11" spans="1:23" ht="16.5" thickTop="1" thickBot="1" x14ac:dyDescent="0.3">
      <c r="B11" s="41" t="s">
        <v>225</v>
      </c>
      <c r="C11" s="134">
        <v>0</v>
      </c>
      <c r="E11" s="40"/>
      <c r="G11" s="81"/>
      <c r="H11" s="111" t="s">
        <v>252</v>
      </c>
      <c r="I11" s="167">
        <f>I7*((1+I8)^J10)</f>
        <v>0</v>
      </c>
      <c r="K11" s="3" t="s">
        <v>253</v>
      </c>
      <c r="N11" s="114"/>
      <c r="S11" s="28" t="s">
        <v>199</v>
      </c>
      <c r="T11" s="185">
        <v>0</v>
      </c>
      <c r="V11" s="94" t="s">
        <v>254</v>
      </c>
      <c r="W11" s="190">
        <v>0</v>
      </c>
    </row>
    <row r="12" spans="1:23" ht="16.5" thickTop="1" thickBot="1" x14ac:dyDescent="0.3">
      <c r="B12" s="42" t="s">
        <v>208</v>
      </c>
      <c r="C12" s="135">
        <v>0</v>
      </c>
      <c r="E12" s="3" t="s">
        <v>255</v>
      </c>
      <c r="F12" s="25">
        <v>0</v>
      </c>
      <c r="G12" s="81"/>
      <c r="H12" s="18" t="s">
        <v>210</v>
      </c>
      <c r="I12" s="165">
        <v>0</v>
      </c>
      <c r="K12" s="3" t="s">
        <v>256</v>
      </c>
      <c r="R12" s="43"/>
      <c r="S12" s="31" t="s">
        <v>257</v>
      </c>
      <c r="T12" s="44" t="e">
        <f>(T9*(1+T10))/(T11-T10)</f>
        <v>#DIV/0!</v>
      </c>
      <c r="V12" s="45" t="s">
        <v>37</v>
      </c>
      <c r="W12" s="190">
        <v>0</v>
      </c>
    </row>
    <row r="13" spans="1:23" ht="15.75" thickBot="1" x14ac:dyDescent="0.3">
      <c r="B13" s="42" t="s">
        <v>258</v>
      </c>
      <c r="C13" s="136">
        <v>0</v>
      </c>
      <c r="E13" s="24"/>
      <c r="F13" s="22">
        <f>(F3+F2)*F12</f>
        <v>0</v>
      </c>
      <c r="G13" s="81"/>
      <c r="H13" s="18" t="s">
        <v>221</v>
      </c>
      <c r="I13" s="163">
        <v>0</v>
      </c>
      <c r="K13" s="3" t="s">
        <v>259</v>
      </c>
      <c r="S13" s="3"/>
      <c r="V13" s="45" t="s">
        <v>260</v>
      </c>
      <c r="W13" s="190">
        <v>0</v>
      </c>
    </row>
    <row r="14" spans="1:23" ht="16.5" thickTop="1" thickBot="1" x14ac:dyDescent="0.3">
      <c r="B14" s="42" t="s">
        <v>261</v>
      </c>
      <c r="C14" s="137">
        <v>0</v>
      </c>
      <c r="G14" s="81"/>
      <c r="H14" s="17" t="s">
        <v>232</v>
      </c>
      <c r="I14" s="168">
        <v>0</v>
      </c>
      <c r="K14" s="3" t="s">
        <v>262</v>
      </c>
      <c r="S14" s="18"/>
      <c r="T14" s="133"/>
      <c r="V14" s="412" t="s">
        <v>251</v>
      </c>
      <c r="W14" s="190">
        <v>0</v>
      </c>
    </row>
    <row r="15" spans="1:23" ht="16.5" thickTop="1" thickBot="1" x14ac:dyDescent="0.3">
      <c r="B15" s="42" t="s">
        <v>263</v>
      </c>
      <c r="C15" s="138">
        <v>0</v>
      </c>
      <c r="G15" s="81"/>
      <c r="H15" s="11" t="s">
        <v>264</v>
      </c>
      <c r="I15" s="169" t="e">
        <f>(I12*(1+I13))/I14</f>
        <v>#DIV/0!</v>
      </c>
      <c r="S15" s="37" t="s">
        <v>265</v>
      </c>
      <c r="T15" s="186">
        <v>0</v>
      </c>
      <c r="V15" s="412" t="s">
        <v>266</v>
      </c>
      <c r="W15" s="190">
        <v>0</v>
      </c>
    </row>
    <row r="16" spans="1:23" ht="16.5" thickTop="1" thickBot="1" x14ac:dyDescent="0.3">
      <c r="A16" s="46"/>
      <c r="B16" s="42" t="s">
        <v>267</v>
      </c>
      <c r="C16" s="139">
        <v>0</v>
      </c>
      <c r="S16" s="23" t="s">
        <v>268</v>
      </c>
      <c r="T16" s="181">
        <v>0</v>
      </c>
      <c r="V16" s="412" t="s">
        <v>37</v>
      </c>
      <c r="W16" s="190">
        <v>0</v>
      </c>
    </row>
    <row r="17" spans="1:23" ht="16.5" thickTop="1" thickBot="1" x14ac:dyDescent="0.3">
      <c r="A17" s="413" t="s">
        <v>269</v>
      </c>
      <c r="B17" s="201" t="s">
        <v>225</v>
      </c>
      <c r="C17" s="47" t="e">
        <f>($C$13)*(((1+$C$14)^$C$16)-1)/$C$14</f>
        <v>#DIV/0!</v>
      </c>
      <c r="F17" s="27"/>
      <c r="K17" s="110"/>
      <c r="S17" s="23" t="s">
        <v>270</v>
      </c>
      <c r="T17" s="181">
        <v>0</v>
      </c>
      <c r="V17" s="412" t="s">
        <v>77</v>
      </c>
      <c r="W17" s="30">
        <f>($W$10*$W$13)+($W$11*$W$14)+($W$12*$W$15*(1-$W$16))</f>
        <v>0</v>
      </c>
    </row>
    <row r="18" spans="1:23" ht="16.5" thickTop="1" thickBot="1" x14ac:dyDescent="0.3">
      <c r="A18" s="18" t="s">
        <v>271</v>
      </c>
      <c r="B18" s="202" t="s">
        <v>208</v>
      </c>
      <c r="C18" s="48" t="e">
        <f>$C$13*(1-(1+$C$14)^-$C$16)/$C$14</f>
        <v>#DIV/0!</v>
      </c>
      <c r="D18" s="21"/>
      <c r="E18" s="4" t="s">
        <v>272</v>
      </c>
      <c r="F18" s="13" t="s">
        <v>273</v>
      </c>
      <c r="G18" s="12" t="s">
        <v>274</v>
      </c>
      <c r="H18" s="13" t="s">
        <v>275</v>
      </c>
      <c r="K18" s="4" t="s">
        <v>276</v>
      </c>
      <c r="L18" s="532" t="s">
        <v>189</v>
      </c>
      <c r="M18" s="533"/>
      <c r="S18" s="23" t="s">
        <v>277</v>
      </c>
      <c r="T18" s="181">
        <v>0</v>
      </c>
      <c r="V18" s="33" t="s">
        <v>199</v>
      </c>
    </row>
    <row r="19" spans="1:23" ht="16.5" thickTop="1" thickBot="1" x14ac:dyDescent="0.3">
      <c r="A19" s="18"/>
      <c r="B19" s="202" t="s">
        <v>278</v>
      </c>
      <c r="C19" s="50" t="e">
        <f>$C$13/$C$14</f>
        <v>#DIV/0!</v>
      </c>
      <c r="D19" s="21" t="s">
        <v>279</v>
      </c>
      <c r="E19" s="78">
        <v>2018</v>
      </c>
      <c r="F19" s="12">
        <v>0</v>
      </c>
      <c r="G19" s="12">
        <v>0</v>
      </c>
      <c r="H19" s="100"/>
      <c r="K19" s="66">
        <v>0</v>
      </c>
      <c r="L19" s="120">
        <v>0</v>
      </c>
      <c r="S19" s="23" t="s">
        <v>280</v>
      </c>
      <c r="T19" s="49" t="e">
        <f>T24/(T21-T20)</f>
        <v>#DIV/0!</v>
      </c>
      <c r="W19" s="133"/>
    </row>
    <row r="20" spans="1:23" ht="16.5" thickTop="1" thickBot="1" x14ac:dyDescent="0.3">
      <c r="A20" s="18"/>
      <c r="B20" s="202" t="s">
        <v>281</v>
      </c>
      <c r="C20" s="51" t="e">
        <f>$C$11/(((((1+$C$14)^$C$16)-1)/$C$14)*(1+$C$14))</f>
        <v>#DIV/0!</v>
      </c>
      <c r="D20" s="21"/>
      <c r="E20" s="13">
        <v>2019</v>
      </c>
      <c r="F20" s="3">
        <v>0</v>
      </c>
      <c r="G20" s="3">
        <v>0</v>
      </c>
      <c r="H20" s="373" t="e">
        <f>((F20+G20)/F19)-1</f>
        <v>#DIV/0!</v>
      </c>
      <c r="K20" s="80">
        <v>0</v>
      </c>
      <c r="L20" s="121">
        <v>0</v>
      </c>
      <c r="S20" s="23" t="s">
        <v>198</v>
      </c>
      <c r="T20" s="184">
        <v>0</v>
      </c>
      <c r="W20" s="188">
        <v>0</v>
      </c>
    </row>
    <row r="21" spans="1:23" ht="16.5" thickTop="1" thickBot="1" x14ac:dyDescent="0.3">
      <c r="A21" s="18" t="s">
        <v>282</v>
      </c>
      <c r="B21" s="202" t="s">
        <v>258</v>
      </c>
      <c r="C21" s="50" t="e">
        <f>$C$11*($C$14/((1+$C$14)^$C$16-1))</f>
        <v>#DIV/0!</v>
      </c>
      <c r="D21" s="21"/>
      <c r="E21" s="13">
        <v>2020</v>
      </c>
      <c r="F21" s="3">
        <v>0</v>
      </c>
      <c r="G21" s="3">
        <v>0</v>
      </c>
      <c r="H21" s="374" t="e">
        <f>((F21+G21)/F20)-1</f>
        <v>#DIV/0!</v>
      </c>
      <c r="K21" s="66">
        <v>0</v>
      </c>
      <c r="L21" s="122">
        <v>0</v>
      </c>
      <c r="S21" s="23" t="s">
        <v>199</v>
      </c>
      <c r="T21" s="184">
        <v>0</v>
      </c>
      <c r="V21" s="95" t="s">
        <v>283</v>
      </c>
      <c r="W21" s="190">
        <v>0</v>
      </c>
    </row>
    <row r="22" spans="1:23" ht="16.5" thickTop="1" thickBot="1" x14ac:dyDescent="0.3">
      <c r="A22" s="18"/>
      <c r="B22" s="202" t="s">
        <v>284</v>
      </c>
      <c r="C22" s="50">
        <f>$C$13*(1+($C$14*$C$16))</f>
        <v>0</v>
      </c>
      <c r="D22" s="21"/>
      <c r="E22" s="13">
        <v>2021</v>
      </c>
      <c r="F22" s="110">
        <v>0</v>
      </c>
      <c r="G22" s="110">
        <v>0</v>
      </c>
      <c r="H22" s="375" t="e">
        <f>((F22+G22)/F21)-1</f>
        <v>#DIV/0!</v>
      </c>
      <c r="K22" s="119"/>
      <c r="L22" s="120"/>
      <c r="S22" s="23" t="s">
        <v>37</v>
      </c>
      <c r="T22" s="181">
        <v>0</v>
      </c>
      <c r="V22" s="94" t="s">
        <v>285</v>
      </c>
      <c r="W22" s="193">
        <v>0</v>
      </c>
    </row>
    <row r="23" spans="1:23" ht="16.5" thickTop="1" thickBot="1" x14ac:dyDescent="0.3">
      <c r="A23" s="18"/>
      <c r="B23" s="202" t="s">
        <v>286</v>
      </c>
      <c r="C23" s="52" t="e">
        <f>$C$13*(1+($C$14/$C$15))^($C$15*$C$16)</f>
        <v>#DIV/0!</v>
      </c>
      <c r="D23" s="21"/>
      <c r="F23" s="530" t="s">
        <v>287</v>
      </c>
      <c r="G23" s="531"/>
      <c r="H23" s="160" t="e">
        <f>(H20+(H21)+H22)/3</f>
        <v>#DIV/0!</v>
      </c>
      <c r="K23" s="119"/>
      <c r="L23" s="120"/>
      <c r="S23" s="23" t="s">
        <v>288</v>
      </c>
      <c r="T23" s="181">
        <v>0</v>
      </c>
      <c r="V23" s="94" t="s">
        <v>209</v>
      </c>
      <c r="W23" s="54">
        <f>(W22*W20)+W21</f>
        <v>0</v>
      </c>
    </row>
    <row r="24" spans="1:23" ht="16.5" thickTop="1" thickBot="1" x14ac:dyDescent="0.3">
      <c r="A24" s="46" t="s">
        <v>289</v>
      </c>
      <c r="B24" s="21"/>
      <c r="C24" s="140"/>
      <c r="F24" s="534" t="s">
        <v>290</v>
      </c>
      <c r="G24" s="534"/>
      <c r="H24" s="40" t="e">
        <f>(((1+H20)*(1+(H21))*(1+H22))^(1/3))-1</f>
        <v>#DIV/0!</v>
      </c>
      <c r="K24" s="80"/>
      <c r="L24" s="14"/>
      <c r="S24" s="23" t="s">
        <v>291</v>
      </c>
      <c r="T24" s="49">
        <f>T18*(1+T20)</f>
        <v>0</v>
      </c>
      <c r="V24" s="53" t="s">
        <v>292</v>
      </c>
      <c r="W24" s="133"/>
    </row>
    <row r="25" spans="1:23" ht="16.5" thickTop="1" thickBot="1" x14ac:dyDescent="0.3">
      <c r="A25" s="3" t="s">
        <v>293</v>
      </c>
      <c r="B25" s="15" t="s">
        <v>294</v>
      </c>
      <c r="C25" s="55">
        <v>0</v>
      </c>
      <c r="H25" s="22"/>
      <c r="K25" s="66"/>
      <c r="L25" s="120"/>
      <c r="S25" s="23" t="s">
        <v>295</v>
      </c>
      <c r="T25" s="49" t="e">
        <f>T20/(T21-T20)</f>
        <v>#DIV/0!</v>
      </c>
      <c r="W25" s="194">
        <v>0</v>
      </c>
    </row>
    <row r="26" spans="1:23" ht="16.5" thickTop="1" thickBot="1" x14ac:dyDescent="0.3">
      <c r="B26" s="56" t="s">
        <v>296</v>
      </c>
      <c r="C26" s="57">
        <v>0</v>
      </c>
      <c r="H26" s="22"/>
      <c r="I26" s="22"/>
      <c r="J26" s="13" t="s">
        <v>297</v>
      </c>
      <c r="K26" s="123">
        <f>SUM($G$4:$G$10)</f>
        <v>0</v>
      </c>
      <c r="L26" s="4"/>
      <c r="S26" s="23" t="s">
        <v>298</v>
      </c>
      <c r="T26" s="181">
        <f>T15/((1+$T$21)^1)</f>
        <v>0</v>
      </c>
      <c r="V26" s="95" t="s">
        <v>299</v>
      </c>
      <c r="W26" s="195">
        <v>0</v>
      </c>
    </row>
    <row r="27" spans="1:23" ht="16.5" thickTop="1" thickBot="1" x14ac:dyDescent="0.3">
      <c r="A27" s="3" t="s">
        <v>300</v>
      </c>
      <c r="B27" s="58" t="s">
        <v>301</v>
      </c>
      <c r="C27" s="59">
        <v>0</v>
      </c>
      <c r="H27" s="22"/>
      <c r="J27" s="88" t="s">
        <v>302</v>
      </c>
      <c r="K27" s="170" t="e">
        <f>(K19/K26)</f>
        <v>#DIV/0!</v>
      </c>
      <c r="S27" s="23" t="s">
        <v>303</v>
      </c>
      <c r="T27" s="181">
        <f>T16/((1+$T$21)^2)</f>
        <v>0</v>
      </c>
      <c r="V27" s="94" t="s">
        <v>265</v>
      </c>
      <c r="W27" s="195">
        <v>0</v>
      </c>
    </row>
    <row r="28" spans="1:23" ht="16.5" thickTop="1" thickBot="1" x14ac:dyDescent="0.3">
      <c r="B28" s="17" t="s">
        <v>304</v>
      </c>
      <c r="C28" s="60">
        <v>0</v>
      </c>
      <c r="H28" s="22"/>
      <c r="J28" s="89" t="s">
        <v>305</v>
      </c>
      <c r="K28" s="170" t="e">
        <f>(K20/K27)</f>
        <v>#DIV/0!</v>
      </c>
      <c r="S28" s="23" t="s">
        <v>306</v>
      </c>
      <c r="T28" s="181">
        <f>T17/((1+$T$21)^3)</f>
        <v>0</v>
      </c>
      <c r="V28" s="94" t="s">
        <v>268</v>
      </c>
      <c r="W28" s="195">
        <v>0</v>
      </c>
    </row>
    <row r="29" spans="1:23" ht="16.5" thickTop="1" thickBot="1" x14ac:dyDescent="0.3">
      <c r="B29" s="83" t="s">
        <v>307</v>
      </c>
      <c r="C29" s="61">
        <f>$C$25*(1+$C$26)</f>
        <v>0</v>
      </c>
      <c r="D29" s="81"/>
      <c r="H29" s="22"/>
      <c r="J29" s="89" t="s">
        <v>308</v>
      </c>
      <c r="K29" s="170" t="e">
        <f t="shared" ref="K29:K33" si="0">(K21/K28)</f>
        <v>#DIV/0!</v>
      </c>
      <c r="S29" s="23" t="s">
        <v>309</v>
      </c>
      <c r="T29" s="181">
        <f>T18/((1+$T$21)^4)</f>
        <v>0</v>
      </c>
      <c r="V29" s="94" t="s">
        <v>270</v>
      </c>
      <c r="W29" s="195">
        <v>0</v>
      </c>
    </row>
    <row r="30" spans="1:23" ht="16.5" thickTop="1" thickBot="1" x14ac:dyDescent="0.3">
      <c r="B30" s="10" t="s">
        <v>310</v>
      </c>
      <c r="C30" s="62">
        <f>$C$27*(1+$C$28)</f>
        <v>0</v>
      </c>
      <c r="D30" s="81"/>
      <c r="E30" s="13" t="s">
        <v>122</v>
      </c>
      <c r="F30" s="13" t="s">
        <v>275</v>
      </c>
      <c r="H30" s="22"/>
      <c r="J30" s="89" t="s">
        <v>311</v>
      </c>
      <c r="K30" s="170" t="e">
        <f t="shared" si="0"/>
        <v>#DIV/0!</v>
      </c>
      <c r="S30" s="23" t="s">
        <v>312</v>
      </c>
      <c r="T30" s="181" t="e">
        <f>T19/((1+T21)^4)</f>
        <v>#DIV/0!</v>
      </c>
      <c r="V30" s="94" t="s">
        <v>277</v>
      </c>
      <c r="W30" s="195">
        <v>0</v>
      </c>
    </row>
    <row r="31" spans="1:23" ht="16.5" thickTop="1" thickBot="1" x14ac:dyDescent="0.3">
      <c r="B31" s="10" t="s">
        <v>313</v>
      </c>
      <c r="C31" s="62" t="e">
        <f>(1-(1+0.08)^-$C$16)/$C$14</f>
        <v>#DIV/0!</v>
      </c>
      <c r="D31" s="81"/>
      <c r="F31" s="155">
        <v>0</v>
      </c>
      <c r="G31" s="7"/>
      <c r="H31" s="22"/>
      <c r="J31" s="89" t="s">
        <v>314</v>
      </c>
      <c r="K31" s="170" t="e">
        <f t="shared" si="0"/>
        <v>#DIV/0!</v>
      </c>
      <c r="S31" s="23" t="s">
        <v>315</v>
      </c>
      <c r="T31" s="181" t="e">
        <f>SUM(T26:T30)</f>
        <v>#DIV/0!</v>
      </c>
      <c r="V31" s="94" t="s">
        <v>291</v>
      </c>
      <c r="W31" s="196">
        <v>0</v>
      </c>
    </row>
    <row r="32" spans="1:23" ht="16.5" thickTop="1" thickBot="1" x14ac:dyDescent="0.3">
      <c r="B32" s="10" t="s">
        <v>316</v>
      </c>
      <c r="C32" s="62" t="e">
        <f>$C$13*(1+$C$14)*$C$31</f>
        <v>#DIV/0!</v>
      </c>
      <c r="D32" s="81"/>
      <c r="F32" s="156">
        <v>0</v>
      </c>
      <c r="G32" s="99" t="s">
        <v>233</v>
      </c>
      <c r="H32" s="22"/>
      <c r="J32" s="89" t="s">
        <v>317</v>
      </c>
      <c r="K32" s="170" t="e">
        <f t="shared" si="0"/>
        <v>#DIV/0!</v>
      </c>
      <c r="R32" s="43"/>
      <c r="S32" s="28" t="s">
        <v>318</v>
      </c>
      <c r="T32" s="187" t="e">
        <f>T31-T22</f>
        <v>#DIV/0!</v>
      </c>
      <c r="V32" s="94" t="s">
        <v>319</v>
      </c>
      <c r="W32" s="63" t="e">
        <f>IRR(W25:W31,-10%)</f>
        <v>#NUM!</v>
      </c>
    </row>
    <row r="33" spans="1:23" ht="16.5" thickTop="1" thickBot="1" x14ac:dyDescent="0.3">
      <c r="A33" s="39" t="s">
        <v>320</v>
      </c>
      <c r="B33" s="64"/>
      <c r="C33" s="141"/>
      <c r="D33" s="81"/>
      <c r="F33" s="157">
        <v>0</v>
      </c>
      <c r="G33" s="115">
        <f>COUNTA(E31:E37)</f>
        <v>0</v>
      </c>
      <c r="H33" s="22"/>
      <c r="J33" s="90" t="s">
        <v>321</v>
      </c>
      <c r="K33" s="69" t="e">
        <f t="shared" si="0"/>
        <v>#DIV/0!</v>
      </c>
      <c r="S33" s="31" t="s">
        <v>322</v>
      </c>
      <c r="T33" s="44" t="e">
        <f>T32/T23</f>
        <v>#DIV/0!</v>
      </c>
      <c r="V33" s="33" t="s">
        <v>323</v>
      </c>
      <c r="W33" s="133"/>
    </row>
    <row r="34" spans="1:23" ht="16.5" thickTop="1" thickBot="1" x14ac:dyDescent="0.3">
      <c r="A34" s="39"/>
      <c r="B34" s="84" t="s">
        <v>324</v>
      </c>
      <c r="C34" s="142">
        <v>0</v>
      </c>
      <c r="D34" s="81"/>
      <c r="F34" s="157">
        <v>0</v>
      </c>
      <c r="H34" s="22"/>
      <c r="J34" s="124" t="s">
        <v>325</v>
      </c>
      <c r="W34" s="197">
        <v>0</v>
      </c>
    </row>
    <row r="35" spans="1:23" ht="16.5" thickTop="1" thickBot="1" x14ac:dyDescent="0.3">
      <c r="A35" s="39"/>
      <c r="B35" s="84" t="s">
        <v>326</v>
      </c>
      <c r="C35" s="143">
        <v>0</v>
      </c>
      <c r="D35" s="81"/>
      <c r="F35" s="156">
        <v>0</v>
      </c>
      <c r="H35" s="22"/>
      <c r="J35" s="88" t="s">
        <v>302</v>
      </c>
      <c r="K35" s="171" t="e">
        <f t="shared" ref="K35:K41" si="1">(K27*L19)</f>
        <v>#DIV/0!</v>
      </c>
      <c r="V35" s="95" t="s">
        <v>274</v>
      </c>
      <c r="W35" s="190">
        <v>0</v>
      </c>
    </row>
    <row r="36" spans="1:23" ht="16.5" thickTop="1" thickBot="1" x14ac:dyDescent="0.3">
      <c r="A36" s="39"/>
      <c r="B36" s="84" t="s">
        <v>327</v>
      </c>
      <c r="C36" s="143">
        <v>0</v>
      </c>
      <c r="D36" s="81"/>
      <c r="F36" s="156">
        <v>0</v>
      </c>
      <c r="H36" s="22"/>
      <c r="J36" s="127" t="s">
        <v>305</v>
      </c>
      <c r="K36" s="172" t="e">
        <f t="shared" si="1"/>
        <v>#DIV/0!</v>
      </c>
      <c r="V36" s="94" t="s">
        <v>223</v>
      </c>
      <c r="W36" s="198">
        <v>0</v>
      </c>
    </row>
    <row r="37" spans="1:23" ht="16.5" thickTop="1" thickBot="1" x14ac:dyDescent="0.3">
      <c r="B37" s="85" t="s">
        <v>328</v>
      </c>
      <c r="C37" s="144">
        <v>0</v>
      </c>
      <c r="D37" s="116"/>
      <c r="E37" s="7"/>
      <c r="F37" s="156">
        <v>0</v>
      </c>
      <c r="H37" s="22"/>
      <c r="J37" s="127" t="s">
        <v>308</v>
      </c>
      <c r="K37" s="173" t="e">
        <f t="shared" si="1"/>
        <v>#DIV/0!</v>
      </c>
      <c r="V37" s="94" t="s">
        <v>329</v>
      </c>
      <c r="W37" s="67" t="e">
        <f>(($W$34/$W$36)+W35)*100</f>
        <v>#DIV/0!</v>
      </c>
    </row>
    <row r="38" spans="1:23" ht="16.5" thickTop="1" thickBot="1" x14ac:dyDescent="0.3">
      <c r="B38" s="83" t="s">
        <v>330</v>
      </c>
      <c r="C38" s="68">
        <f>(((1+($C$37/4))^4)-1)</f>
        <v>0</v>
      </c>
      <c r="D38" s="79"/>
      <c r="E38" s="10" t="s">
        <v>290</v>
      </c>
      <c r="F38" s="117" t="e">
        <f>((((F31+1)*(F32+1)*(F33+1)*(F34+1)*(F35+1)*(F36+1)*(F37+1))^(1/$C$18))-1)</f>
        <v>#DIV/0!</v>
      </c>
      <c r="H38" s="22"/>
      <c r="J38" s="127" t="s">
        <v>311</v>
      </c>
      <c r="K38" s="173" t="e">
        <f t="shared" si="1"/>
        <v>#DIV/0!</v>
      </c>
      <c r="V38" s="53" t="s">
        <v>292</v>
      </c>
      <c r="W38" s="133"/>
    </row>
    <row r="39" spans="1:23" ht="16.5" thickTop="1" thickBot="1" x14ac:dyDescent="0.3">
      <c r="B39" s="11" t="s">
        <v>331</v>
      </c>
      <c r="C39" s="69">
        <f>(((1+($C$37/365))^365)-1)</f>
        <v>0</v>
      </c>
      <c r="D39" s="79"/>
      <c r="E39" s="11" t="s">
        <v>332</v>
      </c>
      <c r="F39" s="118" t="e">
        <f>(((F31+1)*(F32+1)*(F33+1)*(F34+1))^(1/G33))-1</f>
        <v>#DIV/0!</v>
      </c>
      <c r="J39" s="127" t="s">
        <v>314</v>
      </c>
      <c r="K39" s="173" t="e">
        <f t="shared" si="1"/>
        <v>#DIV/0!</v>
      </c>
    </row>
    <row r="40" spans="1:23" ht="16.5" thickTop="1" thickBot="1" x14ac:dyDescent="0.3">
      <c r="B40" s="11" t="s">
        <v>333</v>
      </c>
      <c r="C40" s="69">
        <f>(((1+($C$37/12))^12)-1)</f>
        <v>0</v>
      </c>
      <c r="E40" s="11" t="s">
        <v>334</v>
      </c>
      <c r="F40" s="118" t="e">
        <f>(F31+F32+F33+F34+F35+F36+F37)/G33</f>
        <v>#DIV/0!</v>
      </c>
      <c r="J40" s="127" t="s">
        <v>317</v>
      </c>
      <c r="K40" s="173" t="e">
        <f t="shared" si="1"/>
        <v>#DIV/0!</v>
      </c>
      <c r="V40" s="95" t="s">
        <v>299</v>
      </c>
      <c r="W40" s="199">
        <v>0</v>
      </c>
    </row>
    <row r="41" spans="1:23" ht="16.5" thickTop="1" thickBot="1" x14ac:dyDescent="0.3">
      <c r="B41" s="11" t="s">
        <v>335</v>
      </c>
      <c r="C41" s="69">
        <f>(((1+($C$37/2))^2)-1)</f>
        <v>0</v>
      </c>
      <c r="E41" s="12"/>
      <c r="F41" s="40"/>
      <c r="J41" s="90" t="s">
        <v>321</v>
      </c>
      <c r="K41" s="174" t="e">
        <f t="shared" si="1"/>
        <v>#DIV/0!</v>
      </c>
      <c r="V41" s="94" t="s">
        <v>265</v>
      </c>
      <c r="W41" s="193">
        <v>0</v>
      </c>
    </row>
    <row r="42" spans="1:23" ht="16.5" thickTop="1" thickBot="1" x14ac:dyDescent="0.3">
      <c r="B42" s="11" t="s">
        <v>336</v>
      </c>
      <c r="C42" s="69">
        <f>(2.71828^$C$37)-1</f>
        <v>0</v>
      </c>
      <c r="D42" s="9"/>
      <c r="F42" s="40"/>
      <c r="I42" s="81"/>
      <c r="J42" s="13" t="s">
        <v>337</v>
      </c>
      <c r="K42" s="126" t="e">
        <f>SUM(K35:K41)</f>
        <v>#DIV/0!</v>
      </c>
      <c r="L42" s="5"/>
      <c r="V42" s="94" t="s">
        <v>268</v>
      </c>
      <c r="W42" s="193">
        <v>0</v>
      </c>
    </row>
    <row r="43" spans="1:23" ht="16.5" thickTop="1" thickBot="1" x14ac:dyDescent="0.3">
      <c r="B43" s="11" t="s">
        <v>225</v>
      </c>
      <c r="C43" s="52" t="e">
        <f>$C$34*(1+($C$37/$C$36))^($C$36*$C$35)</f>
        <v>#DIV/0!</v>
      </c>
      <c r="E43" s="22"/>
      <c r="F43" s="40"/>
      <c r="G43"/>
      <c r="H43"/>
      <c r="I43"/>
      <c r="J43" s="125"/>
      <c r="K43"/>
      <c r="L43"/>
      <c r="V43" s="94" t="s">
        <v>270</v>
      </c>
      <c r="W43" s="193">
        <v>0</v>
      </c>
    </row>
    <row r="44" spans="1:23" ht="16.5" thickTop="1" thickBot="1" x14ac:dyDescent="0.3">
      <c r="B44" s="84" t="s">
        <v>338</v>
      </c>
      <c r="C44" s="144">
        <v>0</v>
      </c>
      <c r="E44"/>
      <c r="F44" s="1"/>
      <c r="V44" s="94" t="s">
        <v>277</v>
      </c>
      <c r="W44" s="193">
        <v>0</v>
      </c>
    </row>
    <row r="45" spans="1:23" ht="16.5" thickTop="1" thickBot="1" x14ac:dyDescent="0.3">
      <c r="B45" s="11" t="s">
        <v>339</v>
      </c>
      <c r="C45" s="69">
        <f>((1+($C$44/4))^4)-1</f>
        <v>0</v>
      </c>
      <c r="D45" s="40"/>
      <c r="F45" s="18" t="s">
        <v>340</v>
      </c>
      <c r="G45" s="18" t="s">
        <v>341</v>
      </c>
      <c r="H45" s="18" t="s">
        <v>32</v>
      </c>
      <c r="K45" s="18"/>
      <c r="L45" s="18"/>
      <c r="M45" s="18"/>
      <c r="N45" s="18"/>
      <c r="O45" s="18"/>
      <c r="P45" s="18"/>
      <c r="V45" s="94" t="s">
        <v>291</v>
      </c>
      <c r="W45" s="193">
        <v>0</v>
      </c>
    </row>
    <row r="46" spans="1:23" ht="16.5" thickTop="1" thickBot="1" x14ac:dyDescent="0.3">
      <c r="B46" s="11" t="s">
        <v>342</v>
      </c>
      <c r="C46" s="69">
        <f>((1+($C$44/365))^365)-1</f>
        <v>0</v>
      </c>
      <c r="E46" s="3" t="s">
        <v>343</v>
      </c>
      <c r="F46" s="22">
        <v>0</v>
      </c>
      <c r="G46" s="27">
        <v>0</v>
      </c>
      <c r="H46" s="352">
        <f>F46*G46</f>
        <v>0</v>
      </c>
      <c r="V46" s="94" t="s">
        <v>344</v>
      </c>
      <c r="W46" s="200">
        <v>0</v>
      </c>
    </row>
    <row r="47" spans="1:23" ht="16.5" thickTop="1" thickBot="1" x14ac:dyDescent="0.3">
      <c r="B47" s="11" t="s">
        <v>345</v>
      </c>
      <c r="C47" s="69">
        <f>((1+($C$44/52))^52)-1</f>
        <v>0</v>
      </c>
      <c r="E47" s="3" t="s">
        <v>346</v>
      </c>
      <c r="F47" s="22">
        <v>0</v>
      </c>
      <c r="G47" s="27">
        <v>0</v>
      </c>
      <c r="H47" s="352">
        <f>F47*G47</f>
        <v>0</v>
      </c>
      <c r="V47" s="33" t="s">
        <v>347</v>
      </c>
      <c r="W47" s="70">
        <f>NPV(W46,W41:W46)-W40</f>
        <v>0</v>
      </c>
    </row>
    <row r="48" spans="1:23" ht="16.5" thickTop="1" thickBot="1" x14ac:dyDescent="0.3">
      <c r="B48" s="11" t="s">
        <v>348</v>
      </c>
      <c r="C48" s="69">
        <f>((1+($C$44/12))^12)-1</f>
        <v>0</v>
      </c>
    </row>
    <row r="49" spans="1:8" ht="16.5" thickTop="1" thickBot="1" x14ac:dyDescent="0.3">
      <c r="B49" s="11" t="s">
        <v>349</v>
      </c>
      <c r="C49" s="69">
        <f>((1+($C$44/2))^2)-1</f>
        <v>0</v>
      </c>
    </row>
    <row r="50" spans="1:8" ht="16.5" thickTop="1" thickBot="1" x14ac:dyDescent="0.3">
      <c r="B50" s="11" t="s">
        <v>350</v>
      </c>
      <c r="C50" s="69">
        <f>(2.71828^$C$44)-1</f>
        <v>0</v>
      </c>
    </row>
    <row r="51" spans="1:8" ht="16.5" thickTop="1" thickBot="1" x14ac:dyDescent="0.3">
      <c r="A51" s="39" t="s">
        <v>351</v>
      </c>
      <c r="D51" s="3" t="s">
        <v>352</v>
      </c>
    </row>
    <row r="52" spans="1:8" ht="15.75" thickBot="1" x14ac:dyDescent="0.3">
      <c r="B52" s="86" t="s">
        <v>353</v>
      </c>
      <c r="C52" s="71">
        <v>1000</v>
      </c>
    </row>
    <row r="53" spans="1:8" ht="15.75" thickBot="1" x14ac:dyDescent="0.3">
      <c r="B53" s="86" t="s">
        <v>354</v>
      </c>
      <c r="C53" s="145">
        <v>0</v>
      </c>
      <c r="D53" s="3" t="s">
        <v>355</v>
      </c>
    </row>
    <row r="54" spans="1:8" ht="15.75" thickBot="1" x14ac:dyDescent="0.3">
      <c r="B54" s="87" t="s">
        <v>356</v>
      </c>
      <c r="C54" s="146">
        <v>0</v>
      </c>
      <c r="D54" s="3" t="s">
        <v>355</v>
      </c>
    </row>
    <row r="55" spans="1:8" ht="15.75" thickBot="1" x14ac:dyDescent="0.3">
      <c r="B55" s="87" t="s">
        <v>357</v>
      </c>
      <c r="C55" s="147">
        <v>0</v>
      </c>
      <c r="D55" s="3" t="s">
        <v>358</v>
      </c>
    </row>
    <row r="56" spans="1:8" ht="15.75" thickBot="1" x14ac:dyDescent="0.3">
      <c r="B56" s="87" t="s">
        <v>359</v>
      </c>
      <c r="C56" s="148">
        <v>0</v>
      </c>
      <c r="H56" s="330"/>
    </row>
    <row r="57" spans="1:8" ht="15.75" thickBot="1" x14ac:dyDescent="0.3">
      <c r="B57" s="72" t="s">
        <v>360</v>
      </c>
      <c r="C57" s="44">
        <f>$C$52*$C$53</f>
        <v>0</v>
      </c>
      <c r="D57" s="73" t="s">
        <v>361</v>
      </c>
      <c r="H57" s="330"/>
    </row>
    <row r="58" spans="1:8" ht="15.75" thickBot="1" x14ac:dyDescent="0.3">
      <c r="B58" s="74" t="s">
        <v>362</v>
      </c>
      <c r="C58" s="44" t="e">
        <f>$C$57*(1-(1+$C$54)^-$C$55)/$C$54</f>
        <v>#DIV/0!</v>
      </c>
      <c r="D58" s="75" t="s">
        <v>363</v>
      </c>
      <c r="E58" s="73" t="s">
        <v>364</v>
      </c>
      <c r="F58" s="73"/>
      <c r="H58" s="330"/>
    </row>
    <row r="59" spans="1:8" ht="15.75" thickBot="1" x14ac:dyDescent="0.3">
      <c r="B59" s="74" t="s">
        <v>365</v>
      </c>
      <c r="C59" s="44">
        <f>$C$52/(1+$C$54)^$C$55</f>
        <v>1000</v>
      </c>
      <c r="D59" s="73" t="s">
        <v>366</v>
      </c>
      <c r="E59" s="73" t="s">
        <v>367</v>
      </c>
      <c r="F59" s="73"/>
    </row>
    <row r="60" spans="1:8" ht="15.75" thickBot="1" x14ac:dyDescent="0.3">
      <c r="B60" s="72" t="s">
        <v>368</v>
      </c>
      <c r="C60" s="76" t="e">
        <f>$C$58+$C$59</f>
        <v>#DIV/0!</v>
      </c>
      <c r="E60" s="73" t="s">
        <v>369</v>
      </c>
      <c r="F60" s="73"/>
      <c r="H60" s="330"/>
    </row>
    <row r="61" spans="1:8" ht="15.75" thickBot="1" x14ac:dyDescent="0.3">
      <c r="B61" s="72" t="s">
        <v>370</v>
      </c>
      <c r="C61" s="77" t="e">
        <f>(C57+((C52-C56)/C55))/((C52+C56)/2)</f>
        <v>#DIV/0!</v>
      </c>
      <c r="D61" s="9"/>
      <c r="H61" s="330"/>
    </row>
    <row r="62" spans="1:8" ht="15.75" thickBot="1" x14ac:dyDescent="0.3">
      <c r="A62" s="39" t="s">
        <v>371</v>
      </c>
      <c r="C62" s="149"/>
      <c r="H62" s="330"/>
    </row>
    <row r="63" spans="1:8" ht="15.75" thickTop="1" x14ac:dyDescent="0.25">
      <c r="B63" s="88" t="s">
        <v>372</v>
      </c>
      <c r="C63" s="150">
        <v>1000</v>
      </c>
      <c r="D63" s="25"/>
    </row>
    <row r="64" spans="1:8" x14ac:dyDescent="0.25">
      <c r="B64" s="89" t="s">
        <v>373</v>
      </c>
      <c r="C64" s="151">
        <v>0</v>
      </c>
    </row>
    <row r="65" spans="1:9" ht="15.75" thickBot="1" x14ac:dyDescent="0.3">
      <c r="B65" s="89" t="s">
        <v>374</v>
      </c>
      <c r="C65" s="152">
        <v>0</v>
      </c>
      <c r="H65" s="330"/>
    </row>
    <row r="66" spans="1:9" ht="16.5" thickTop="1" thickBot="1" x14ac:dyDescent="0.3">
      <c r="B66" s="89" t="s">
        <v>375</v>
      </c>
      <c r="C66" s="52">
        <f>$C$65*1000</f>
        <v>0</v>
      </c>
      <c r="H66" s="330"/>
    </row>
    <row r="67" spans="1:9" ht="16.5" thickTop="1" thickBot="1" x14ac:dyDescent="0.3">
      <c r="B67" s="90" t="s">
        <v>376</v>
      </c>
      <c r="C67" s="153">
        <v>0</v>
      </c>
      <c r="H67" s="330"/>
    </row>
    <row r="68" spans="1:9" ht="16.5" thickTop="1" thickBot="1" x14ac:dyDescent="0.3">
      <c r="B68" s="11" t="s">
        <v>377</v>
      </c>
      <c r="C68" s="69" t="e">
        <f>$C$66/$C$64</f>
        <v>#DIV/0!</v>
      </c>
    </row>
    <row r="69" spans="1:9" ht="16.5" thickTop="1" thickBot="1" x14ac:dyDescent="0.3">
      <c r="B69" s="11" t="s">
        <v>378</v>
      </c>
      <c r="C69" s="52" t="e">
        <f>D70+C64</f>
        <v>#NUM!</v>
      </c>
    </row>
    <row r="70" spans="1:9" ht="16.5" thickTop="1" thickBot="1" x14ac:dyDescent="0.3">
      <c r="B70" s="11" t="s">
        <v>379</v>
      </c>
      <c r="C70" s="69" t="e">
        <f>RATE(C67,C66,-C64,C63)</f>
        <v>#NUM!</v>
      </c>
      <c r="D70" s="21" t="e">
        <f>PV(C70,C67-1,C66,C63)</f>
        <v>#NUM!</v>
      </c>
      <c r="H70" s="27"/>
    </row>
    <row r="71" spans="1:9" ht="15.75" thickTop="1" x14ac:dyDescent="0.25">
      <c r="C71" s="140"/>
    </row>
    <row r="72" spans="1:9" ht="15.75" thickBot="1" x14ac:dyDescent="0.3">
      <c r="A72" s="39" t="s">
        <v>380</v>
      </c>
    </row>
    <row r="73" spans="1:9" ht="15.75" thickTop="1" x14ac:dyDescent="0.25">
      <c r="B73" s="15" t="s">
        <v>381</v>
      </c>
      <c r="C73" s="154">
        <v>0</v>
      </c>
      <c r="E73" s="3" t="s">
        <v>382</v>
      </c>
      <c r="F73" s="22">
        <v>0</v>
      </c>
      <c r="G73" s="22"/>
    </row>
    <row r="74" spans="1:9" x14ac:dyDescent="0.25">
      <c r="B74" s="16" t="s">
        <v>383</v>
      </c>
      <c r="C74" s="57">
        <v>0</v>
      </c>
      <c r="E74" s="3" t="s">
        <v>384</v>
      </c>
      <c r="F74" s="22">
        <v>0</v>
      </c>
    </row>
    <row r="75" spans="1:9" x14ac:dyDescent="0.25">
      <c r="B75" s="16" t="s">
        <v>385</v>
      </c>
      <c r="C75" s="57">
        <v>0</v>
      </c>
      <c r="E75" s="3" t="s">
        <v>386</v>
      </c>
      <c r="F75" s="330">
        <v>0</v>
      </c>
      <c r="H75" s="3" t="s">
        <v>387</v>
      </c>
      <c r="I75" s="22"/>
    </row>
    <row r="76" spans="1:9" x14ac:dyDescent="0.25">
      <c r="B76" s="16" t="s">
        <v>388</v>
      </c>
      <c r="C76" s="57">
        <v>0</v>
      </c>
      <c r="D76" s="22"/>
      <c r="E76" s="3" t="s">
        <v>389</v>
      </c>
      <c r="F76" s="22">
        <v>0</v>
      </c>
      <c r="H76" s="3" t="s">
        <v>390</v>
      </c>
    </row>
    <row r="77" spans="1:9" x14ac:dyDescent="0.25">
      <c r="B77" s="16" t="s">
        <v>391</v>
      </c>
      <c r="C77" s="57">
        <v>0</v>
      </c>
      <c r="E77" s="3" t="s">
        <v>392</v>
      </c>
      <c r="F77" s="22">
        <v>0</v>
      </c>
      <c r="H77" s="3" t="s">
        <v>393</v>
      </c>
      <c r="I77" s="22"/>
    </row>
    <row r="78" spans="1:9" ht="15.75" thickBot="1" x14ac:dyDescent="0.3">
      <c r="B78" s="17" t="s">
        <v>394</v>
      </c>
      <c r="C78" s="60">
        <v>0</v>
      </c>
      <c r="E78" s="3" t="s">
        <v>73</v>
      </c>
      <c r="F78" s="332" t="e">
        <f>(1-F76)/(F73-F77)</f>
        <v>#DIV/0!</v>
      </c>
    </row>
    <row r="79" spans="1:9" ht="16.5" thickTop="1" thickBot="1" x14ac:dyDescent="0.3">
      <c r="A79" s="81"/>
      <c r="B79" s="82" t="s">
        <v>395</v>
      </c>
      <c r="C79" s="69">
        <f>($C$73*$C$74)+($C$75*$C$76)+($C$77*$C$78)</f>
        <v>0</v>
      </c>
    </row>
    <row r="80" spans="1:9" ht="16.5" thickTop="1" thickBot="1" x14ac:dyDescent="0.3">
      <c r="B80" s="11" t="s">
        <v>396</v>
      </c>
      <c r="C80" s="69">
        <f>$C$73*($C$74-$C$79)^2+$C$75*($C$76-$C$79)^2+$C$77*($C$78-$C$79)^2</f>
        <v>0</v>
      </c>
    </row>
    <row r="81" spans="2:10" ht="16.5" thickTop="1" thickBot="1" x14ac:dyDescent="0.3">
      <c r="B81" s="83" t="s">
        <v>397</v>
      </c>
      <c r="C81" s="69">
        <f>SQRT($C$80)</f>
        <v>0</v>
      </c>
      <c r="E81" s="3" t="s">
        <v>398</v>
      </c>
      <c r="F81" s="330">
        <v>0</v>
      </c>
    </row>
    <row r="82" spans="2:10" ht="15.75" thickTop="1" x14ac:dyDescent="0.25">
      <c r="E82" s="3" t="s">
        <v>399</v>
      </c>
      <c r="F82" s="331">
        <f>F6</f>
        <v>0</v>
      </c>
      <c r="G82" s="22">
        <v>0</v>
      </c>
    </row>
    <row r="83" spans="2:10" x14ac:dyDescent="0.25">
      <c r="B83" s="3" t="s">
        <v>400</v>
      </c>
      <c r="C83" s="207">
        <v>0</v>
      </c>
      <c r="E83" s="3" t="s">
        <v>401</v>
      </c>
      <c r="F83" s="22">
        <v>0</v>
      </c>
      <c r="G83" s="22">
        <v>0</v>
      </c>
    </row>
    <row r="84" spans="2:10" x14ac:dyDescent="0.25">
      <c r="B84" s="3" t="s">
        <v>397</v>
      </c>
      <c r="C84" s="207">
        <v>0</v>
      </c>
      <c r="E84" s="3" t="s">
        <v>402</v>
      </c>
      <c r="F84" s="335" t="e">
        <f>F81/(F82-F83)</f>
        <v>#DIV/0!</v>
      </c>
      <c r="G84" s="330" t="e">
        <f>F81/(G82-G83)</f>
        <v>#DIV/0!</v>
      </c>
    </row>
    <row r="85" spans="2:10" x14ac:dyDescent="0.25">
      <c r="B85" s="3" t="s">
        <v>178</v>
      </c>
      <c r="C85" s="207">
        <v>0</v>
      </c>
    </row>
    <row r="86" spans="2:10" x14ac:dyDescent="0.25">
      <c r="B86" s="3" t="s">
        <v>403</v>
      </c>
      <c r="C86" s="207">
        <v>0</v>
      </c>
    </row>
    <row r="87" spans="2:10" x14ac:dyDescent="0.25">
      <c r="B87" s="3" t="s">
        <v>404</v>
      </c>
      <c r="C87" s="207">
        <v>0</v>
      </c>
      <c r="E87" s="3" t="s">
        <v>405</v>
      </c>
      <c r="F87" s="330">
        <v>0</v>
      </c>
    </row>
    <row r="88" spans="2:10" x14ac:dyDescent="0.25">
      <c r="B88" s="205" t="s">
        <v>395</v>
      </c>
      <c r="C88" s="206">
        <f>(C86*C83)+(C87*C85)</f>
        <v>0</v>
      </c>
      <c r="E88" s="3" t="s">
        <v>406</v>
      </c>
      <c r="F88" s="330">
        <v>0</v>
      </c>
    </row>
    <row r="89" spans="2:10" x14ac:dyDescent="0.25">
      <c r="B89" s="205" t="s">
        <v>397</v>
      </c>
      <c r="C89" s="206">
        <f>(C86*C84)</f>
        <v>0</v>
      </c>
      <c r="E89" s="3" t="s">
        <v>407</v>
      </c>
      <c r="F89" s="22">
        <v>0</v>
      </c>
    </row>
    <row r="90" spans="2:10" x14ac:dyDescent="0.25">
      <c r="B90" s="205" t="s">
        <v>408</v>
      </c>
      <c r="C90" s="208" t="e">
        <f>(C88-C85)/C89</f>
        <v>#DIV/0!</v>
      </c>
      <c r="E90" s="3" t="s">
        <v>409</v>
      </c>
      <c r="F90" s="335" t="e">
        <f>F88/F89</f>
        <v>#DIV/0!</v>
      </c>
    </row>
    <row r="91" spans="2:10" x14ac:dyDescent="0.25">
      <c r="E91" s="3" t="s">
        <v>410</v>
      </c>
      <c r="F91" s="335" t="e">
        <f>F87-F90</f>
        <v>#DIV/0!</v>
      </c>
    </row>
    <row r="93" spans="2:10" ht="15.75" thickBot="1" x14ac:dyDescent="0.3">
      <c r="B93" s="3" t="s">
        <v>411</v>
      </c>
      <c r="C93" s="192">
        <v>0</v>
      </c>
    </row>
    <row r="94" spans="2:10" ht="16.5" thickTop="1" thickBot="1" x14ac:dyDescent="0.3">
      <c r="B94" s="3" t="s">
        <v>412</v>
      </c>
      <c r="C94" s="192">
        <v>0</v>
      </c>
      <c r="E94" s="339" t="s">
        <v>413</v>
      </c>
      <c r="F94" s="340" t="s">
        <v>414</v>
      </c>
      <c r="G94" s="341" t="s">
        <v>122</v>
      </c>
      <c r="H94" s="340" t="s">
        <v>274</v>
      </c>
      <c r="I94" s="340" t="s">
        <v>415</v>
      </c>
      <c r="J94" s="342" t="s">
        <v>416</v>
      </c>
    </row>
    <row r="95" spans="2:10" ht="15.75" thickTop="1" x14ac:dyDescent="0.25">
      <c r="B95" s="3" t="s">
        <v>417</v>
      </c>
      <c r="C95" s="207">
        <v>0</v>
      </c>
      <c r="D95" s="81"/>
      <c r="E95" t="s">
        <v>210</v>
      </c>
      <c r="F95" s="351">
        <v>0</v>
      </c>
      <c r="G95">
        <v>1</v>
      </c>
      <c r="H95" s="337">
        <f>F95*(1+$F$96)</f>
        <v>0</v>
      </c>
      <c r="I95" s="337">
        <f>1/(1+$F$98)^G95</f>
        <v>1</v>
      </c>
      <c r="J95" s="344">
        <f>H95*I95</f>
        <v>0</v>
      </c>
    </row>
    <row r="96" spans="2:10" x14ac:dyDescent="0.25">
      <c r="B96" s="3" t="s">
        <v>211</v>
      </c>
      <c r="C96" s="192">
        <f>(C94*(1+C95))</f>
        <v>0</v>
      </c>
      <c r="D96" s="81"/>
      <c r="E96" t="s">
        <v>418</v>
      </c>
      <c r="F96" s="350">
        <v>0</v>
      </c>
      <c r="G96">
        <v>2</v>
      </c>
      <c r="H96" s="337">
        <f>H95*(1+$F$96)</f>
        <v>0</v>
      </c>
      <c r="I96" s="337">
        <f t="shared" ref="I96:I99" si="2">1/(1+$F$98)^G96</f>
        <v>1</v>
      </c>
      <c r="J96" s="345">
        <f t="shared" ref="J96:J99" si="3">H96*I96</f>
        <v>0</v>
      </c>
    </row>
    <row r="97" spans="2:10" x14ac:dyDescent="0.25">
      <c r="B97" s="3" t="s">
        <v>227</v>
      </c>
      <c r="C97" s="324" t="e">
        <f>(C96/C93)+C95</f>
        <v>#DIV/0!</v>
      </c>
      <c r="D97" s="81"/>
      <c r="E97" t="s">
        <v>419</v>
      </c>
      <c r="F97" s="350">
        <v>0</v>
      </c>
      <c r="G97">
        <v>3</v>
      </c>
      <c r="H97" s="337">
        <f t="shared" ref="H97:H99" si="4">H96*(1+$F$96)</f>
        <v>0</v>
      </c>
      <c r="I97" s="337">
        <f t="shared" si="2"/>
        <v>1</v>
      </c>
      <c r="J97" s="345">
        <f t="shared" si="3"/>
        <v>0</v>
      </c>
    </row>
    <row r="98" spans="2:10" x14ac:dyDescent="0.25">
      <c r="D98" s="81"/>
      <c r="E98" t="s">
        <v>420</v>
      </c>
      <c r="F98" s="350">
        <v>0</v>
      </c>
      <c r="G98">
        <v>4</v>
      </c>
      <c r="H98" s="337">
        <f t="shared" si="4"/>
        <v>0</v>
      </c>
      <c r="I98" s="337">
        <f t="shared" si="2"/>
        <v>1</v>
      </c>
      <c r="J98" s="345">
        <f t="shared" si="3"/>
        <v>0</v>
      </c>
    </row>
    <row r="99" spans="2:10" ht="15.75" thickBot="1" x14ac:dyDescent="0.3">
      <c r="B99" s="3" t="s">
        <v>421</v>
      </c>
      <c r="C99" s="133">
        <v>0</v>
      </c>
      <c r="D99" s="81"/>
      <c r="E99" t="s">
        <v>422</v>
      </c>
      <c r="F99" s="349">
        <v>0</v>
      </c>
      <c r="G99" s="338">
        <v>5</v>
      </c>
      <c r="H99" s="343">
        <f t="shared" si="4"/>
        <v>0</v>
      </c>
      <c r="I99" s="343">
        <f t="shared" si="2"/>
        <v>1</v>
      </c>
      <c r="J99" s="346">
        <f t="shared" si="3"/>
        <v>0</v>
      </c>
    </row>
    <row r="100" spans="2:10" ht="15.75" thickTop="1" x14ac:dyDescent="0.25">
      <c r="B100" s="3" t="s">
        <v>11</v>
      </c>
      <c r="C100" s="133">
        <v>0</v>
      </c>
      <c r="D100" s="81"/>
      <c r="E100" t="s">
        <v>423</v>
      </c>
      <c r="F100" s="347">
        <f>$H$99*(1+$F$97)</f>
        <v>0</v>
      </c>
    </row>
    <row r="101" spans="2:10" x14ac:dyDescent="0.25">
      <c r="B101" s="3" t="s">
        <v>424</v>
      </c>
      <c r="C101" s="133">
        <v>0</v>
      </c>
      <c r="D101" s="81"/>
      <c r="E101" t="s">
        <v>425</v>
      </c>
      <c r="F101" s="347" t="e">
        <f>$F$100/($F$98-$F$97)</f>
        <v>#DIV/0!</v>
      </c>
    </row>
    <row r="102" spans="2:10" x14ac:dyDescent="0.25">
      <c r="B102" s="3" t="s">
        <v>426</v>
      </c>
      <c r="C102" s="133">
        <v>0</v>
      </c>
      <c r="D102" s="81"/>
      <c r="E102" t="s">
        <v>427</v>
      </c>
      <c r="F102" s="347" t="e">
        <f>F101/(1+F98)^F99</f>
        <v>#DIV/0!</v>
      </c>
    </row>
    <row r="103" spans="2:10" ht="15.75" thickBot="1" x14ac:dyDescent="0.3">
      <c r="B103" s="3" t="s">
        <v>428</v>
      </c>
      <c r="C103" s="207">
        <v>0</v>
      </c>
      <c r="D103" s="81"/>
      <c r="E103" s="338" t="s">
        <v>429</v>
      </c>
      <c r="F103" s="348" t="e">
        <f>SUM(J95:J99)+F102</f>
        <v>#DIV/0!</v>
      </c>
    </row>
    <row r="104" spans="2:10" ht="15.75" thickTop="1" x14ac:dyDescent="0.25">
      <c r="B104" s="3" t="s">
        <v>430</v>
      </c>
      <c r="C104" s="207">
        <v>0</v>
      </c>
    </row>
    <row r="105" spans="2:10" x14ac:dyDescent="0.25">
      <c r="B105" s="3" t="s">
        <v>34</v>
      </c>
      <c r="C105" s="324">
        <f>C99*C102*C103</f>
        <v>0</v>
      </c>
    </row>
    <row r="106" spans="2:10" x14ac:dyDescent="0.25">
      <c r="E106" s="3" t="s">
        <v>34</v>
      </c>
      <c r="F106" s="22">
        <v>0</v>
      </c>
    </row>
    <row r="107" spans="2:10" x14ac:dyDescent="0.25">
      <c r="E107" s="3" t="s">
        <v>431</v>
      </c>
      <c r="F107" s="27">
        <v>0</v>
      </c>
    </row>
    <row r="108" spans="2:10" x14ac:dyDescent="0.25">
      <c r="B108" s="3" t="s">
        <v>432</v>
      </c>
      <c r="C108" s="192">
        <v>0</v>
      </c>
      <c r="D108" s="354">
        <v>0</v>
      </c>
      <c r="E108" s="3" t="s">
        <v>433</v>
      </c>
      <c r="F108" s="27">
        <v>0</v>
      </c>
    </row>
    <row r="109" spans="2:10" x14ac:dyDescent="0.25">
      <c r="B109" s="3" t="s">
        <v>434</v>
      </c>
      <c r="C109" s="328">
        <v>0</v>
      </c>
      <c r="D109" s="354">
        <v>0</v>
      </c>
      <c r="E109" s="3" t="s">
        <v>435</v>
      </c>
      <c r="F109" s="331" t="e">
        <f>F106/(F107*F108)</f>
        <v>#DIV/0!</v>
      </c>
    </row>
    <row r="110" spans="2:10" x14ac:dyDescent="0.25">
      <c r="B110" s="3" t="s">
        <v>436</v>
      </c>
      <c r="C110" s="326" t="e">
        <f>C108/C109</f>
        <v>#DIV/0!</v>
      </c>
      <c r="D110" s="354">
        <v>0</v>
      </c>
    </row>
    <row r="111" spans="2:10" x14ac:dyDescent="0.25">
      <c r="B111" s="3" t="s">
        <v>437</v>
      </c>
      <c r="C111" s="133">
        <v>0</v>
      </c>
      <c r="D111" s="354">
        <v>0</v>
      </c>
    </row>
    <row r="112" spans="2:10" x14ac:dyDescent="0.25">
      <c r="B112" s="3" t="s">
        <v>438</v>
      </c>
      <c r="C112" s="329" t="e">
        <f>C110*C111</f>
        <v>#DIV/0!</v>
      </c>
      <c r="D112" s="27" t="e">
        <f>(D108+D109+D110)/D111</f>
        <v>#DIV/0!</v>
      </c>
    </row>
    <row r="113" spans="2:4" x14ac:dyDescent="0.25">
      <c r="D113" s="329" t="e">
        <f>C111*D112</f>
        <v>#DIV/0!</v>
      </c>
    </row>
    <row r="114" spans="2:4" x14ac:dyDescent="0.25">
      <c r="B114" s="3" t="s">
        <v>439</v>
      </c>
      <c r="C114" s="192"/>
    </row>
    <row r="115" spans="2:4" x14ac:dyDescent="0.25">
      <c r="B115" s="3" t="s">
        <v>440</v>
      </c>
      <c r="C115" s="192">
        <v>0</v>
      </c>
    </row>
    <row r="116" spans="2:4" x14ac:dyDescent="0.25">
      <c r="B116" s="3" t="s">
        <v>437</v>
      </c>
      <c r="C116" s="327">
        <v>2</v>
      </c>
    </row>
    <row r="117" spans="2:4" x14ac:dyDescent="0.25">
      <c r="B117" s="3" t="s">
        <v>441</v>
      </c>
      <c r="C117" s="325">
        <f>C115*C116</f>
        <v>0</v>
      </c>
    </row>
    <row r="119" spans="2:4" x14ac:dyDescent="0.25">
      <c r="B119" s="3" t="s">
        <v>442</v>
      </c>
      <c r="C119" s="355">
        <v>0</v>
      </c>
    </row>
    <row r="120" spans="2:4" x14ac:dyDescent="0.25">
      <c r="B120" s="3" t="s">
        <v>235</v>
      </c>
      <c r="C120" s="192">
        <v>1000</v>
      </c>
    </row>
    <row r="121" spans="2:4" x14ac:dyDescent="0.25">
      <c r="B121" s="3" t="s">
        <v>443</v>
      </c>
      <c r="C121" s="192">
        <v>0</v>
      </c>
    </row>
    <row r="122" spans="2:4" x14ac:dyDescent="0.25">
      <c r="B122" s="3" t="s">
        <v>444</v>
      </c>
      <c r="C122" s="356">
        <f>(C119/100)*C120*C121</f>
        <v>0</v>
      </c>
    </row>
    <row r="125" spans="2:4" x14ac:dyDescent="0.25">
      <c r="B125" s="3" t="s">
        <v>445</v>
      </c>
      <c r="C125" s="133">
        <v>0</v>
      </c>
    </row>
    <row r="126" spans="2:4" x14ac:dyDescent="0.25">
      <c r="B126" s="3" t="s">
        <v>446</v>
      </c>
      <c r="C126" s="357">
        <v>0</v>
      </c>
      <c r="D126" s="3">
        <f>C126*1000</f>
        <v>0</v>
      </c>
    </row>
    <row r="127" spans="2:4" x14ac:dyDescent="0.25">
      <c r="B127" s="3" t="s">
        <v>447</v>
      </c>
      <c r="C127" s="133">
        <v>0</v>
      </c>
    </row>
    <row r="128" spans="2:4" x14ac:dyDescent="0.25">
      <c r="B128" s="3" t="s">
        <v>448</v>
      </c>
      <c r="C128" s="192">
        <v>0</v>
      </c>
    </row>
    <row r="129" spans="2:4" x14ac:dyDescent="0.25">
      <c r="B129" s="3" t="s">
        <v>449</v>
      </c>
      <c r="C129" s="357">
        <v>0</v>
      </c>
    </row>
    <row r="130" spans="2:4" x14ac:dyDescent="0.25">
      <c r="C130" s="358">
        <f>PV(C129,C125,D126,1000)</f>
        <v>-1000</v>
      </c>
      <c r="D130" s="324" t="e">
        <f>RATE(C127,D126,C130,C128)</f>
        <v>#NUM!</v>
      </c>
    </row>
    <row r="131" spans="2:4" x14ac:dyDescent="0.25">
      <c r="C131" s="149"/>
    </row>
    <row r="132" spans="2:4" x14ac:dyDescent="0.25">
      <c r="B132" s="3" t="s">
        <v>450</v>
      </c>
      <c r="C132" s="359">
        <v>0</v>
      </c>
    </row>
    <row r="133" spans="2:4" x14ac:dyDescent="0.25">
      <c r="B133" s="3" t="s">
        <v>451</v>
      </c>
      <c r="C133" s="359">
        <v>0</v>
      </c>
    </row>
    <row r="134" spans="2:4" x14ac:dyDescent="0.25">
      <c r="B134" s="3" t="s">
        <v>452</v>
      </c>
      <c r="C134" s="359">
        <v>0</v>
      </c>
    </row>
    <row r="135" spans="2:4" x14ac:dyDescent="0.25">
      <c r="B135" s="3" t="s">
        <v>414</v>
      </c>
      <c r="C135" s="133">
        <f>(1-((1-C132)*(1-C133))/(1-C134))</f>
        <v>0</v>
      </c>
    </row>
    <row r="136" spans="2:4" x14ac:dyDescent="0.25">
      <c r="C136" s="133">
        <f>10000+C135</f>
        <v>10000</v>
      </c>
    </row>
    <row r="139" spans="2:4" x14ac:dyDescent="0.25">
      <c r="B139" s="3" t="s">
        <v>453</v>
      </c>
      <c r="C139" s="192">
        <v>0</v>
      </c>
    </row>
    <row r="140" spans="2:4" x14ac:dyDescent="0.25">
      <c r="B140" s="3" t="s">
        <v>454</v>
      </c>
      <c r="C140" s="133">
        <v>0</v>
      </c>
    </row>
    <row r="141" spans="2:4" x14ac:dyDescent="0.25">
      <c r="B141" s="3" t="s">
        <v>455</v>
      </c>
      <c r="C141" s="192">
        <v>0</v>
      </c>
    </row>
    <row r="142" spans="2:4" x14ac:dyDescent="0.25">
      <c r="B142" s="3" t="s">
        <v>456</v>
      </c>
      <c r="C142" s="192">
        <v>0</v>
      </c>
    </row>
    <row r="143" spans="2:4" x14ac:dyDescent="0.25">
      <c r="B143" s="353" t="s">
        <v>148</v>
      </c>
      <c r="C143" s="366" t="e">
        <f>(C142-C139+C141+C141)/C139</f>
        <v>#DIV/0!</v>
      </c>
    </row>
    <row r="145" spans="2:4" x14ac:dyDescent="0.25">
      <c r="B145" s="3" t="s">
        <v>457</v>
      </c>
      <c r="C145" s="192">
        <v>0</v>
      </c>
    </row>
    <row r="146" spans="2:4" x14ac:dyDescent="0.25">
      <c r="B146" s="3" t="s">
        <v>458</v>
      </c>
      <c r="C146" s="357">
        <v>0</v>
      </c>
    </row>
    <row r="147" spans="2:4" x14ac:dyDescent="0.25">
      <c r="B147" s="353" t="s">
        <v>459</v>
      </c>
      <c r="C147" s="325">
        <f>C145/(1-C146)</f>
        <v>0</v>
      </c>
    </row>
    <row r="148" spans="2:4" x14ac:dyDescent="0.25">
      <c r="C148" s="133" t="s">
        <v>460</v>
      </c>
      <c r="D148" s="133" t="s">
        <v>461</v>
      </c>
    </row>
    <row r="149" spans="2:4" x14ac:dyDescent="0.25">
      <c r="B149" s="3" t="s">
        <v>145</v>
      </c>
      <c r="C149" s="133">
        <v>0</v>
      </c>
      <c r="D149" s="133">
        <v>0</v>
      </c>
    </row>
    <row r="150" spans="2:4" x14ac:dyDescent="0.25">
      <c r="B150" s="3" t="s">
        <v>462</v>
      </c>
      <c r="C150" s="357">
        <v>0</v>
      </c>
      <c r="D150" s="357">
        <v>0</v>
      </c>
    </row>
    <row r="151" spans="2:4" x14ac:dyDescent="0.25">
      <c r="B151" s="3" t="s">
        <v>463</v>
      </c>
      <c r="C151" s="133">
        <v>0</v>
      </c>
      <c r="D151" s="133">
        <v>0</v>
      </c>
    </row>
    <row r="152" spans="2:4" x14ac:dyDescent="0.25">
      <c r="B152" s="3" t="s">
        <v>464</v>
      </c>
      <c r="C152" s="359">
        <v>0</v>
      </c>
      <c r="D152" s="359">
        <v>0</v>
      </c>
    </row>
    <row r="153" spans="2:4" x14ac:dyDescent="0.25">
      <c r="B153" s="3" t="s">
        <v>465</v>
      </c>
      <c r="C153" s="359">
        <v>0</v>
      </c>
      <c r="D153" s="359">
        <v>0</v>
      </c>
    </row>
    <row r="154" spans="2:4" x14ac:dyDescent="0.25">
      <c r="B154" s="3" t="s">
        <v>466</v>
      </c>
      <c r="C154" s="359">
        <v>0</v>
      </c>
      <c r="D154" s="359">
        <v>0</v>
      </c>
    </row>
    <row r="155" spans="2:4" x14ac:dyDescent="0.25">
      <c r="B155" s="367" t="s">
        <v>467</v>
      </c>
      <c r="C155" s="368">
        <f>C149*(1-C152)*((1+C150)-C153-C154)^C151</f>
        <v>0</v>
      </c>
      <c r="D155" s="368">
        <f>D149*(1-D152)*((1+D150)-D153-D154)^D151</f>
        <v>0</v>
      </c>
    </row>
    <row r="158" spans="2:4" x14ac:dyDescent="0.25">
      <c r="B158" s="3" t="s">
        <v>468</v>
      </c>
      <c r="C158" s="192">
        <v>0</v>
      </c>
    </row>
    <row r="159" spans="2:4" x14ac:dyDescent="0.25">
      <c r="B159" s="3" t="s">
        <v>469</v>
      </c>
      <c r="C159" s="192">
        <v>0</v>
      </c>
    </row>
    <row r="160" spans="2:4" x14ac:dyDescent="0.25">
      <c r="B160" s="3" t="s">
        <v>470</v>
      </c>
      <c r="C160" s="133">
        <v>0</v>
      </c>
    </row>
    <row r="161" spans="2:5" x14ac:dyDescent="0.25">
      <c r="B161" s="3" t="s">
        <v>471</v>
      </c>
      <c r="C161" s="192"/>
    </row>
    <row r="163" spans="2:5" x14ac:dyDescent="0.25">
      <c r="C163" s="3" t="s">
        <v>189</v>
      </c>
      <c r="D163" s="3" t="s">
        <v>209</v>
      </c>
      <c r="E163" s="3" t="s">
        <v>183</v>
      </c>
    </row>
    <row r="164" spans="2:5" x14ac:dyDescent="0.25">
      <c r="B164" s="3" t="s">
        <v>187</v>
      </c>
      <c r="C164" s="40">
        <v>0</v>
      </c>
      <c r="D164" s="362">
        <v>0</v>
      </c>
      <c r="E164" s="40">
        <v>0</v>
      </c>
    </row>
    <row r="165" spans="2:5" x14ac:dyDescent="0.25">
      <c r="B165" s="3" t="s">
        <v>188</v>
      </c>
      <c r="C165" s="40">
        <v>0</v>
      </c>
      <c r="D165" s="362">
        <v>0</v>
      </c>
      <c r="E165" s="40">
        <v>0</v>
      </c>
    </row>
    <row r="166" spans="2:5" x14ac:dyDescent="0.25">
      <c r="B166" s="3" t="s">
        <v>472</v>
      </c>
      <c r="C166" s="40">
        <v>0</v>
      </c>
      <c r="D166" s="362">
        <v>0</v>
      </c>
      <c r="E166" s="40">
        <v>0</v>
      </c>
    </row>
    <row r="167" spans="2:5" x14ac:dyDescent="0.25">
      <c r="B167" s="3" t="s">
        <v>473</v>
      </c>
      <c r="C167" s="40">
        <v>0</v>
      </c>
      <c r="D167" s="362">
        <v>0</v>
      </c>
      <c r="E167" s="40">
        <v>0</v>
      </c>
    </row>
    <row r="168" spans="2:5" x14ac:dyDescent="0.25">
      <c r="B168" s="3" t="s">
        <v>474</v>
      </c>
      <c r="C168" s="324">
        <f>C167+D164*(C166-C167)</f>
        <v>0</v>
      </c>
      <c r="D168" s="324">
        <f>C167+D165*(C166-C167)</f>
        <v>0</v>
      </c>
    </row>
    <row r="169" spans="2:5" x14ac:dyDescent="0.25">
      <c r="B169" s="496" t="s">
        <v>475</v>
      </c>
      <c r="C169" s="496"/>
    </row>
    <row r="171" spans="2:5" x14ac:dyDescent="0.25">
      <c r="B171" s="3" t="s">
        <v>476</v>
      </c>
      <c r="C171" s="359">
        <v>0</v>
      </c>
    </row>
    <row r="172" spans="2:5" x14ac:dyDescent="0.25">
      <c r="B172" s="3" t="s">
        <v>477</v>
      </c>
      <c r="C172" s="378">
        <v>0</v>
      </c>
    </row>
    <row r="173" spans="2:5" x14ac:dyDescent="0.25">
      <c r="B173" s="3" t="s">
        <v>478</v>
      </c>
      <c r="C173" s="359">
        <v>0</v>
      </c>
    </row>
    <row r="174" spans="2:5" x14ac:dyDescent="0.25">
      <c r="B174" s="3" t="s">
        <v>479</v>
      </c>
      <c r="C174" s="359">
        <v>0</v>
      </c>
    </row>
    <row r="175" spans="2:5" x14ac:dyDescent="0.25">
      <c r="B175" s="3" t="s">
        <v>480</v>
      </c>
      <c r="C175" s="207" t="e" cm="1">
        <f t="array" ref="C175">C174+C172(C173-C174)</f>
        <v>#REF!</v>
      </c>
    </row>
  </sheetData>
  <mergeCells count="4">
    <mergeCell ref="F23:G23"/>
    <mergeCell ref="L18:M18"/>
    <mergeCell ref="F24:G24"/>
    <mergeCell ref="B169:C169"/>
  </mergeCells>
  <phoneticPr fontId="2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Beginning Chapters</vt:lpstr>
      <vt:lpstr>Ending Chapters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young</dc:creator>
  <cp:keywords/>
  <dc:description/>
  <cp:lastModifiedBy>jordan young</cp:lastModifiedBy>
  <cp:revision/>
  <dcterms:created xsi:type="dcterms:W3CDTF">2024-09-09T22:52:53Z</dcterms:created>
  <dcterms:modified xsi:type="dcterms:W3CDTF">2025-10-23T17:16:51Z</dcterms:modified>
  <cp:category/>
  <cp:contentStatus/>
</cp:coreProperties>
</file>